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Rekap" sheetId="4" r:id="rId1"/>
    <sheet name="RAB" sheetId="1" r:id="rId2"/>
    <sheet name="Volume" sheetId="2" r:id="rId3"/>
    <sheet name="Analis" sheetId="8" r:id="rId4"/>
    <sheet name="DAFTAR HARGA" sheetId="9" r:id="rId5"/>
  </sheets>
  <definedNames>
    <definedName name="_xlnm.Print_Area" localSheetId="3">Analis!$A$1:$I$1179</definedName>
    <definedName name="_xlnm.Print_Area" localSheetId="4">'DAFTAR HARGA'!$A$1:$I$132</definedName>
    <definedName name="_xlnm.Print_Area" localSheetId="1">RAB!$B$2:$I$83</definedName>
    <definedName name="_xlnm.Print_Area" localSheetId="0">Rekap!$B$2:$G$48</definedName>
    <definedName name="_xlnm.Print_Area" localSheetId="2">Volume!$A$1:$T$77</definedName>
    <definedName name="_xlnm.Print_Titles" localSheetId="4">'DAFTAR HARGA'!$32:$32</definedName>
    <definedName name="_xlnm.Print_Titles" localSheetId="1">RAB!$9:$11</definedName>
  </definedNames>
  <calcPr calcId="144525"/>
</workbook>
</file>

<file path=xl/sharedStrings.xml><?xml version="1.0" encoding="utf-8"?>
<sst xmlns="http://schemas.openxmlformats.org/spreadsheetml/2006/main" count="3160" uniqueCount="560">
  <si>
    <t>REKAPITULASI</t>
  </si>
  <si>
    <t>NO</t>
  </si>
  <si>
    <t>URAIAN</t>
  </si>
  <si>
    <t>JUMLAH (Rp)</t>
  </si>
  <si>
    <t>A</t>
  </si>
  <si>
    <t>PEKERJAAN FISIK</t>
  </si>
  <si>
    <t>JUMLAH</t>
  </si>
  <si>
    <t>TOTAL</t>
  </si>
  <si>
    <t>PPN 10%</t>
  </si>
  <si>
    <t>DIBULATKAN</t>
  </si>
  <si>
    <t>Terbilang:</t>
  </si>
  <si>
    <t>SEMBILAN PULUH TUJUH JUTA DUA RATUS RIBU RUPIAH</t>
  </si>
  <si>
    <t>Sumber Bahagia,          November 2017</t>
  </si>
  <si>
    <t>USULAN RENCANA ANGGARAN BIAYA</t>
  </si>
  <si>
    <t>RAB</t>
  </si>
  <si>
    <t>PEKERJAAN</t>
  </si>
  <si>
    <t>LOKASI</t>
  </si>
  <si>
    <t>TAHUN ANGGARAN</t>
  </si>
  <si>
    <t>URIAN PEKERJAAN</t>
  </si>
  <si>
    <t>ANALISA</t>
  </si>
  <si>
    <t>VOLUME</t>
  </si>
  <si>
    <t>HARGA SATUAN (Rp)</t>
  </si>
  <si>
    <t>JUMAH HARGA (Rp)</t>
  </si>
  <si>
    <t>(1)</t>
  </si>
  <si>
    <t>(2)</t>
  </si>
  <si>
    <t>(3)</t>
  </si>
  <si>
    <t>(4)</t>
  </si>
  <si>
    <t>(5)</t>
  </si>
  <si>
    <t>(6)</t>
  </si>
  <si>
    <t>I</t>
  </si>
  <si>
    <t>PEKERJAAN PENDAHULUAN</t>
  </si>
  <si>
    <t>Ls</t>
  </si>
  <si>
    <t>Pasang bowplank</t>
  </si>
  <si>
    <t>Papan nama kegiatan</t>
  </si>
  <si>
    <t>bh</t>
  </si>
  <si>
    <t>Subtotal I</t>
  </si>
  <si>
    <t>II</t>
  </si>
  <si>
    <t>PEKERJAAN TANAH</t>
  </si>
  <si>
    <t>Galian tanah pondasi</t>
  </si>
  <si>
    <r>
      <rPr>
        <sz val="11"/>
        <color theme="1"/>
        <rFont val="Calibri"/>
        <charset val="1"/>
        <scheme val="minor"/>
      </rPr>
      <t>m</t>
    </r>
    <r>
      <rPr>
        <vertAlign val="superscript"/>
        <sz val="11"/>
        <color theme="1"/>
        <rFont val="Calibri"/>
        <charset val="134"/>
        <scheme val="minor"/>
      </rPr>
      <t>3</t>
    </r>
  </si>
  <si>
    <t>Urugan tanah kembali</t>
  </si>
  <si>
    <t>Urugan tanah peninggian lantai</t>
  </si>
  <si>
    <t>Urugan pasir bawah pondasi</t>
  </si>
  <si>
    <t>Subtotal II</t>
  </si>
  <si>
    <t>III</t>
  </si>
  <si>
    <t>PEKERJAAN PONDASI</t>
  </si>
  <si>
    <t>Pasang cerucuk dia 8-10 cm</t>
  </si>
  <si>
    <t>m</t>
  </si>
  <si>
    <t>Pasangan batu belah</t>
  </si>
  <si>
    <t>Subtotal III</t>
  </si>
  <si>
    <t>IV</t>
  </si>
  <si>
    <t>PEKERJAAN BETON</t>
  </si>
  <si>
    <t>Lantai Kerja Mutu 9,8 MPa</t>
  </si>
  <si>
    <t>A.4.1.1.1</t>
  </si>
  <si>
    <t>Sloof 15/20</t>
  </si>
  <si>
    <t>Subtotal IV</t>
  </si>
  <si>
    <t>V</t>
  </si>
  <si>
    <t>PEKERJAAN DINDING</t>
  </si>
  <si>
    <t>Rangka Baja Ringan</t>
  </si>
  <si>
    <r>
      <rPr>
        <sz val="11"/>
        <color theme="1"/>
        <rFont val="Calibri"/>
        <charset val="134"/>
        <scheme val="minor"/>
      </rPr>
      <t>m</t>
    </r>
    <r>
      <rPr>
        <vertAlign val="superscript"/>
        <sz val="11"/>
        <color theme="1"/>
        <rFont val="Calibri"/>
        <charset val="134"/>
        <scheme val="minor"/>
      </rPr>
      <t>2</t>
    </r>
  </si>
  <si>
    <t>Kalsiboard</t>
  </si>
  <si>
    <t>Subtotal V</t>
  </si>
  <si>
    <t>VI</t>
  </si>
  <si>
    <t>PEKERJAAN LANTAI</t>
  </si>
  <si>
    <t>Pasang lantai kayu parquet</t>
  </si>
  <si>
    <t>Subtotal VI</t>
  </si>
  <si>
    <t>VII</t>
  </si>
  <si>
    <t>PEKERJAAN ATAP DAN PLAFOND</t>
  </si>
  <si>
    <t>Pasang rangka atap baja ringan</t>
  </si>
  <si>
    <t>Pasang penutup atap genteng metal</t>
  </si>
  <si>
    <t>Subtotal VII</t>
  </si>
  <si>
    <t>VIII</t>
  </si>
  <si>
    <t>PEKERJAAN KUSEN, DAUN PINTU JENDELA DAN PENGGANTUNG</t>
  </si>
  <si>
    <t>Pekerjaan kusen pintu</t>
  </si>
  <si>
    <r>
      <rPr>
        <sz val="11"/>
        <color theme="1"/>
        <rFont val="Calibri"/>
        <charset val="134"/>
        <scheme val="minor"/>
      </rPr>
      <t>m</t>
    </r>
    <r>
      <rPr>
        <vertAlign val="superscript"/>
        <sz val="11"/>
        <color theme="1"/>
        <rFont val="Calibri"/>
        <charset val="134"/>
        <scheme val="minor"/>
      </rPr>
      <t>3</t>
    </r>
  </si>
  <si>
    <t>Pekerjaan kusen jendela</t>
  </si>
  <si>
    <t xml:space="preserve">Pekerjaan daun pintu </t>
  </si>
  <si>
    <t>Pekerjaan daun jendela</t>
  </si>
  <si>
    <t>Pasang kunci pintu + handle</t>
  </si>
  <si>
    <t>Pasang engsel pintu</t>
  </si>
  <si>
    <t>Pasang engsel jendela</t>
  </si>
  <si>
    <t>Pasang grendel jendela</t>
  </si>
  <si>
    <t>Pasang kaca bening t=5 mm</t>
  </si>
  <si>
    <t>Subtotal VIII</t>
  </si>
  <si>
    <t>IX</t>
  </si>
  <si>
    <t>PEKERJAAN PENGECATAN</t>
  </si>
  <si>
    <t>Pengecatan dinding</t>
  </si>
  <si>
    <t>Pengecatan plafond</t>
  </si>
  <si>
    <t>Pengecatan kusen pintu dan jendela</t>
  </si>
  <si>
    <t>Pengecatan daun pintu dan jendela</t>
  </si>
  <si>
    <t>Subtotal IX</t>
  </si>
  <si>
    <t>X</t>
  </si>
  <si>
    <t>PEKERJAAN LISTRIK DAN SANITASI</t>
  </si>
  <si>
    <t>Pasang titik lampu</t>
  </si>
  <si>
    <t>titik</t>
  </si>
  <si>
    <t>Pasang lampu LED 11 W</t>
  </si>
  <si>
    <t>Pasang stop kontak</t>
  </si>
  <si>
    <t>m'</t>
  </si>
  <si>
    <t>Pasang kloset jongkok</t>
  </si>
  <si>
    <t xml:space="preserve">Pasang bak mandi fiber </t>
  </si>
  <si>
    <t>Pasang kran air 1/2"</t>
  </si>
  <si>
    <t>Pasang instalasi air bersih pipa PVC dia. 3/4"</t>
  </si>
  <si>
    <t>pkt</t>
  </si>
  <si>
    <t>Pasang instalasi air kotor pipa PVC dia 3"</t>
  </si>
  <si>
    <t xml:space="preserve">Pembuatan sumur bor + pompa air </t>
  </si>
  <si>
    <t>Septictank</t>
  </si>
  <si>
    <t>unit</t>
  </si>
  <si>
    <t>Subtotal X</t>
  </si>
  <si>
    <t>No</t>
  </si>
  <si>
    <t>Uraian</t>
  </si>
  <si>
    <t>buah</t>
  </si>
  <si>
    <t>Panjang</t>
  </si>
  <si>
    <t>Lebar</t>
  </si>
  <si>
    <t>Tinggi</t>
  </si>
  <si>
    <t>Volume</t>
  </si>
  <si>
    <t>Pembersihan lokasi awal dan akhir</t>
  </si>
  <si>
    <t>=</t>
  </si>
  <si>
    <t>ls</t>
  </si>
  <si>
    <t>+</t>
  </si>
  <si>
    <t>Luas penampang</t>
  </si>
  <si>
    <t>x</t>
  </si>
  <si>
    <t>m3</t>
  </si>
  <si>
    <t>cor beton bawah t=5 cm</t>
  </si>
  <si>
    <t>Kolom 15/15</t>
  </si>
  <si>
    <t>Ring balok 15/15</t>
  </si>
  <si>
    <t>PEKERJAAN DINDING (GYPSUM)</t>
  </si>
  <si>
    <t>m2</t>
  </si>
  <si>
    <t>kusen pintu</t>
  </si>
  <si>
    <t>kusen jendela</t>
  </si>
  <si>
    <t>lubang angin2</t>
  </si>
  <si>
    <t>bukaan ruang jaga kiri kanan</t>
  </si>
  <si>
    <t>bukaan jalan masuk</t>
  </si>
  <si>
    <t>Pasang lantai parquet</t>
  </si>
  <si>
    <t>bukaan depan ruang jaga</t>
  </si>
  <si>
    <t>- Dalam Rumah</t>
  </si>
  <si>
    <t>- Garasi</t>
  </si>
  <si>
    <t>Pasang keramik KM uk. 20x20</t>
  </si>
  <si>
    <t>Pasang keramik dinding KM uk. 20/40</t>
  </si>
  <si>
    <t>Pasang bubungan atap</t>
  </si>
  <si>
    <t xml:space="preserve">Pasang rangka plafond kayu </t>
  </si>
  <si>
    <t>Pasang penutup plafond gypsum</t>
  </si>
  <si>
    <t>Pasang lisplang kayu</t>
  </si>
  <si>
    <t>sisi</t>
  </si>
  <si>
    <t>ttk</t>
  </si>
  <si>
    <t>Pasang Kabel NYY 2 x 2.5 mm</t>
  </si>
  <si>
    <t>Pasang bak mandi fiber</t>
  </si>
  <si>
    <t>Pasang floor drain wc</t>
  </si>
  <si>
    <t xml:space="preserve">Pasang pompa air </t>
  </si>
  <si>
    <t>ANALISA HARGA SATUAN PEKERJAAN</t>
  </si>
  <si>
    <t>: RUMAH TINGGAL DARI KONTAINER</t>
  </si>
  <si>
    <t>SUMBER</t>
  </si>
  <si>
    <t>: AHSP BIDANG PEKERJAAN UMUM KEMENTRIAN PUPR</t>
  </si>
  <si>
    <t>TAHUN DIBUAT</t>
  </si>
  <si>
    <t>: 2022</t>
  </si>
  <si>
    <t>A.2.2.1.4</t>
  </si>
  <si>
    <t>Pengukuran dan pemasangan 1 m' bouwplank</t>
  </si>
  <si>
    <t>Kode</t>
  </si>
  <si>
    <t>Satuan</t>
  </si>
  <si>
    <t>Koefisien</t>
  </si>
  <si>
    <t>Harga Satuan (Rp)</t>
  </si>
  <si>
    <t>Jumlah (Rp)</t>
  </si>
  <si>
    <t>Tenaga Kerja</t>
  </si>
  <si>
    <t>Pekerja</t>
  </si>
  <si>
    <t>L.01</t>
  </si>
  <si>
    <t>OH</t>
  </si>
  <si>
    <t>Tukang kayu</t>
  </si>
  <si>
    <t>L.02</t>
  </si>
  <si>
    <t>Kepala tukang kayu</t>
  </si>
  <si>
    <t>L.03</t>
  </si>
  <si>
    <t>Mandor</t>
  </si>
  <si>
    <t>L.04</t>
  </si>
  <si>
    <t>Jumlah Harga Tenaga Kerja</t>
  </si>
  <si>
    <t>B</t>
  </si>
  <si>
    <t>Bahan</t>
  </si>
  <si>
    <t>Kayu balok 5/7</t>
  </si>
  <si>
    <t>Paku 5 cm - 10 cm</t>
  </si>
  <si>
    <t>kg</t>
  </si>
  <si>
    <t>Kayu papan 3/20</t>
  </si>
  <si>
    <t>Jumlah Harga Bahan</t>
  </si>
  <si>
    <t>C</t>
  </si>
  <si>
    <t>Peralatan</t>
  </si>
  <si>
    <t>Jumlah Harga Peralatan</t>
  </si>
  <si>
    <t>D</t>
  </si>
  <si>
    <t>Jumlah Harga Tenaga, Bahan dan Peralatan (A+B+C)</t>
  </si>
  <si>
    <t>E</t>
  </si>
  <si>
    <t>Overhead + Profit (15%)</t>
  </si>
  <si>
    <t>x D</t>
  </si>
  <si>
    <t>F</t>
  </si>
  <si>
    <t>Harga Satuan Pekerjaan per - m3 (D+E)</t>
  </si>
  <si>
    <t>A.2.3.1.1</t>
  </si>
  <si>
    <t>Penggalian 1 m3 tanah biasa sedalam 1 m</t>
  </si>
  <si>
    <t>Tukang Gali</t>
  </si>
  <si>
    <t>A.2.3.1.9</t>
  </si>
  <si>
    <t>Pengurugan kembali 1 m3 galian tanah</t>
  </si>
  <si>
    <t>Pengurugan kembali 1 m3 galian dihitung dari 1/3 kali dari koefisien pekerjaan galian</t>
  </si>
  <si>
    <t>A.2.3.1.11</t>
  </si>
  <si>
    <t>Pengurugan 1 m3 dengan pasir urug</t>
  </si>
  <si>
    <t>Pasir urug</t>
  </si>
  <si>
    <t>A.2.3.1.11a</t>
  </si>
  <si>
    <t>Pengurugan 1 m3 dengan tanah urug</t>
  </si>
  <si>
    <t>Tanah urug</t>
  </si>
  <si>
    <t>A.3.2.1.3</t>
  </si>
  <si>
    <t>Pemasangan 1 m3 pondasi batu belah campuran 1SP : 5PP</t>
  </si>
  <si>
    <t>Tukang batu</t>
  </si>
  <si>
    <t>Kepala tukang batu</t>
  </si>
  <si>
    <t>Batu belah</t>
  </si>
  <si>
    <t>Semen</t>
  </si>
  <si>
    <t>Pasir pasang</t>
  </si>
  <si>
    <t>E.13 a</t>
  </si>
  <si>
    <t>Pemancangan 1 m' Cerucuk Galam</t>
  </si>
  <si>
    <t>Cerucuk galam</t>
  </si>
  <si>
    <t>btg</t>
  </si>
  <si>
    <t>Membuat 1 m3 beton mutu f'c = 9,8 Mpa (K 100), slump (12 ± 2), w/c = 0.87</t>
  </si>
  <si>
    <t>Semen PC</t>
  </si>
  <si>
    <t>Batu pecah 1-2 cm (produksi kalsel)</t>
  </si>
  <si>
    <t>Air</t>
  </si>
  <si>
    <t>Liter</t>
  </si>
  <si>
    <t xml:space="preserve">            </t>
  </si>
  <si>
    <t>A.4.1.1.5</t>
  </si>
  <si>
    <t>Membuat 1 m3 beton mutu f'c = 9,8 Mpa (K 225), slump (12 ± 2), w/c = 0.66</t>
  </si>
  <si>
    <t>A.4.1.1.33</t>
  </si>
  <si>
    <t>Membuat 1 m3 dinding beton bertulang (150 kg besi + bekisting)</t>
  </si>
  <si>
    <t>Tukang besi</t>
  </si>
  <si>
    <t>L.05</t>
  </si>
  <si>
    <t>L.06</t>
  </si>
  <si>
    <t>Kayu kelas III</t>
  </si>
  <si>
    <t>Paku</t>
  </si>
  <si>
    <t>Minyak bekisting</t>
  </si>
  <si>
    <t>Ltr</t>
  </si>
  <si>
    <t>Besi beton polos</t>
  </si>
  <si>
    <t>Kawat beton</t>
  </si>
  <si>
    <t>Semen Pc</t>
  </si>
  <si>
    <t>Kerikil</t>
  </si>
  <si>
    <t>Kayu Kelas II</t>
  </si>
  <si>
    <t xml:space="preserve">Plywood </t>
  </si>
  <si>
    <t>Lbr</t>
  </si>
  <si>
    <t>Dolken kayu</t>
  </si>
  <si>
    <t>A.4.4.1.9</t>
  </si>
  <si>
    <t>Pemasangan 1 m2 dinding bata merah (5x11x22) cm tebal 1/2 bata camp. 1SP : 4PP</t>
  </si>
  <si>
    <t>Bata merah</t>
  </si>
  <si>
    <t>Semen Portland</t>
  </si>
  <si>
    <t>A.4.4.2.8</t>
  </si>
  <si>
    <t>Pemasangan 1 m2 plesteran 1SP : 8PP tebal 15 mm</t>
  </si>
  <si>
    <t>PC</t>
  </si>
  <si>
    <t>Kg</t>
  </si>
  <si>
    <t>PP</t>
  </si>
  <si>
    <t>A.4.4.2.27</t>
  </si>
  <si>
    <t>Pemasangan 1 m2 Acian</t>
  </si>
  <si>
    <t>A.4.4.3.35.a</t>
  </si>
  <si>
    <t>Pemasangan 1 m2 lantai keramik ukuran 60 x 60 cm</t>
  </si>
  <si>
    <t>Ubin keramik 60 x 60</t>
  </si>
  <si>
    <t>Semen warna</t>
  </si>
  <si>
    <t>A.4.4.3.35.b</t>
  </si>
  <si>
    <t>Pemasangan 1 m2 lantai keramik ukuran 40 x 40 cm</t>
  </si>
  <si>
    <t>Keramik 40 x 40</t>
  </si>
  <si>
    <t>A.4.4.3.39.a</t>
  </si>
  <si>
    <t>Pemasangan 1 m' plint keramik Uk. 10x40 cm</t>
  </si>
  <si>
    <t>Plint 10x40</t>
  </si>
  <si>
    <t>A.4.4.3.36.a</t>
  </si>
  <si>
    <t>Pemasangan 1 m2 lantai keramik ukuran 30 x 30 cm</t>
  </si>
  <si>
    <t>Ubin keramik 30 x 30</t>
  </si>
  <si>
    <t>A.4.4.3.36</t>
  </si>
  <si>
    <t>Pemasangan 1 m2 lantai keramik ukuran 20 x 20 cm</t>
  </si>
  <si>
    <t>Ubin keramik 20 x 20</t>
  </si>
  <si>
    <t>Pemasangan 1 m' plint keramik ukuran 10 x 60</t>
  </si>
  <si>
    <t>Ubin keramik 10 x 60</t>
  </si>
  <si>
    <t>A.4.6.1.2</t>
  </si>
  <si>
    <t>Pembuatan &amp; pemasangan 1 m3 kusen pintu dan kusen jendela, kayu kelas I</t>
  </si>
  <si>
    <t>Pekerja / Pembantu tukang kayu</t>
  </si>
  <si>
    <t>Balok kayu ulin</t>
  </si>
  <si>
    <t>M3</t>
  </si>
  <si>
    <t>Paku 10 cm ulin</t>
  </si>
  <si>
    <t>Lem kayu</t>
  </si>
  <si>
    <t>A.4.6.1.5</t>
  </si>
  <si>
    <t>Pembuatan &amp; pemasangan 1 M2 daun pintu panel, kayu klas II (banuas)</t>
  </si>
  <si>
    <t>Papan kayu banuas</t>
  </si>
  <si>
    <t>Paku 5-7 cm</t>
  </si>
  <si>
    <t>A.4.6.2.17</t>
  </si>
  <si>
    <t>Pemasangan 1 M2 kaca bening tebal 5mm</t>
  </si>
  <si>
    <t>Kaca bening tebal 5mm</t>
  </si>
  <si>
    <t>M2</t>
  </si>
  <si>
    <t>Sealant</t>
  </si>
  <si>
    <t>A.4.6.2.17.a</t>
  </si>
  <si>
    <t>Pemasangan 1 M2 kaca Rayban tebal 5mm</t>
  </si>
  <si>
    <t>Kaca Rayban tebal 5mm</t>
  </si>
  <si>
    <t>A.4.6.1.6</t>
  </si>
  <si>
    <t>Pembuatan dan pemasangan 1 m2 pintu dan jendela kaca, kayu kelas II</t>
  </si>
  <si>
    <t>Papan kayu</t>
  </si>
  <si>
    <t>A.4.6.2.5</t>
  </si>
  <si>
    <t>Pemasangan 1 buah engsel pintu</t>
  </si>
  <si>
    <t>Engsel pintu</t>
  </si>
  <si>
    <t>Bh</t>
  </si>
  <si>
    <t>A.4.6.2.6</t>
  </si>
  <si>
    <t>Pemasangan 1 buah engsel jendela kupu-kupu</t>
  </si>
  <si>
    <t>Engsel Jendela</t>
  </si>
  <si>
    <t>A.4.6.2.11</t>
  </si>
  <si>
    <t>Pemasangan 1 buah kunci slot</t>
  </si>
  <si>
    <t>Kunci slot</t>
  </si>
  <si>
    <t>A.4.6.2.11.a</t>
  </si>
  <si>
    <t>Pemasangan 1 buah kunci slot pintu</t>
  </si>
  <si>
    <t>A.4.6.2.9</t>
  </si>
  <si>
    <t>Pemasangan 1 buah kait angin</t>
  </si>
  <si>
    <t>Kait angin</t>
  </si>
  <si>
    <t>A.4.6.2.2</t>
  </si>
  <si>
    <t>Pemasangan 1 buah kunci tanam biasa</t>
  </si>
  <si>
    <t>Kunci tanam besar</t>
  </si>
  <si>
    <t>A.4.5.2.32.a</t>
  </si>
  <si>
    <t>Pemasangan 1 m2 atap Genteng Metal tbl. 0,4 mm</t>
  </si>
  <si>
    <t>Atap Metal</t>
  </si>
  <si>
    <t>Paku biasa</t>
  </si>
  <si>
    <t>A.4.6.1.21.a</t>
  </si>
  <si>
    <t>Pemasangan 1 M' listplank ukuran (0.6 x 20) cm, GRC tbl. 8 mm</t>
  </si>
  <si>
    <t>Papan GRC tbl. 8 mm</t>
  </si>
  <si>
    <t>Paku sekrup</t>
  </si>
  <si>
    <t>A.4.5.1.7.a</t>
  </si>
  <si>
    <t>Pemasangan 1 M2 tawing layar GRC board ukuran (120 x 240 x 8) mm</t>
  </si>
  <si>
    <t>Lembar</t>
  </si>
  <si>
    <t>Paku skrup</t>
  </si>
  <si>
    <t>A.4.5.1.7</t>
  </si>
  <si>
    <t>Pemasangan 1 m2 langit-langit Kalsibord Tbl. 3,5 mm</t>
  </si>
  <si>
    <t>Kalciboard Ukrn 3,5 mm</t>
  </si>
  <si>
    <t>A.4.5.1.9</t>
  </si>
  <si>
    <t>Pemasangan 1 m' list langit-langit gybsum profil</t>
  </si>
  <si>
    <t>List gybsum profil</t>
  </si>
  <si>
    <t>M'</t>
  </si>
  <si>
    <t>A.4.2.1.21</t>
  </si>
  <si>
    <t>Pemasangan 1 m2 rangka besi hollow 1x40.40.2mm modul 60 x 60 cm plafond</t>
  </si>
  <si>
    <t>Kepala tukang</t>
  </si>
  <si>
    <t>Rangka metal hollow</t>
  </si>
  <si>
    <t>Assesoris (perkuatan, las dll)</t>
  </si>
  <si>
    <t>50%rangka</t>
  </si>
  <si>
    <t>A. 5.1.1.2</t>
  </si>
  <si>
    <t>Pemasangan 1 buah closet jongkok porslen</t>
  </si>
  <si>
    <t>Pekerja / Pembantu tukang batu</t>
  </si>
  <si>
    <t>Closet jongkok</t>
  </si>
  <si>
    <t>Unit</t>
  </si>
  <si>
    <t>Semen portland</t>
  </si>
  <si>
    <t>A. 5.1.1.2.a</t>
  </si>
  <si>
    <t>Pemasangan 1 buah closet duduk porslen</t>
  </si>
  <si>
    <t>Closet Duduk Merk Amirican standard</t>
  </si>
  <si>
    <t>A. 5.1.1.4</t>
  </si>
  <si>
    <t>Pemasangan 1 buah urinoir</t>
  </si>
  <si>
    <t>Urinoir</t>
  </si>
  <si>
    <t>Perlengkapan</t>
  </si>
  <si>
    <t>%</t>
  </si>
  <si>
    <t>A. 5.1.1.5</t>
  </si>
  <si>
    <t>Pemasangan 1 buah wastafel</t>
  </si>
  <si>
    <t>Wastafel</t>
  </si>
  <si>
    <t>A. 5.1.1.9</t>
  </si>
  <si>
    <t>Pemasangan 1 buah bak fiberglass uk. 50x50 cm</t>
  </si>
  <si>
    <t>Bak Fiberglass</t>
  </si>
  <si>
    <t>12% x bak</t>
  </si>
  <si>
    <t>A. 5.1.1.14</t>
  </si>
  <si>
    <t>Pemasangan 1 buah floor drain</t>
  </si>
  <si>
    <t>Floor drain</t>
  </si>
  <si>
    <t>A. 5.1.1.29</t>
  </si>
  <si>
    <t>Pemasangan 1 M' pipa PVC tipe AW diameter 2"</t>
  </si>
  <si>
    <t>Pipa PVC 2"</t>
  </si>
  <si>
    <t>M</t>
  </si>
  <si>
    <t>A. 5.1.1.26</t>
  </si>
  <si>
    <t>Pemasangan 1 M' pipa PVC tipe AW diameter 3/4"</t>
  </si>
  <si>
    <t>Pipa PVC 3/4"</t>
  </si>
  <si>
    <t>A. 5.1.1.31</t>
  </si>
  <si>
    <t>Pemasangan 1 M' pipa PVC tipe AW diameter 3"</t>
  </si>
  <si>
    <t>Pipa PVC 3"</t>
  </si>
  <si>
    <t>A. 5.1.1.32</t>
  </si>
  <si>
    <t>Pemasangan 1 M' pipa PVC tipe AW diameter 4"</t>
  </si>
  <si>
    <t>Pipa PVC 4"</t>
  </si>
  <si>
    <t>A. 5.1.1.19</t>
  </si>
  <si>
    <t>Pemasangan 1 buah kran diameter ½" atau ¾"</t>
  </si>
  <si>
    <t>Kran air</t>
  </si>
  <si>
    <t>Buah</t>
  </si>
  <si>
    <t>Sealtape</t>
  </si>
  <si>
    <t>A.4.7.1.10</t>
  </si>
  <si>
    <t>Pengecatan 1 M2 tembok baru ( 1 lapis plamur, 1 lapis cat dasar, 2 lapis cat penutup)</t>
  </si>
  <si>
    <t>Pekerja / Pembantu tukang cat</t>
  </si>
  <si>
    <t>Tukang cat</t>
  </si>
  <si>
    <t>Kepala tukang cat</t>
  </si>
  <si>
    <t>Plamur tembok</t>
  </si>
  <si>
    <t>Cat dasar tembok</t>
  </si>
  <si>
    <t>Cat penutup tembok</t>
  </si>
  <si>
    <t>A.4.7.1.10.b</t>
  </si>
  <si>
    <t>Pengecatan 1 M2 plafond baru ( 1 lapis plamur, 1 lapis cat dasar, 2 lapis cat penutup)</t>
  </si>
  <si>
    <t>A.4.7.1.5</t>
  </si>
  <si>
    <t>1 M2 Pengecatan bidang kayu baru (1 lapis plamur, 1 lapis cat dasar, 3 lapis cat penutup)</t>
  </si>
  <si>
    <t>Cat menie</t>
  </si>
  <si>
    <t>Plamur</t>
  </si>
  <si>
    <t>Cat dasar</t>
  </si>
  <si>
    <t>Cat penutup</t>
  </si>
  <si>
    <t>Kuas</t>
  </si>
  <si>
    <t>Pengencer</t>
  </si>
  <si>
    <t>Ampelas</t>
  </si>
  <si>
    <t>A. 4.1.1.35</t>
  </si>
  <si>
    <r>
      <rPr>
        <b/>
        <sz val="10"/>
        <color theme="1"/>
        <rFont val="Times New Roman"/>
        <charset val="134"/>
      </rPr>
      <t xml:space="preserve"> Membuat 1 M</t>
    </r>
    <r>
      <rPr>
        <b/>
        <sz val="10"/>
        <color indexed="8"/>
        <rFont val="Times New Roman"/>
        <charset val="134"/>
      </rPr>
      <t xml:space="preserve"> Kolom Praktis Beton Bertulang (11 x 11) cm</t>
    </r>
  </si>
  <si>
    <t>Harga Satuan</t>
  </si>
  <si>
    <t>Jumlah Harga</t>
  </si>
  <si>
    <t>(Rp)</t>
  </si>
  <si>
    <t>TENAGA</t>
  </si>
  <si>
    <t>Kepala Tukang Batu</t>
  </si>
  <si>
    <t>Tukang Besi</t>
  </si>
  <si>
    <t>Tukang Kayu</t>
  </si>
  <si>
    <t>Tukang Batu</t>
  </si>
  <si>
    <t>JUMLAH TENAGA KERJA</t>
  </si>
  <si>
    <t>BAHAN</t>
  </si>
  <si>
    <t>Kayu KL. III</t>
  </si>
  <si>
    <t>Paku 5 cm - 12 cm</t>
  </si>
  <si>
    <t>Besi Beton Polos</t>
  </si>
  <si>
    <t>Kawat Beton</t>
  </si>
  <si>
    <t xml:space="preserve"> m³ </t>
  </si>
  <si>
    <t>Pasir Beton</t>
  </si>
  <si>
    <t>JUMLAH HARGA BAHAN</t>
  </si>
  <si>
    <t>PERALATAN</t>
  </si>
  <si>
    <t>JUMLAH HARGA ALAT</t>
  </si>
  <si>
    <t>Jumlah (A+B+C)</t>
  </si>
  <si>
    <t>Overhead &amp; Profit (15%)</t>
  </si>
  <si>
    <t>Harga Satuan Pekerjaan (D+E)</t>
  </si>
  <si>
    <t>A. 4.1.1.36</t>
  </si>
  <si>
    <r>
      <rPr>
        <b/>
        <sz val="10"/>
        <color theme="1"/>
        <rFont val="Times New Roman"/>
        <charset val="134"/>
      </rPr>
      <t xml:space="preserve"> Membuat 1 M</t>
    </r>
    <r>
      <rPr>
        <b/>
        <sz val="10"/>
        <color indexed="8"/>
        <rFont val="Times New Roman"/>
        <charset val="134"/>
      </rPr>
      <t xml:space="preserve"> Ring Balok Beton Bertulang </t>
    </r>
  </si>
  <si>
    <t>A. 4.1.1.29</t>
  </si>
  <si>
    <r>
      <rPr>
        <b/>
        <sz val="10"/>
        <color theme="1"/>
        <rFont val="Times New Roman"/>
        <charset val="134"/>
      </rPr>
      <t xml:space="preserve"> Membuat 1 M</t>
    </r>
    <r>
      <rPr>
        <b/>
        <sz val="10"/>
        <color indexed="8"/>
        <rFont val="Times New Roman"/>
        <charset val="134"/>
      </rPr>
      <t xml:space="preserve"> Sloof Beton Bertulang </t>
    </r>
  </si>
  <si>
    <t>A.07.53</t>
  </si>
  <si>
    <t>1 M3 MEMBUAT KOLOM 12/12  (208.864 Kg Besi + Bekesting)</t>
  </si>
  <si>
    <t>DENGAN TULANGAN 4 BATANG DIA 10 BEUGEL DIA 6 JARAK 20 CM</t>
  </si>
  <si>
    <t>BAHAN  :</t>
  </si>
  <si>
    <t>Bekesting Albasiah</t>
  </si>
  <si>
    <t>m³</t>
  </si>
  <si>
    <t>Paku 5 - 7 cm</t>
  </si>
  <si>
    <t>Pelumas Bekesting</t>
  </si>
  <si>
    <t>lt</t>
  </si>
  <si>
    <t>Besi Beton Polos U 24</t>
  </si>
  <si>
    <t>zak</t>
  </si>
  <si>
    <t>Batu Pecah 2/3</t>
  </si>
  <si>
    <t xml:space="preserve">Jumlah Bahan     </t>
  </si>
  <si>
    <t xml:space="preserve">                         </t>
  </si>
  <si>
    <t>UPAH  :</t>
  </si>
  <si>
    <t>org</t>
  </si>
  <si>
    <t>Kepala Tukang</t>
  </si>
  <si>
    <t>Jumlah Pekerja</t>
  </si>
  <si>
    <t xml:space="preserve"> </t>
  </si>
  <si>
    <t>Jumlah Bahan + Pekerja</t>
  </si>
  <si>
    <t xml:space="preserve">Jumlah         </t>
  </si>
  <si>
    <t>Pemasangan 1 m2 lantai kayu parquet</t>
  </si>
  <si>
    <t>Kepala Tukang Kayu</t>
  </si>
  <si>
    <t>Parquet</t>
  </si>
  <si>
    <t>Lem Kayu</t>
  </si>
  <si>
    <t>DAFTAR HARGA SATUAN UPAH DAN BAHAN</t>
  </si>
  <si>
    <t>JENIS UPAH TENAGA KERJA</t>
  </si>
  <si>
    <t>SATUAN</t>
  </si>
  <si>
    <t xml:space="preserve">UPAH                                                                                                                                                     </t>
  </si>
  <si>
    <t>Orang/Hari</t>
  </si>
  <si>
    <t>Rp.</t>
  </si>
  <si>
    <t>Tukang Gali Tanah</t>
  </si>
  <si>
    <t>Laden Tukang Batu</t>
  </si>
  <si>
    <t>Laden Tukang Kayu</t>
  </si>
  <si>
    <t>Kepala Tukang Cat</t>
  </si>
  <si>
    <t>Tukang Cat</t>
  </si>
  <si>
    <t>Laden Tukang Cat</t>
  </si>
  <si>
    <t>Kepala Tukang Besi</t>
  </si>
  <si>
    <t>Laden Tukang Besi</t>
  </si>
  <si>
    <t>Buruh tak terlatih</t>
  </si>
  <si>
    <t>Buruh Lapangan agak terlatih</t>
  </si>
  <si>
    <t>Buruh lapangan terlatih</t>
  </si>
  <si>
    <t>Tukang Las</t>
  </si>
  <si>
    <t>Operator Terlatih</t>
  </si>
  <si>
    <t>Pembantu Operator</t>
  </si>
  <si>
    <t>Supir Truck material</t>
  </si>
  <si>
    <t>Pembantu Supir</t>
  </si>
  <si>
    <t>No.</t>
  </si>
  <si>
    <t>JENIS BAHAN</t>
  </si>
  <si>
    <t xml:space="preserve">HARGA                      </t>
  </si>
  <si>
    <t>Amper meter 80/5A</t>
  </si>
  <si>
    <t>Atap Genteng Metal setara Sakuraroof tbl. 0,3 mm</t>
  </si>
  <si>
    <t>Atap Polycarbonat Tbl. 6 mm (2,1 x 11,8)</t>
  </si>
  <si>
    <t>Roll</t>
  </si>
  <si>
    <t>Batu alam andesit Alur</t>
  </si>
  <si>
    <t>Batu pecah 1-2 cm (Produksi Kalsel)</t>
  </si>
  <si>
    <t>Balok kayu kelas I (ulin) 5/10</t>
  </si>
  <si>
    <t>Balok kayu kelas II (benuas) 5/10</t>
  </si>
  <si>
    <t>Balok kayu kelas III (hutan) 5/10</t>
  </si>
  <si>
    <t>Bak cuci piring Aluminium (1 lobang)</t>
  </si>
  <si>
    <t>Bak mandi Fiberglass 60 x 60 (120 ltr)</t>
  </si>
  <si>
    <t>Besi hollow 2x4 Panjang 4 meter</t>
  </si>
  <si>
    <t>Btg</t>
  </si>
  <si>
    <t>Bensin non subsidi</t>
  </si>
  <si>
    <t>Solar non subsidi</t>
  </si>
  <si>
    <t>Beton ready Mix K-275</t>
  </si>
  <si>
    <t>Minyak pelumas</t>
  </si>
  <si>
    <t>Box Panel 40 x 50 x 20 cm dan asesoris lainnya</t>
  </si>
  <si>
    <t>Box MCB 3 Goup</t>
  </si>
  <si>
    <t>Cat tembok merk Dulux Weathersilld 2 kg</t>
  </si>
  <si>
    <t>Cat tembok merk Matex 5 kg</t>
  </si>
  <si>
    <t>Cat menie platone (setara)</t>
  </si>
  <si>
    <t>Cat kayu dasar Indiana (setara)</t>
  </si>
  <si>
    <t>Cat kayu mengkilat platone (setara)</t>
  </si>
  <si>
    <t>Cermin wastafel</t>
  </si>
  <si>
    <t>Closet Duduk putih setara Amarica standard</t>
  </si>
  <si>
    <t>Set</t>
  </si>
  <si>
    <t>Closet Jongkok warna Putih setara Merk INA</t>
  </si>
  <si>
    <t>Cerucuk galam dia. 10-12 cm</t>
  </si>
  <si>
    <t>Engsel lokal 3 " (jendela)</t>
  </si>
  <si>
    <t>Engsel lokal 4 " (pintu)</t>
  </si>
  <si>
    <t>Floor Drain</t>
  </si>
  <si>
    <t>Kalsibord Tbl. 3,5 mm</t>
  </si>
  <si>
    <t>Kalsibord Tbl. 6 mm</t>
  </si>
  <si>
    <t>Kran Air stainless ONDA</t>
  </si>
  <si>
    <t>Kunci pintu tanam standart (pintu utama) SES</t>
  </si>
  <si>
    <t>Grendel lokal (jendela)</t>
  </si>
  <si>
    <t>Grendel lokal (pintu) atas-bawah</t>
  </si>
  <si>
    <t>Papan semen GRC tbl. 8 mm</t>
  </si>
  <si>
    <t>Kuas Cat</t>
  </si>
  <si>
    <t>Keramik 20 x 20</t>
  </si>
  <si>
    <t>Keramik 30 x 30 (motif)</t>
  </si>
  <si>
    <t>Keramik Granito 60 x 60 (polished)</t>
  </si>
  <si>
    <t>Kaca bening tbl. 5 mm</t>
  </si>
  <si>
    <t>Kaca Rayben tbl. 5 mm</t>
  </si>
  <si>
    <t>Minyak Cat</t>
  </si>
  <si>
    <t>MCB 10 A</t>
  </si>
  <si>
    <t>MCB 16A/1P</t>
  </si>
  <si>
    <t>MCCB 63A/3P</t>
  </si>
  <si>
    <t>Hak angin besar 10"</t>
  </si>
  <si>
    <t>List Gybsum Profil Kecil Uk. 5 cm (Panjang 2 M')</t>
  </si>
  <si>
    <t>List Keramik 10x60</t>
  </si>
  <si>
    <t>Plywood tebal. 4 mm</t>
  </si>
  <si>
    <t>Plafond PVC Motif tbl. 8 mm</t>
  </si>
  <si>
    <t>Paku anti karat</t>
  </si>
  <si>
    <t>Paku Ulin</t>
  </si>
  <si>
    <t>Paku Kayu</t>
  </si>
  <si>
    <t>Paku kait/ sekrup</t>
  </si>
  <si>
    <t>Paku 5 - 12 cm</t>
  </si>
  <si>
    <t>Papan kayu kelas. II (Palepek, Banuas)</t>
  </si>
  <si>
    <t>Mesin Pompa 200 Watt daya hisap 20 m</t>
  </si>
  <si>
    <t>Pilot lamp (RST)</t>
  </si>
  <si>
    <t>Pipa PVC Uk. 3/4 Inch (tebal)</t>
  </si>
  <si>
    <t>Pipa PVC Uk. 2 Inch (tebal)</t>
  </si>
  <si>
    <t>Pipa PVC Uk. 3 Inch (tebal)</t>
  </si>
  <si>
    <t>Pipa PVC Uk. 4 Inch (tebal)</t>
  </si>
  <si>
    <t>Pipa Besi (tebal) 1/2" P. 6 M</t>
  </si>
  <si>
    <t>Batang</t>
  </si>
  <si>
    <t>Papan bakesting</t>
  </si>
  <si>
    <t>Papan kayu (bauwplank)</t>
  </si>
  <si>
    <t>Plamur kayu 5 kg</t>
  </si>
  <si>
    <t>Paving Stone segi empat</t>
  </si>
  <si>
    <t>Titik lampu + Instalasi (Konst. Beton)</t>
  </si>
  <si>
    <t>Ttk</t>
  </si>
  <si>
    <t>Stop kontak + Instalasi (Konst. Beton)</t>
  </si>
  <si>
    <t>Sakelar Tunggal</t>
  </si>
  <si>
    <t>Sakelar Ganda</t>
  </si>
  <si>
    <t>Lampu Philips essensial 20 watt</t>
  </si>
  <si>
    <t>Lampu Philips essensial 11 watt</t>
  </si>
  <si>
    <t>Lampu TL 2X20 w KAP RMI Tipe Mirror 2x36 (Lengkap)</t>
  </si>
  <si>
    <t>Lampu Downlight Panasonic 4 " 18 w, Frame: Silver</t>
  </si>
  <si>
    <t>Kabel NYY 2 x 2,5 mm</t>
  </si>
  <si>
    <t>Tandon air Kap. 1200 Liter</t>
  </si>
  <si>
    <t>Urinenoir Standart TOTO</t>
  </si>
  <si>
    <t>Rangka atap baja ringan C75</t>
  </si>
  <si>
    <t>Semen PC 40 kg</t>
  </si>
  <si>
    <t>Semen Warna 1 Bks = 1 Kg</t>
  </si>
  <si>
    <t>Wiremesh 150 x 150 besi dia. 8 Uk. 2,1 x 5,4 m</t>
  </si>
  <si>
    <t>Wastafel setara KIA</t>
  </si>
  <si>
    <t>Zak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</si>
</sst>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176" formatCode="_ * #,##0.00_ ;_ * \-#,##0.00_ ;_ * &quot;-&quot;??_ ;_ @_ "/>
    <numFmt numFmtId="41" formatCode="_(* #,##0_);_(* \(#,##0\);_(* &quot;-&quot;_);_(@_)"/>
    <numFmt numFmtId="177" formatCode="_(* #,##0.00_);_(* \(#,##0.00\);_(* &quot;-&quot;_);_(@_)"/>
    <numFmt numFmtId="178" formatCode="_ * #,##0_ ;_ * \-#,##0_ ;_ * &quot;-&quot;_ ;_ @_ "/>
    <numFmt numFmtId="44" formatCode="_(&quot;$&quot;* #,##0.00_);_(&quot;$&quot;* \(#,##0.00\);_(&quot;$&quot;* &quot;-&quot;??_);_(@_)"/>
    <numFmt numFmtId="43" formatCode="_(* #,##0.00_);_(* \(#,##0.00\);_(* &quot;-&quot;??_);_(@_)"/>
    <numFmt numFmtId="179" formatCode="0.00_)"/>
    <numFmt numFmtId="180" formatCode="_(&quot;Rp&quot;* #,##0_);_(&quot;Rp&quot;* \(#,##0\);_(&quot;Rp&quot;* &quot;-&quot;_);_(@_)"/>
    <numFmt numFmtId="181" formatCode="#,##0.0000"/>
    <numFmt numFmtId="182" formatCode="_-* #,##0_-;\-* #,##0_-;_-* &quot;-&quot;_-;_-@_-"/>
    <numFmt numFmtId="183" formatCode="_(* #,##0.0000_);_(* \(#,##0.0000\);_(* &quot;-&quot;????_);_(@_)"/>
    <numFmt numFmtId="184" formatCode="_(* #.##0.00_);_(* \(#.##0.00\);_(* &quot;-&quot;??_);_(@_)"/>
    <numFmt numFmtId="185" formatCode="_(* #,##0_);_(* \(#,##0\);_(* &quot;-&quot;??_);_(@_)"/>
    <numFmt numFmtId="186" formatCode="[$-409]d\-mmm\-yy;@"/>
    <numFmt numFmtId="187" formatCode="#,##0.0000_);\(#,##0.0000\)"/>
    <numFmt numFmtId="188" formatCode="#,##0.000_);\(#,##0.000\)"/>
    <numFmt numFmtId="189" formatCode="_([$Rp-421]* #,##0.00_);_([$Rp-421]* \(#,##0.00\);_([$Rp-421]* &quot;-&quot;??_);_(@_)"/>
    <numFmt numFmtId="7" formatCode="&quot;$&quot;#,##0.00_);\(&quot;$&quot;#,##0.00\)"/>
    <numFmt numFmtId="190" formatCode="0.0000"/>
    <numFmt numFmtId="191" formatCode="_(* #,##0.0000_);_(* \(#,##0.0000\);_(* &quot;-&quot;??_);_(@_)"/>
    <numFmt numFmtId="192" formatCode="0_);[Red]\(0\)"/>
    <numFmt numFmtId="193" formatCode="_(* #,##0.00_);_(* \(#,##0.00\);_(* &quot;-&quot;??.0_);_(@_)"/>
  </numFmts>
  <fonts count="57">
    <font>
      <sz val="11"/>
      <color theme="1"/>
      <name val="Calibri"/>
      <charset val="1"/>
      <scheme val="minor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indexed="63"/>
      <name val="Times New Roman"/>
      <charset val="134"/>
    </font>
    <font>
      <b/>
      <u/>
      <sz val="10"/>
      <name val="Times New Roman"/>
      <charset val="134"/>
    </font>
    <font>
      <i/>
      <sz val="10"/>
      <name val="Times New Roman"/>
      <charset val="134"/>
    </font>
    <font>
      <b/>
      <sz val="12"/>
      <color indexed="8"/>
      <name val="Times New Roman"/>
      <charset val="134"/>
    </font>
    <font>
      <i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i/>
      <sz val="10"/>
      <name val="Times New Roman"/>
      <charset val="134"/>
    </font>
    <font>
      <sz val="10"/>
      <color theme="1"/>
      <name val="Times New Roman"/>
      <charset val="1"/>
    </font>
    <font>
      <i/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"/>
    </font>
    <font>
      <b/>
      <sz val="12"/>
      <name val="Times New Roman"/>
      <charset val="134"/>
    </font>
    <font>
      <sz val="11"/>
      <color indexed="8"/>
      <name val="Calibri"/>
      <charset val="1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9"/>
      <name val="Calibri"/>
      <charset val="1"/>
    </font>
    <font>
      <sz val="10"/>
      <name val="Arial"/>
      <charset val="134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2"/>
      <name val="Helv"/>
      <charset val="134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indexed="8"/>
      <name val="Calibri"/>
      <charset val="134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i/>
      <sz val="16"/>
      <name val="Helv"/>
      <charset val="134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2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1"/>
    </font>
    <font>
      <b/>
      <sz val="11"/>
      <color indexed="8"/>
      <name val="Calibri"/>
      <charset val="1"/>
    </font>
    <font>
      <sz val="11"/>
      <name val="Tahoma"/>
      <charset val="134"/>
    </font>
    <font>
      <u/>
      <sz val="10"/>
      <color indexed="12"/>
      <name val="Arial"/>
      <charset val="134"/>
    </font>
    <font>
      <sz val="12"/>
      <name val="Tahoma"/>
      <charset val="134"/>
    </font>
    <font>
      <b/>
      <sz val="18"/>
      <color indexed="62"/>
      <name val="Cambria"/>
      <charset val="1"/>
    </font>
    <font>
      <vertAlign val="superscript"/>
      <sz val="11"/>
      <color theme="1"/>
      <name val="Calibri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36">
    <xf numFmtId="0" fontId="0" fillId="0" borderId="0"/>
    <xf numFmtId="0" fontId="26" fillId="12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26" borderId="84" applyNumberFormat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16" fillId="8" borderId="82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0" fontId="23" fillId="17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23" fillId="16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25" fillId="10" borderId="83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3" fillId="34" borderId="87" applyNumberFormat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45" fillId="34" borderId="83" applyNumberFormat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35" fillId="0" borderId="85" applyNumberFormat="0" applyFill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179" fontId="41" fillId="0" borderId="0"/>
    <xf numFmtId="0" fontId="24" fillId="3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3" fillId="6" borderId="0" applyNumberFormat="0" applyBorder="0" applyAlignment="0" applyProtection="0"/>
    <xf numFmtId="0" fontId="24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41" fontId="0" fillId="0" borderId="0" applyFont="0" applyFill="0" applyBorder="0" applyAlignment="0" applyProtection="0"/>
    <xf numFmtId="0" fontId="27" fillId="13" borderId="0" applyNumberFormat="0" applyBorder="0" applyAlignment="0" applyProtection="0"/>
    <xf numFmtId="0" fontId="32" fillId="0" borderId="0"/>
    <xf numFmtId="0" fontId="23" fillId="6" borderId="0" applyNumberFormat="0" applyBorder="0" applyAlignment="0" applyProtection="0"/>
    <xf numFmtId="0" fontId="23" fillId="23" borderId="0" applyNumberFormat="0" applyBorder="0" applyAlignment="0" applyProtection="0"/>
    <xf numFmtId="0" fontId="27" fillId="16" borderId="0" applyNumberFormat="0" applyBorder="0" applyAlignment="0" applyProtection="0"/>
    <xf numFmtId="0" fontId="23" fillId="23" borderId="0" applyNumberFormat="0" applyBorder="0" applyAlignment="0" applyProtection="0"/>
    <xf numFmtId="0" fontId="23" fillId="6" borderId="0" applyNumberFormat="0" applyBorder="0" applyAlignment="0" applyProtection="0"/>
    <xf numFmtId="0" fontId="23" fillId="18" borderId="0" applyNumberFormat="0" applyBorder="0" applyAlignment="0" applyProtection="0"/>
    <xf numFmtId="39" fontId="48" fillId="0" borderId="90"/>
    <xf numFmtId="0" fontId="27" fillId="1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82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1" fontId="16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49" fillId="0" borderId="0"/>
    <xf numFmtId="18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52" fillId="0" borderId="0" applyFont="0" applyFill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48" fillId="0" borderId="0"/>
    <xf numFmtId="0" fontId="1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16" fillId="0" borderId="0"/>
    <xf numFmtId="0" fontId="0" fillId="0" borderId="0"/>
    <xf numFmtId="0" fontId="28" fillId="0" borderId="0"/>
    <xf numFmtId="0" fontId="54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389">
    <xf numFmtId="0" fontId="0" fillId="0" borderId="0" xfId="0"/>
    <xf numFmtId="0" fontId="1" fillId="0" borderId="0" xfId="129" applyFont="1"/>
    <xf numFmtId="0" fontId="1" fillId="0" borderId="0" xfId="129" applyFont="1" applyBorder="1"/>
    <xf numFmtId="0" fontId="2" fillId="0" borderId="0" xfId="117" applyFont="1" applyAlignment="1">
      <alignment horizontal="center"/>
    </xf>
    <xf numFmtId="0" fontId="3" fillId="0" borderId="0" xfId="129" applyFont="1" applyFill="1" applyBorder="1" applyAlignment="1">
      <alignment vertical="top"/>
    </xf>
    <xf numFmtId="0" fontId="1" fillId="0" borderId="0" xfId="117" applyFont="1" applyAlignment="1">
      <alignment horizontal="left" vertical="top"/>
    </xf>
    <xf numFmtId="0" fontId="1" fillId="0" borderId="0" xfId="117" applyFont="1" applyAlignment="1">
      <alignment horizontal="center" vertical="top"/>
    </xf>
    <xf numFmtId="0" fontId="1" fillId="0" borderId="0" xfId="117" applyFont="1" applyFill="1" applyAlignment="1">
      <alignment horizontal="left" vertical="top"/>
    </xf>
    <xf numFmtId="0" fontId="1" fillId="0" borderId="0" xfId="117" applyFont="1" applyFill="1" applyAlignment="1">
      <alignment vertical="top"/>
    </xf>
    <xf numFmtId="0" fontId="3" fillId="0" borderId="0" xfId="129" applyFont="1" applyFill="1" applyBorder="1" applyAlignment="1">
      <alignment vertical="center"/>
    </xf>
    <xf numFmtId="0" fontId="1" fillId="0" borderId="0" xfId="117" applyFont="1" applyAlignment="1">
      <alignment horizontal="left"/>
    </xf>
    <xf numFmtId="0" fontId="1" fillId="0" borderId="0" xfId="117" applyFont="1" applyAlignment="1">
      <alignment horizontal="center"/>
    </xf>
    <xf numFmtId="0" fontId="2" fillId="0" borderId="0" xfId="117" applyFont="1" applyFill="1"/>
    <xf numFmtId="0" fontId="1" fillId="0" borderId="0" xfId="117" applyFont="1"/>
    <xf numFmtId="0" fontId="4" fillId="0" borderId="0" xfId="117" applyFont="1" applyAlignment="1">
      <alignment horizontal="center"/>
    </xf>
    <xf numFmtId="0" fontId="4" fillId="2" borderId="1" xfId="117" applyFont="1" applyFill="1" applyBorder="1" applyAlignment="1">
      <alignment horizontal="center" vertical="center"/>
    </xf>
    <xf numFmtId="0" fontId="4" fillId="2" borderId="2" xfId="117" applyFont="1" applyFill="1" applyBorder="1" applyAlignment="1">
      <alignment horizontal="center" vertical="center"/>
    </xf>
    <xf numFmtId="0" fontId="4" fillId="2" borderId="3" xfId="117" applyFont="1" applyFill="1" applyBorder="1" applyAlignment="1">
      <alignment horizontal="center" vertical="center"/>
    </xf>
    <xf numFmtId="0" fontId="4" fillId="2" borderId="4" xfId="117" applyFont="1" applyFill="1" applyBorder="1" applyAlignment="1">
      <alignment horizontal="center" vertical="center"/>
    </xf>
    <xf numFmtId="0" fontId="4" fillId="2" borderId="2" xfId="117" applyFont="1" applyFill="1" applyBorder="1" applyAlignment="1">
      <alignment horizontal="center" vertical="center" wrapText="1"/>
    </xf>
    <xf numFmtId="0" fontId="3" fillId="0" borderId="5" xfId="117" applyFont="1" applyBorder="1" applyAlignment="1">
      <alignment horizontal="center" vertical="center"/>
    </xf>
    <xf numFmtId="0" fontId="3" fillId="0" borderId="6" xfId="117" applyFont="1" applyBorder="1" applyAlignment="1">
      <alignment vertical="center"/>
    </xf>
    <xf numFmtId="0" fontId="3" fillId="0" borderId="7" xfId="117" applyFont="1" applyBorder="1" applyAlignment="1">
      <alignment vertical="center"/>
    </xf>
    <xf numFmtId="0" fontId="3" fillId="0" borderId="8" xfId="117" applyFont="1" applyBorder="1" applyAlignment="1">
      <alignment horizontal="center" vertical="center"/>
    </xf>
    <xf numFmtId="4" fontId="3" fillId="0" borderId="6" xfId="117" applyNumberFormat="1" applyFont="1" applyBorder="1" applyAlignment="1">
      <alignment horizontal="right" vertical="center"/>
    </xf>
    <xf numFmtId="0" fontId="3" fillId="0" borderId="9" xfId="117" applyFont="1" applyBorder="1" applyAlignment="1">
      <alignment horizontal="center" vertical="center"/>
    </xf>
    <xf numFmtId="0" fontId="3" fillId="0" borderId="10" xfId="117" applyFont="1" applyBorder="1" applyAlignment="1">
      <alignment vertical="center"/>
    </xf>
    <xf numFmtId="0" fontId="3" fillId="0" borderId="11" xfId="117" applyFont="1" applyBorder="1" applyAlignment="1">
      <alignment vertical="center"/>
    </xf>
    <xf numFmtId="0" fontId="3" fillId="0" borderId="12" xfId="117" applyFont="1" applyBorder="1" applyAlignment="1">
      <alignment horizontal="center" vertical="center"/>
    </xf>
    <xf numFmtId="4" fontId="3" fillId="0" borderId="10" xfId="117" applyNumberFormat="1" applyFont="1" applyBorder="1" applyAlignment="1">
      <alignment horizontal="right" vertical="center"/>
    </xf>
    <xf numFmtId="0" fontId="3" fillId="0" borderId="13" xfId="117" applyFont="1" applyBorder="1" applyAlignment="1">
      <alignment horizontal="center" vertical="center"/>
    </xf>
    <xf numFmtId="0" fontId="3" fillId="0" borderId="14" xfId="117" applyFont="1" applyBorder="1" applyAlignment="1">
      <alignment vertical="center"/>
    </xf>
    <xf numFmtId="0" fontId="3" fillId="0" borderId="15" xfId="117" applyFont="1" applyBorder="1" applyAlignment="1">
      <alignment vertical="center"/>
    </xf>
    <xf numFmtId="0" fontId="3" fillId="0" borderId="16" xfId="117" applyFont="1" applyBorder="1" applyAlignment="1">
      <alignment horizontal="center" vertical="center"/>
    </xf>
    <xf numFmtId="4" fontId="3" fillId="0" borderId="14" xfId="117" applyNumberFormat="1" applyFont="1" applyBorder="1" applyAlignment="1">
      <alignment horizontal="right" vertical="center"/>
    </xf>
    <xf numFmtId="0" fontId="3" fillId="0" borderId="17" xfId="117" applyFont="1" applyBorder="1" applyAlignment="1">
      <alignment vertical="center"/>
    </xf>
    <xf numFmtId="0" fontId="3" fillId="0" borderId="17" xfId="117" applyFont="1" applyBorder="1" applyAlignment="1">
      <alignment horizontal="center" vertical="center"/>
    </xf>
    <xf numFmtId="4" fontId="3" fillId="0" borderId="15" xfId="117" applyNumberFormat="1" applyFont="1" applyBorder="1" applyAlignment="1">
      <alignment horizontal="right" vertical="center"/>
    </xf>
    <xf numFmtId="0" fontId="3" fillId="0" borderId="15" xfId="117" applyFont="1" applyFill="1" applyBorder="1" applyAlignment="1">
      <alignment vertical="center"/>
    </xf>
    <xf numFmtId="0" fontId="3" fillId="0" borderId="18" xfId="117" applyFont="1" applyBorder="1" applyAlignment="1">
      <alignment vertical="center"/>
    </xf>
    <xf numFmtId="0" fontId="3" fillId="0" borderId="19" xfId="117" applyFont="1" applyBorder="1" applyAlignment="1">
      <alignment vertical="center"/>
    </xf>
    <xf numFmtId="0" fontId="1" fillId="0" borderId="20" xfId="129" applyFont="1" applyBorder="1"/>
    <xf numFmtId="0" fontId="1" fillId="0" borderId="21" xfId="129" applyFont="1" applyBorder="1"/>
    <xf numFmtId="0" fontId="1" fillId="0" borderId="22" xfId="129" applyFont="1" applyBorder="1"/>
    <xf numFmtId="0" fontId="3" fillId="0" borderId="3" xfId="117" applyFont="1" applyBorder="1" applyAlignment="1">
      <alignment horizontal="center" vertical="center"/>
    </xf>
    <xf numFmtId="0" fontId="3" fillId="0" borderId="3" xfId="117" applyFont="1" applyBorder="1" applyAlignment="1">
      <alignment vertical="center"/>
    </xf>
    <xf numFmtId="4" fontId="3" fillId="0" borderId="3" xfId="117" applyNumberFormat="1" applyFont="1" applyBorder="1" applyAlignment="1">
      <alignment horizontal="right" vertical="center"/>
    </xf>
    <xf numFmtId="0" fontId="4" fillId="2" borderId="23" xfId="117" applyFont="1" applyFill="1" applyBorder="1" applyAlignment="1">
      <alignment horizontal="center" vertical="center"/>
    </xf>
    <xf numFmtId="0" fontId="4" fillId="2" borderId="24" xfId="117" applyFont="1" applyFill="1" applyBorder="1" applyAlignment="1">
      <alignment horizontal="center" vertical="center"/>
    </xf>
    <xf numFmtId="0" fontId="4" fillId="2" borderId="25" xfId="117" applyFont="1" applyFill="1" applyBorder="1" applyAlignment="1">
      <alignment horizontal="center" vertical="center"/>
    </xf>
    <xf numFmtId="0" fontId="4" fillId="2" borderId="26" xfId="117" applyFont="1" applyFill="1" applyBorder="1" applyAlignment="1">
      <alignment horizontal="center" vertical="center"/>
    </xf>
    <xf numFmtId="0" fontId="4" fillId="2" borderId="24" xfId="117" applyFont="1" applyFill="1" applyBorder="1" applyAlignment="1">
      <alignment horizontal="center" vertical="center" wrapText="1"/>
    </xf>
    <xf numFmtId="0" fontId="3" fillId="0" borderId="5" xfId="117" applyFont="1" applyFill="1" applyBorder="1" applyAlignment="1">
      <alignment horizontal="center" vertical="center"/>
    </xf>
    <xf numFmtId="0" fontId="4" fillId="0" borderId="7" xfId="117" applyFont="1" applyFill="1" applyBorder="1" applyAlignment="1">
      <alignment horizontal="center" vertical="center"/>
    </xf>
    <xf numFmtId="0" fontId="3" fillId="0" borderId="7" xfId="117" applyFont="1" applyFill="1" applyBorder="1" applyAlignment="1">
      <alignment horizontal="left" vertical="center"/>
    </xf>
    <xf numFmtId="0" fontId="3" fillId="0" borderId="8" xfId="117" applyFont="1" applyFill="1" applyBorder="1" applyAlignment="1">
      <alignment horizontal="center" vertical="center"/>
    </xf>
    <xf numFmtId="0" fontId="3" fillId="0" borderId="6" xfId="117" applyFont="1" applyFill="1" applyBorder="1" applyAlignment="1">
      <alignment horizontal="right" vertical="center" wrapText="1"/>
    </xf>
    <xf numFmtId="0" fontId="3" fillId="0" borderId="13" xfId="117" applyFont="1" applyFill="1" applyBorder="1" applyAlignment="1">
      <alignment horizontal="center" vertical="center"/>
    </xf>
    <xf numFmtId="0" fontId="4" fillId="0" borderId="15" xfId="117" applyFont="1" applyFill="1" applyBorder="1" applyAlignment="1">
      <alignment horizontal="center" vertical="center"/>
    </xf>
    <xf numFmtId="0" fontId="3" fillId="0" borderId="15" xfId="117" applyFont="1" applyFill="1" applyBorder="1" applyAlignment="1">
      <alignment horizontal="left" vertical="center"/>
    </xf>
    <xf numFmtId="0" fontId="3" fillId="0" borderId="16" xfId="117" applyFont="1" applyFill="1" applyBorder="1" applyAlignment="1">
      <alignment horizontal="center" vertical="center"/>
    </xf>
    <xf numFmtId="0" fontId="3" fillId="0" borderId="14" xfId="117" applyFont="1" applyFill="1" applyBorder="1" applyAlignment="1">
      <alignment horizontal="right" vertical="center" wrapText="1"/>
    </xf>
    <xf numFmtId="0" fontId="1" fillId="0" borderId="15" xfId="117" applyFont="1" applyBorder="1" applyAlignment="1">
      <alignment vertical="center"/>
    </xf>
    <xf numFmtId="0" fontId="2" fillId="0" borderId="0" xfId="117" applyFont="1" applyBorder="1" applyAlignment="1"/>
    <xf numFmtId="0" fontId="2" fillId="0" borderId="0" xfId="129" applyFont="1"/>
    <xf numFmtId="0" fontId="2" fillId="0" borderId="0" xfId="129" applyFont="1" applyBorder="1"/>
    <xf numFmtId="0" fontId="1" fillId="0" borderId="0" xfId="117" applyFont="1" applyFill="1"/>
    <xf numFmtId="0" fontId="4" fillId="2" borderId="27" xfId="117" applyFont="1" applyFill="1" applyBorder="1" applyAlignment="1">
      <alignment horizontal="center" vertical="center" wrapText="1"/>
    </xf>
    <xf numFmtId="4" fontId="3" fillId="0" borderId="28" xfId="117" applyNumberFormat="1" applyFont="1" applyBorder="1" applyAlignment="1">
      <alignment vertical="center"/>
    </xf>
    <xf numFmtId="4" fontId="3" fillId="0" borderId="0" xfId="117" applyNumberFormat="1" applyFont="1" applyBorder="1" applyAlignment="1">
      <alignment vertical="center"/>
    </xf>
    <xf numFmtId="4" fontId="3" fillId="0" borderId="29" xfId="117" applyNumberFormat="1" applyFont="1" applyBorder="1" applyAlignment="1">
      <alignment vertical="center"/>
    </xf>
    <xf numFmtId="4" fontId="3" fillId="0" borderId="30" xfId="117" applyNumberFormat="1" applyFont="1" applyBorder="1" applyAlignment="1">
      <alignment vertical="center"/>
    </xf>
    <xf numFmtId="4" fontId="3" fillId="0" borderId="31" xfId="117" applyNumberFormat="1" applyFont="1" applyBorder="1" applyAlignment="1">
      <alignment vertical="center"/>
    </xf>
    <xf numFmtId="0" fontId="1" fillId="0" borderId="32" xfId="129" applyFont="1" applyBorder="1"/>
    <xf numFmtId="4" fontId="3" fillId="0" borderId="3" xfId="117" applyNumberFormat="1" applyFont="1" applyBorder="1" applyAlignment="1">
      <alignment vertical="center"/>
    </xf>
    <xf numFmtId="0" fontId="4" fillId="2" borderId="33" xfId="117" applyFont="1" applyFill="1" applyBorder="1" applyAlignment="1">
      <alignment horizontal="center" vertical="center" wrapText="1"/>
    </xf>
    <xf numFmtId="43" fontId="3" fillId="0" borderId="28" xfId="98" applyFont="1" applyBorder="1" applyAlignment="1">
      <alignment vertical="center"/>
    </xf>
    <xf numFmtId="43" fontId="3" fillId="0" borderId="0" xfId="98" applyFont="1" applyBorder="1" applyAlignment="1">
      <alignment vertical="center"/>
    </xf>
    <xf numFmtId="43" fontId="3" fillId="0" borderId="30" xfId="98" applyFont="1" applyBorder="1" applyAlignment="1">
      <alignment vertical="center"/>
    </xf>
    <xf numFmtId="43" fontId="1" fillId="0" borderId="0" xfId="129" applyNumberFormat="1" applyFont="1"/>
    <xf numFmtId="0" fontId="3" fillId="0" borderId="0" xfId="129" applyFont="1"/>
    <xf numFmtId="0" fontId="5" fillId="0" borderId="0" xfId="129" applyFont="1"/>
    <xf numFmtId="0" fontId="1" fillId="0" borderId="0" xfId="129" applyFont="1" applyAlignment="1">
      <alignment horizontal="right"/>
    </xf>
    <xf numFmtId="0" fontId="1" fillId="0" borderId="0" xfId="129" applyFont="1" applyAlignment="1">
      <alignment horizontal="center"/>
    </xf>
    <xf numFmtId="0" fontId="1" fillId="0" borderId="15" xfId="129" applyFont="1" applyBorder="1"/>
    <xf numFmtId="0" fontId="1" fillId="0" borderId="16" xfId="129" applyFont="1" applyBorder="1" applyAlignment="1">
      <alignment horizontal="center"/>
    </xf>
    <xf numFmtId="0" fontId="1" fillId="0" borderId="15" xfId="129" applyFont="1" applyBorder="1" applyAlignment="1">
      <alignment horizontal="right"/>
    </xf>
    <xf numFmtId="0" fontId="3" fillId="0" borderId="15" xfId="129" applyFont="1" applyBorder="1"/>
    <xf numFmtId="0" fontId="3" fillId="0" borderId="16" xfId="129" applyFont="1" applyBorder="1" applyAlignment="1">
      <alignment horizontal="center"/>
    </xf>
    <xf numFmtId="0" fontId="3" fillId="0" borderId="15" xfId="129" applyFont="1" applyBorder="1" applyAlignment="1">
      <alignment horizontal="right"/>
    </xf>
    <xf numFmtId="43" fontId="3" fillId="0" borderId="30" xfId="100" applyFont="1" applyBorder="1"/>
    <xf numFmtId="43" fontId="3" fillId="0" borderId="0" xfId="100" applyFont="1" applyBorder="1"/>
    <xf numFmtId="0" fontId="1" fillId="0" borderId="21" xfId="117" applyFont="1" applyBorder="1" applyAlignment="1">
      <alignment vertical="center"/>
    </xf>
    <xf numFmtId="0" fontId="1" fillId="0" borderId="34" xfId="129" applyFont="1" applyBorder="1"/>
    <xf numFmtId="0" fontId="1" fillId="0" borderId="35" xfId="129" applyFont="1" applyBorder="1" applyAlignment="1">
      <alignment horizontal="center"/>
    </xf>
    <xf numFmtId="185" fontId="3" fillId="0" borderId="3" xfId="98" applyNumberFormat="1" applyFont="1" applyFill="1" applyBorder="1" applyAlignment="1">
      <alignment horizontal="left" vertical="center"/>
    </xf>
    <xf numFmtId="0" fontId="1" fillId="0" borderId="3" xfId="117" applyFont="1" applyBorder="1" applyAlignment="1">
      <alignment vertical="center"/>
    </xf>
    <xf numFmtId="0" fontId="1" fillId="0" borderId="3" xfId="129" applyFont="1" applyBorder="1"/>
    <xf numFmtId="0" fontId="3" fillId="0" borderId="0" xfId="117" applyFont="1" applyFill="1" applyBorder="1" applyAlignment="1"/>
    <xf numFmtId="0" fontId="3" fillId="0" borderId="0" xfId="117" applyFont="1" applyAlignment="1">
      <alignment horizontal="center" vertical="center"/>
    </xf>
    <xf numFmtId="0" fontId="3" fillId="0" borderId="0" xfId="129" applyFont="1" applyBorder="1" applyAlignment="1">
      <alignment horizontal="center" vertical="center"/>
    </xf>
    <xf numFmtId="0" fontId="4" fillId="0" borderId="0" xfId="117" applyFont="1" applyAlignment="1">
      <alignment horizontal="center" vertical="center"/>
    </xf>
    <xf numFmtId="0" fontId="4" fillId="0" borderId="0" xfId="129" applyFont="1" applyBorder="1" applyAlignment="1">
      <alignment horizontal="center" vertical="center"/>
    </xf>
    <xf numFmtId="0" fontId="3" fillId="0" borderId="0" xfId="117" applyFont="1" applyAlignment="1">
      <alignment vertical="center"/>
    </xf>
    <xf numFmtId="0" fontId="6" fillId="0" borderId="0" xfId="129" applyFont="1" applyBorder="1" applyAlignment="1">
      <alignment horizontal="center" vertical="center"/>
    </xf>
    <xf numFmtId="0" fontId="7" fillId="0" borderId="0" xfId="129" applyFont="1" applyBorder="1" applyAlignment="1">
      <alignment horizontal="center" vertical="center"/>
    </xf>
    <xf numFmtId="43" fontId="3" fillId="0" borderId="3" xfId="98" applyFont="1" applyBorder="1" applyAlignment="1">
      <alignment vertical="center"/>
    </xf>
    <xf numFmtId="186" fontId="1" fillId="0" borderId="0" xfId="129" applyNumberFormat="1" applyFont="1"/>
    <xf numFmtId="0" fontId="6" fillId="0" borderId="0" xfId="117" applyFont="1" applyAlignment="1">
      <alignment vertical="center"/>
    </xf>
    <xf numFmtId="0" fontId="8" fillId="0" borderId="0" xfId="129" applyFont="1" applyBorder="1" applyAlignment="1">
      <alignment horizontal="center" vertical="center"/>
    </xf>
    <xf numFmtId="0" fontId="1" fillId="0" borderId="0" xfId="129" applyFont="1" applyBorder="1" applyAlignment="1">
      <alignment horizontal="center"/>
    </xf>
    <xf numFmtId="0" fontId="1" fillId="0" borderId="0" xfId="129" applyFont="1" applyBorder="1" applyAlignment="1">
      <alignment horizontal="left" vertical="top"/>
    </xf>
    <xf numFmtId="0" fontId="1" fillId="0" borderId="0" xfId="129" applyFont="1" applyBorder="1" applyAlignment="1">
      <alignment vertical="top"/>
    </xf>
    <xf numFmtId="0" fontId="1" fillId="0" borderId="0" xfId="129" applyFont="1" applyBorder="1" applyAlignment="1">
      <alignment horizontal="center" vertical="top"/>
    </xf>
    <xf numFmtId="0" fontId="1" fillId="0" borderId="0" xfId="129" applyFont="1" applyBorder="1" applyAlignment="1">
      <alignment horizontal="left"/>
    </xf>
    <xf numFmtId="0" fontId="3" fillId="0" borderId="0" xfId="132" applyFont="1" applyFill="1" applyBorder="1" applyAlignment="1" applyProtection="1">
      <alignment horizontal="center" vertical="center"/>
    </xf>
    <xf numFmtId="37" fontId="4" fillId="0" borderId="0" xfId="132" applyNumberFormat="1" applyFont="1" applyFill="1" applyBorder="1" applyAlignment="1" applyProtection="1">
      <alignment horizontal="center" vertical="center"/>
    </xf>
    <xf numFmtId="0" fontId="4" fillId="0" borderId="0" xfId="132" applyFont="1" applyFill="1" applyBorder="1" applyAlignment="1" applyProtection="1">
      <alignment vertical="center"/>
    </xf>
    <xf numFmtId="0" fontId="4" fillId="0" borderId="0" xfId="132" applyFont="1" applyFill="1" applyBorder="1" applyAlignment="1" applyProtection="1">
      <alignment horizontal="center" vertical="center"/>
    </xf>
    <xf numFmtId="39" fontId="4" fillId="0" borderId="0" xfId="132" applyNumberFormat="1" applyFont="1" applyFill="1" applyBorder="1" applyAlignment="1" applyProtection="1">
      <alignment horizontal="center" vertical="center"/>
    </xf>
    <xf numFmtId="39" fontId="4" fillId="0" borderId="0" xfId="132" applyNumberFormat="1" applyFont="1" applyFill="1" applyBorder="1" applyAlignment="1" applyProtection="1">
      <alignment vertical="center"/>
    </xf>
    <xf numFmtId="0" fontId="2" fillId="0" borderId="0" xfId="129" applyFont="1" applyFill="1" applyBorder="1" applyAlignment="1">
      <alignment horizontal="center"/>
    </xf>
    <xf numFmtId="0" fontId="2" fillId="0" borderId="0" xfId="129" applyFont="1" applyFill="1" applyBorder="1" applyAlignment="1">
      <alignment horizontal="left"/>
    </xf>
    <xf numFmtId="187" fontId="4" fillId="0" borderId="36" xfId="132" applyNumberFormat="1" applyFont="1" applyFill="1" applyBorder="1" applyAlignment="1" applyProtection="1">
      <alignment horizontal="center" vertical="center"/>
    </xf>
    <xf numFmtId="0" fontId="4" fillId="0" borderId="36" xfId="132" applyFont="1" applyFill="1" applyBorder="1" applyAlignment="1" applyProtection="1">
      <alignment horizontal="center" vertical="center"/>
    </xf>
    <xf numFmtId="39" fontId="4" fillId="0" borderId="36" xfId="132" applyNumberFormat="1" applyFont="1" applyFill="1" applyBorder="1" applyAlignment="1" applyProtection="1">
      <alignment horizontal="center" vertical="center"/>
    </xf>
    <xf numFmtId="39" fontId="4" fillId="0" borderId="37" xfId="132" applyNumberFormat="1" applyFont="1" applyFill="1" applyBorder="1" applyAlignment="1" applyProtection="1">
      <alignment horizontal="center" vertical="center"/>
    </xf>
    <xf numFmtId="37" fontId="3" fillId="0" borderId="36" xfId="132" applyNumberFormat="1" applyFont="1" applyFill="1" applyBorder="1" applyAlignment="1" applyProtection="1">
      <alignment horizontal="center" vertical="center"/>
    </xf>
    <xf numFmtId="37" fontId="3" fillId="0" borderId="37" xfId="132" applyNumberFormat="1" applyFont="1" applyFill="1" applyBorder="1" applyAlignment="1" applyProtection="1">
      <alignment horizontal="center" vertical="center"/>
    </xf>
    <xf numFmtId="187" fontId="3" fillId="0" borderId="38" xfId="132" applyNumberFormat="1" applyFont="1" applyFill="1" applyBorder="1" applyAlignment="1" applyProtection="1">
      <alignment horizontal="center" vertical="center"/>
    </xf>
    <xf numFmtId="0" fontId="3" fillId="0" borderId="38" xfId="132" applyFont="1" applyFill="1" applyBorder="1" applyAlignment="1" applyProtection="1">
      <alignment vertical="center"/>
    </xf>
    <xf numFmtId="39" fontId="3" fillId="0" borderId="38" xfId="132" applyNumberFormat="1" applyFont="1" applyFill="1" applyBorder="1" applyAlignment="1" applyProtection="1">
      <alignment vertical="center"/>
    </xf>
    <xf numFmtId="39" fontId="3" fillId="0" borderId="38" xfId="132" applyNumberFormat="1" applyFont="1" applyFill="1" applyBorder="1" applyAlignment="1" applyProtection="1">
      <alignment horizontal="center" vertical="center"/>
    </xf>
    <xf numFmtId="39" fontId="3" fillId="0" borderId="39" xfId="132" applyNumberFormat="1" applyFont="1" applyFill="1" applyBorder="1" applyAlignment="1" applyProtection="1">
      <alignment vertical="center"/>
    </xf>
    <xf numFmtId="37" fontId="3" fillId="0" borderId="40" xfId="132" applyNumberFormat="1" applyFont="1" applyFill="1" applyBorder="1" applyAlignment="1" applyProtection="1">
      <alignment horizontal="center" vertical="center"/>
    </xf>
    <xf numFmtId="0" fontId="3" fillId="0" borderId="40" xfId="132" applyFont="1" applyFill="1" applyBorder="1" applyAlignment="1" applyProtection="1">
      <alignment vertical="center"/>
    </xf>
    <xf numFmtId="0" fontId="3" fillId="0" borderId="40" xfId="132" applyFont="1" applyFill="1" applyBorder="1" applyAlignment="1" applyProtection="1">
      <alignment horizontal="center" vertical="center"/>
    </xf>
    <xf numFmtId="39" fontId="3" fillId="0" borderId="40" xfId="132" applyNumberFormat="1" applyFont="1" applyFill="1" applyBorder="1" applyAlignment="1" applyProtection="1">
      <alignment horizontal="center" vertical="center"/>
    </xf>
    <xf numFmtId="188" fontId="3" fillId="0" borderId="40" xfId="132" applyNumberFormat="1" applyFont="1" applyFill="1" applyBorder="1" applyAlignment="1" applyProtection="1">
      <alignment horizontal="center" vertical="center"/>
    </xf>
    <xf numFmtId="39" fontId="3" fillId="0" borderId="41" xfId="132" applyNumberFormat="1" applyFont="1" applyFill="1" applyBorder="1" applyAlignment="1" applyProtection="1">
      <alignment vertical="center"/>
    </xf>
    <xf numFmtId="37" fontId="3" fillId="0" borderId="42" xfId="132" applyNumberFormat="1" applyFont="1" applyFill="1" applyBorder="1" applyAlignment="1" applyProtection="1">
      <alignment horizontal="center" vertical="center"/>
    </xf>
    <xf numFmtId="0" fontId="3" fillId="0" borderId="42" xfId="132" applyFont="1" applyFill="1" applyBorder="1" applyAlignment="1" applyProtection="1">
      <alignment vertical="center"/>
    </xf>
    <xf numFmtId="0" fontId="3" fillId="0" borderId="42" xfId="132" applyFont="1" applyFill="1" applyBorder="1" applyAlignment="1" applyProtection="1">
      <alignment horizontal="center" vertical="center"/>
    </xf>
    <xf numFmtId="188" fontId="3" fillId="0" borderId="42" xfId="132" applyNumberFormat="1" applyFont="1" applyFill="1" applyBorder="1" applyAlignment="1" applyProtection="1">
      <alignment horizontal="center" vertical="center"/>
    </xf>
    <xf numFmtId="39" fontId="3" fillId="0" borderId="43" xfId="132" applyNumberFormat="1" applyFont="1" applyFill="1" applyBorder="1" applyAlignment="1" applyProtection="1">
      <alignment vertical="center"/>
    </xf>
    <xf numFmtId="37" fontId="3" fillId="0" borderId="39" xfId="132" applyNumberFormat="1" applyFont="1" applyFill="1" applyBorder="1" applyAlignment="1" applyProtection="1">
      <alignment horizontal="right" vertical="center"/>
    </xf>
    <xf numFmtId="37" fontId="3" fillId="0" borderId="44" xfId="132" applyNumberFormat="1" applyFont="1" applyFill="1" applyBorder="1" applyAlignment="1" applyProtection="1">
      <alignment horizontal="right" vertical="center"/>
    </xf>
    <xf numFmtId="37" fontId="3" fillId="0" borderId="38" xfId="132" applyNumberFormat="1" applyFont="1" applyFill="1" applyBorder="1" applyAlignment="1" applyProtection="1">
      <alignment horizontal="center" vertical="center"/>
    </xf>
    <xf numFmtId="0" fontId="3" fillId="0" borderId="38" xfId="132" applyFont="1" applyFill="1" applyBorder="1" applyAlignment="1" applyProtection="1">
      <alignment horizontal="center" vertical="center"/>
    </xf>
    <xf numFmtId="39" fontId="3" fillId="0" borderId="40" xfId="132" applyNumberFormat="1" applyFont="1" applyFill="1" applyBorder="1" applyAlignment="1" applyProtection="1">
      <alignment vertical="center"/>
    </xf>
    <xf numFmtId="39" fontId="3" fillId="0" borderId="42" xfId="132" applyNumberFormat="1" applyFont="1" applyFill="1" applyBorder="1" applyAlignment="1" applyProtection="1">
      <alignment horizontal="center" vertical="center"/>
    </xf>
    <xf numFmtId="39" fontId="3" fillId="0" borderId="42" xfId="132" applyNumberFormat="1" applyFont="1" applyFill="1" applyBorder="1" applyAlignment="1" applyProtection="1">
      <alignment vertical="center"/>
    </xf>
    <xf numFmtId="37" fontId="3" fillId="0" borderId="37" xfId="132" applyNumberFormat="1" applyFont="1" applyFill="1" applyBorder="1" applyAlignment="1" applyProtection="1">
      <alignment horizontal="right" vertical="center"/>
    </xf>
    <xf numFmtId="37" fontId="3" fillId="0" borderId="45" xfId="132" applyNumberFormat="1" applyFont="1" applyFill="1" applyBorder="1" applyAlignment="1" applyProtection="1">
      <alignment horizontal="right" vertical="center"/>
    </xf>
    <xf numFmtId="187" fontId="3" fillId="0" borderId="42" xfId="132" applyNumberFormat="1" applyFont="1" applyFill="1" applyBorder="1" applyAlignment="1" applyProtection="1">
      <alignment horizontal="center" vertical="center"/>
    </xf>
    <xf numFmtId="0" fontId="3" fillId="0" borderId="36" xfId="132" applyFont="1" applyFill="1" applyBorder="1" applyAlignment="1" applyProtection="1">
      <alignment vertical="center"/>
    </xf>
    <xf numFmtId="0" fontId="3" fillId="0" borderId="36" xfId="132" applyFont="1" applyFill="1" applyBorder="1" applyAlignment="1" applyProtection="1">
      <alignment horizontal="center" vertical="center"/>
    </xf>
    <xf numFmtId="39" fontId="3" fillId="0" borderId="36" xfId="132" applyNumberFormat="1" applyFont="1" applyFill="1" applyBorder="1" applyAlignment="1" applyProtection="1">
      <alignment horizontal="center" vertical="center"/>
    </xf>
    <xf numFmtId="39" fontId="3" fillId="0" borderId="37" xfId="132" applyNumberFormat="1" applyFont="1" applyFill="1" applyBorder="1" applyAlignment="1" applyProtection="1">
      <alignment vertical="center"/>
    </xf>
    <xf numFmtId="9" fontId="3" fillId="0" borderId="36" xfId="132" applyNumberFormat="1" applyFont="1" applyFill="1" applyBorder="1" applyAlignment="1" applyProtection="1">
      <alignment horizontal="center" vertical="center"/>
    </xf>
    <xf numFmtId="37" fontId="4" fillId="0" borderId="36" xfId="132" applyNumberFormat="1" applyFont="1" applyFill="1" applyBorder="1" applyAlignment="1" applyProtection="1">
      <alignment horizontal="center" vertical="center"/>
    </xf>
    <xf numFmtId="0" fontId="4" fillId="0" borderId="36" xfId="132" applyFont="1" applyFill="1" applyBorder="1" applyAlignment="1" applyProtection="1">
      <alignment vertical="center"/>
    </xf>
    <xf numFmtId="39" fontId="4" fillId="0" borderId="37" xfId="132" applyNumberFormat="1" applyFont="1" applyFill="1" applyBorder="1" applyAlignment="1" applyProtection="1">
      <alignment vertical="center"/>
    </xf>
    <xf numFmtId="0" fontId="9" fillId="0" borderId="0" xfId="129" applyFont="1" applyFill="1" applyBorder="1" applyAlignment="1">
      <alignment horizontal="left"/>
    </xf>
    <xf numFmtId="189" fontId="4" fillId="0" borderId="0" xfId="132" applyNumberFormat="1" applyFont="1" applyFill="1" applyBorder="1" applyAlignment="1" applyProtection="1">
      <alignment vertical="center"/>
    </xf>
    <xf numFmtId="7" fontId="4" fillId="0" borderId="36" xfId="132" applyNumberFormat="1" applyFont="1" applyFill="1" applyBorder="1" applyAlignment="1" applyProtection="1">
      <alignment horizontal="center" vertical="center"/>
    </xf>
    <xf numFmtId="7" fontId="3" fillId="0" borderId="38" xfId="132" applyNumberFormat="1" applyFont="1" applyFill="1" applyBorder="1" applyAlignment="1" applyProtection="1">
      <alignment vertical="center"/>
    </xf>
    <xf numFmtId="189" fontId="3" fillId="0" borderId="40" xfId="132" applyNumberFormat="1" applyFont="1" applyFill="1" applyBorder="1" applyAlignment="1" applyProtection="1">
      <alignment vertical="center"/>
    </xf>
    <xf numFmtId="189" fontId="3" fillId="0" borderId="38" xfId="132" applyNumberFormat="1" applyFont="1" applyFill="1" applyBorder="1" applyAlignment="1" applyProtection="1">
      <alignment vertical="center"/>
    </xf>
    <xf numFmtId="189" fontId="3" fillId="0" borderId="36" xfId="132" applyNumberFormat="1" applyFont="1" applyFill="1" applyBorder="1" applyAlignment="1" applyProtection="1">
      <alignment horizontal="right" vertical="center"/>
    </xf>
    <xf numFmtId="189" fontId="3" fillId="0" borderId="42" xfId="132" applyNumberFormat="1" applyFont="1" applyFill="1" applyBorder="1" applyAlignment="1" applyProtection="1">
      <alignment vertical="center"/>
    </xf>
    <xf numFmtId="189" fontId="3" fillId="0" borderId="36" xfId="132" applyNumberFormat="1" applyFont="1" applyFill="1" applyBorder="1" applyAlignment="1" applyProtection="1">
      <alignment vertical="center"/>
    </xf>
    <xf numFmtId="189" fontId="4" fillId="0" borderId="36" xfId="132" applyNumberFormat="1" applyFont="1" applyFill="1" applyBorder="1" applyAlignment="1" applyProtection="1">
      <alignment vertical="center"/>
    </xf>
    <xf numFmtId="43" fontId="1" fillId="0" borderId="0" xfId="129" applyNumberFormat="1" applyFont="1" applyBorder="1"/>
    <xf numFmtId="187" fontId="4" fillId="0" borderId="0" xfId="132" applyNumberFormat="1" applyFont="1" applyFill="1" applyBorder="1" applyAlignment="1" applyProtection="1">
      <alignment vertical="center"/>
    </xf>
    <xf numFmtId="0" fontId="3" fillId="0" borderId="0" xfId="132" applyFont="1" applyFill="1" applyBorder="1" applyAlignment="1" applyProtection="1">
      <alignment vertical="center"/>
    </xf>
    <xf numFmtId="187" fontId="4" fillId="0" borderId="0" xfId="132" applyNumberFormat="1" applyFont="1" applyFill="1" applyBorder="1" applyAlignment="1" applyProtection="1">
      <alignment horizontal="center" vertical="center"/>
    </xf>
    <xf numFmtId="187" fontId="3" fillId="0" borderId="40" xfId="132" applyNumberFormat="1" applyFont="1" applyFill="1" applyBorder="1" applyAlignment="1" applyProtection="1">
      <alignment horizontal="center" vertical="center"/>
    </xf>
    <xf numFmtId="7" fontId="3" fillId="0" borderId="0" xfId="132" applyNumberFormat="1" applyFont="1" applyFill="1" applyBorder="1" applyAlignment="1" applyProtection="1">
      <alignment vertical="center"/>
    </xf>
    <xf numFmtId="43" fontId="4" fillId="0" borderId="0" xfId="132" applyNumberFormat="1" applyFont="1" applyFill="1" applyBorder="1" applyAlignment="1" applyProtection="1">
      <alignment horizontal="center" vertical="center"/>
    </xf>
    <xf numFmtId="37" fontId="3" fillId="0" borderId="0" xfId="132" applyNumberFormat="1" applyFont="1" applyFill="1" applyBorder="1" applyAlignment="1" applyProtection="1">
      <alignment horizontal="center" vertical="center"/>
    </xf>
    <xf numFmtId="0" fontId="4" fillId="0" borderId="0" xfId="132" applyFont="1" applyFill="1" applyBorder="1" applyAlignment="1" applyProtection="1">
      <alignment horizontal="left" vertical="center"/>
    </xf>
    <xf numFmtId="187" fontId="3" fillId="0" borderId="0" xfId="132" applyNumberFormat="1" applyFont="1" applyFill="1" applyBorder="1" applyAlignment="1" applyProtection="1">
      <alignment horizontal="center" vertical="center"/>
    </xf>
    <xf numFmtId="39" fontId="3" fillId="0" borderId="0" xfId="132" applyNumberFormat="1" applyFont="1" applyFill="1" applyBorder="1" applyAlignment="1" applyProtection="1">
      <alignment vertical="center"/>
    </xf>
    <xf numFmtId="39" fontId="3" fillId="0" borderId="0" xfId="132" applyNumberFormat="1" applyFont="1" applyFill="1" applyBorder="1" applyAlignment="1" applyProtection="1">
      <alignment horizontal="center" vertical="center"/>
    </xf>
    <xf numFmtId="43" fontId="3" fillId="0" borderId="0" xfId="132" applyNumberFormat="1" applyFont="1" applyFill="1" applyBorder="1" applyAlignment="1" applyProtection="1">
      <alignment horizontal="center" vertical="center"/>
    </xf>
    <xf numFmtId="43" fontId="3" fillId="0" borderId="0" xfId="132" applyNumberFormat="1" applyFont="1" applyFill="1" applyBorder="1" applyAlignment="1" applyProtection="1">
      <alignment vertical="center"/>
    </xf>
    <xf numFmtId="188" fontId="3" fillId="0" borderId="0" xfId="132" applyNumberFormat="1" applyFont="1" applyFill="1" applyBorder="1" applyAlignment="1" applyProtection="1">
      <alignment horizontal="center" vertical="center"/>
    </xf>
    <xf numFmtId="189" fontId="1" fillId="0" borderId="0" xfId="129" applyNumberFormat="1" applyFont="1"/>
    <xf numFmtId="37" fontId="3" fillId="0" borderId="46" xfId="132" applyNumberFormat="1" applyFont="1" applyFill="1" applyBorder="1" applyAlignment="1" applyProtection="1">
      <alignment horizontal="right" vertical="center"/>
    </xf>
    <xf numFmtId="188" fontId="3" fillId="0" borderId="38" xfId="132" applyNumberFormat="1" applyFont="1" applyFill="1" applyBorder="1" applyAlignment="1" applyProtection="1">
      <alignment horizontal="center" vertical="center"/>
    </xf>
    <xf numFmtId="7" fontId="3" fillId="0" borderId="40" xfId="132" applyNumberFormat="1" applyFont="1" applyFill="1" applyBorder="1" applyAlignment="1" applyProtection="1">
      <alignment vertical="center"/>
    </xf>
    <xf numFmtId="0" fontId="10" fillId="3" borderId="0" xfId="129" applyFont="1" applyFill="1" applyBorder="1" applyAlignment="1">
      <alignment horizontal="center" vertical="center"/>
    </xf>
    <xf numFmtId="0" fontId="10" fillId="3" borderId="0" xfId="129" applyFont="1" applyFill="1" applyBorder="1" applyAlignment="1">
      <alignment horizontal="left" vertical="center"/>
    </xf>
    <xf numFmtId="0" fontId="4" fillId="0" borderId="0" xfId="125" applyFont="1" applyAlignment="1">
      <alignment horizontal="center" vertical="center"/>
    </xf>
    <xf numFmtId="0" fontId="3" fillId="0" borderId="0" xfId="125" applyFont="1" applyAlignment="1">
      <alignment horizontal="center" vertical="center"/>
    </xf>
    <xf numFmtId="0" fontId="4" fillId="0" borderId="38" xfId="125" applyFont="1" applyBorder="1" applyAlignment="1">
      <alignment horizontal="center" vertical="center"/>
    </xf>
    <xf numFmtId="0" fontId="4" fillId="0" borderId="38" xfId="125" applyFont="1" applyBorder="1" applyAlignment="1">
      <alignment horizontal="center" vertical="center" wrapText="1"/>
    </xf>
    <xf numFmtId="0" fontId="4" fillId="0" borderId="42" xfId="125" applyFont="1" applyBorder="1" applyAlignment="1">
      <alignment horizontal="center" vertical="center"/>
    </xf>
    <xf numFmtId="0" fontId="4" fillId="0" borderId="42" xfId="125" applyFont="1" applyBorder="1" applyAlignment="1">
      <alignment horizontal="center" vertical="center" wrapText="1"/>
    </xf>
    <xf numFmtId="0" fontId="4" fillId="0" borderId="38" xfId="125" applyFont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3" fillId="0" borderId="38" xfId="125" applyFont="1" applyBorder="1" applyAlignment="1">
      <alignment horizontal="center" vertical="center"/>
    </xf>
    <xf numFmtId="0" fontId="3" fillId="0" borderId="40" xfId="125" applyFont="1" applyBorder="1" applyAlignment="1">
      <alignment horizontal="center" vertical="center"/>
    </xf>
    <xf numFmtId="0" fontId="3" fillId="0" borderId="40" xfId="125" applyFont="1" applyBorder="1" applyAlignment="1">
      <alignment horizontal="left" vertical="center"/>
    </xf>
    <xf numFmtId="190" fontId="11" fillId="3" borderId="47" xfId="78" applyNumberFormat="1" applyFont="1" applyFill="1" applyBorder="1" applyAlignment="1">
      <alignment horizontal="center" vertical="center"/>
    </xf>
    <xf numFmtId="177" fontId="3" fillId="0" borderId="40" xfId="78" applyNumberFormat="1" applyFont="1" applyBorder="1" applyAlignment="1">
      <alignment horizontal="center" vertical="center"/>
    </xf>
    <xf numFmtId="0" fontId="3" fillId="0" borderId="42" xfId="125" applyFont="1" applyBorder="1" applyAlignment="1">
      <alignment horizontal="center" vertical="center"/>
    </xf>
    <xf numFmtId="0" fontId="3" fillId="0" borderId="42" xfId="125" applyFont="1" applyBorder="1" applyAlignment="1">
      <alignment horizontal="left" vertical="center"/>
    </xf>
    <xf numFmtId="190" fontId="11" fillId="3" borderId="48" xfId="78" applyNumberFormat="1" applyFont="1" applyFill="1" applyBorder="1" applyAlignment="1">
      <alignment horizontal="center" vertical="center"/>
    </xf>
    <xf numFmtId="177" fontId="3" fillId="0" borderId="42" xfId="78" applyNumberFormat="1" applyFont="1" applyBorder="1" applyAlignment="1">
      <alignment horizontal="center" vertical="center"/>
    </xf>
    <xf numFmtId="0" fontId="3" fillId="0" borderId="43" xfId="125" applyFont="1" applyBorder="1" applyAlignment="1">
      <alignment horizontal="right" vertical="center"/>
    </xf>
    <xf numFmtId="0" fontId="3" fillId="0" borderId="49" xfId="125" applyFont="1" applyBorder="1" applyAlignment="1">
      <alignment horizontal="right" vertical="center"/>
    </xf>
    <xf numFmtId="0" fontId="3" fillId="0" borderId="50" xfId="125" applyFont="1" applyBorder="1" applyAlignment="1">
      <alignment horizontal="right" vertical="center"/>
    </xf>
    <xf numFmtId="0" fontId="4" fillId="0" borderId="40" xfId="125" applyFont="1" applyBorder="1" applyAlignment="1">
      <alignment horizontal="center" vertical="center"/>
    </xf>
    <xf numFmtId="190" fontId="12" fillId="3" borderId="47" xfId="78" applyNumberFormat="1" applyFont="1" applyFill="1" applyBorder="1" applyAlignment="1">
      <alignment horizontal="center" vertical="center"/>
    </xf>
    <xf numFmtId="0" fontId="3" fillId="0" borderId="37" xfId="125" applyFont="1" applyBorder="1" applyAlignment="1">
      <alignment horizontal="right" vertical="center"/>
    </xf>
    <xf numFmtId="0" fontId="3" fillId="0" borderId="45" xfId="125" applyFont="1" applyBorder="1" applyAlignment="1">
      <alignment horizontal="right" vertical="center"/>
    </xf>
    <xf numFmtId="0" fontId="3" fillId="0" borderId="46" xfId="125" applyFont="1" applyBorder="1" applyAlignment="1">
      <alignment horizontal="right" vertical="center"/>
    </xf>
    <xf numFmtId="0" fontId="4" fillId="0" borderId="36" xfId="125" applyFont="1" applyBorder="1" applyAlignment="1">
      <alignment horizontal="center" vertical="center"/>
    </xf>
    <xf numFmtId="0" fontId="4" fillId="0" borderId="36" xfId="125" applyFont="1" applyBorder="1" applyAlignment="1">
      <alignment horizontal="left" vertical="center"/>
    </xf>
    <xf numFmtId="0" fontId="3" fillId="0" borderId="36" xfId="125" applyFont="1" applyBorder="1" applyAlignment="1">
      <alignment horizontal="center" vertical="center"/>
    </xf>
    <xf numFmtId="0" fontId="4" fillId="0" borderId="37" xfId="125" applyFont="1" applyBorder="1" applyAlignment="1">
      <alignment horizontal="left" vertical="center"/>
    </xf>
    <xf numFmtId="0" fontId="3" fillId="0" borderId="45" xfId="125" applyFont="1" applyBorder="1" applyAlignment="1">
      <alignment horizontal="center" vertical="center"/>
    </xf>
    <xf numFmtId="0" fontId="3" fillId="0" borderId="46" xfId="125" applyFont="1" applyBorder="1" applyAlignment="1">
      <alignment horizontal="center" vertical="center"/>
    </xf>
    <xf numFmtId="0" fontId="13" fillId="0" borderId="37" xfId="125" applyFont="1" applyBorder="1" applyAlignment="1">
      <alignment horizontal="left" vertical="center"/>
    </xf>
    <xf numFmtId="0" fontId="11" fillId="0" borderId="0" xfId="0" applyFont="1"/>
    <xf numFmtId="177" fontId="3" fillId="0" borderId="36" xfId="125" applyNumberFormat="1" applyFont="1" applyBorder="1" applyAlignment="1">
      <alignment horizontal="center" vertical="center"/>
    </xf>
    <xf numFmtId="43" fontId="3" fillId="0" borderId="40" xfId="125" applyNumberFormat="1" applyFont="1" applyBorder="1" applyAlignment="1">
      <alignment horizontal="center" vertical="center"/>
    </xf>
    <xf numFmtId="43" fontId="3" fillId="0" borderId="36" xfId="125" applyNumberFormat="1" applyFont="1" applyBorder="1" applyAlignment="1">
      <alignment horizontal="center" vertical="center"/>
    </xf>
    <xf numFmtId="43" fontId="4" fillId="0" borderId="36" xfId="125" applyNumberFormat="1" applyFont="1" applyBorder="1" applyAlignment="1">
      <alignment horizontal="center" vertical="center"/>
    </xf>
    <xf numFmtId="0" fontId="2" fillId="0" borderId="51" xfId="116" applyFont="1" applyFill="1" applyBorder="1" applyAlignment="1">
      <alignment horizontal="center" vertical="center"/>
    </xf>
    <xf numFmtId="0" fontId="4" fillId="0" borderId="52" xfId="116" applyFont="1" applyFill="1" applyBorder="1" applyAlignment="1">
      <alignment vertical="center"/>
    </xf>
    <xf numFmtId="0" fontId="2" fillId="0" borderId="0" xfId="116" applyFont="1" applyFill="1" applyBorder="1" applyAlignment="1">
      <alignment horizontal="center" vertical="center"/>
    </xf>
    <xf numFmtId="0" fontId="4" fillId="0" borderId="43" xfId="116" applyFont="1" applyFill="1" applyBorder="1" applyAlignment="1">
      <alignment vertical="center"/>
    </xf>
    <xf numFmtId="0" fontId="4" fillId="0" borderId="36" xfId="116" applyFont="1" applyFill="1" applyBorder="1" applyAlignment="1">
      <alignment vertical="center"/>
    </xf>
    <xf numFmtId="191" fontId="4" fillId="0" borderId="36" xfId="97" applyNumberFormat="1" applyFont="1" applyFill="1" applyBorder="1" applyAlignment="1">
      <alignment vertical="center"/>
    </xf>
    <xf numFmtId="0" fontId="3" fillId="0" borderId="36" xfId="116" applyFont="1" applyFill="1" applyBorder="1" applyAlignment="1">
      <alignment vertical="center"/>
    </xf>
    <xf numFmtId="191" fontId="3" fillId="0" borderId="36" xfId="97" applyNumberFormat="1" applyFont="1" applyFill="1" applyBorder="1" applyAlignment="1">
      <alignment vertical="center"/>
    </xf>
    <xf numFmtId="0" fontId="3" fillId="0" borderId="36" xfId="96" applyFont="1" applyFill="1" applyBorder="1" applyAlignment="1">
      <alignment horizontal="center" vertical="center"/>
    </xf>
    <xf numFmtId="43" fontId="3" fillId="0" borderId="36" xfId="116" applyNumberFormat="1" applyFont="1" applyFill="1" applyBorder="1" applyAlignment="1">
      <alignment horizontal="right" vertical="center"/>
    </xf>
    <xf numFmtId="0" fontId="3" fillId="0" borderId="36" xfId="116" applyFont="1" applyFill="1" applyBorder="1" applyAlignment="1">
      <alignment horizontal="center" vertical="center"/>
    </xf>
    <xf numFmtId="43" fontId="4" fillId="0" borderId="36" xfId="97" applyNumberFormat="1" applyFont="1" applyFill="1" applyBorder="1" applyAlignment="1">
      <alignment vertical="center"/>
    </xf>
    <xf numFmtId="192" fontId="3" fillId="0" borderId="36" xfId="97" applyNumberFormat="1" applyFont="1" applyFill="1" applyBorder="1" applyAlignment="1">
      <alignment horizontal="right" vertical="center"/>
    </xf>
    <xf numFmtId="0" fontId="3" fillId="0" borderId="36" xfId="96" applyFont="1" applyFill="1" applyBorder="1" applyAlignment="1">
      <alignment vertical="center"/>
    </xf>
    <xf numFmtId="43" fontId="3" fillId="0" borderId="36" xfId="97" applyNumberFormat="1" applyFont="1" applyFill="1" applyBorder="1" applyAlignment="1">
      <alignment vertical="center"/>
    </xf>
    <xf numFmtId="37" fontId="3" fillId="0" borderId="0" xfId="132" applyNumberFormat="1" applyFont="1" applyFill="1" applyBorder="1" applyAlignment="1" applyProtection="1">
      <alignment horizontal="right" vertical="center"/>
    </xf>
    <xf numFmtId="43" fontId="3" fillId="0" borderId="36" xfId="116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4" fillId="0" borderId="0" xfId="0" applyFont="1"/>
    <xf numFmtId="43" fontId="14" fillId="0" borderId="0" xfId="0" applyNumberFormat="1" applyFont="1"/>
    <xf numFmtId="0" fontId="14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10" fillId="0" borderId="0" xfId="0" applyFont="1"/>
    <xf numFmtId="0" fontId="14" fillId="4" borderId="0" xfId="0" applyFont="1" applyFill="1"/>
    <xf numFmtId="43" fontId="14" fillId="4" borderId="0" xfId="0" applyNumberFormat="1" applyFont="1" applyFill="1"/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14" fillId="5" borderId="0" xfId="0" applyFont="1" applyFill="1"/>
    <xf numFmtId="43" fontId="14" fillId="5" borderId="0" xfId="0" applyNumberFormat="1" applyFont="1" applyFill="1"/>
    <xf numFmtId="193" fontId="14" fillId="0" borderId="0" xfId="0" applyNumberFormat="1" applyFont="1"/>
    <xf numFmtId="0" fontId="14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43" fontId="14" fillId="0" borderId="0" xfId="0" applyNumberFormat="1" applyFont="1" applyFill="1"/>
    <xf numFmtId="43" fontId="14" fillId="0" borderId="49" xfId="0" applyNumberFormat="1" applyFont="1" applyBorder="1"/>
    <xf numFmtId="0" fontId="0" fillId="3" borderId="0" xfId="0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/>
    <xf numFmtId="0" fontId="0" fillId="3" borderId="0" xfId="0" applyFill="1"/>
    <xf numFmtId="0" fontId="17" fillId="3" borderId="0" xfId="0" applyFont="1" applyFill="1" applyAlignment="1">
      <alignment horizontal="center"/>
    </xf>
    <xf numFmtId="0" fontId="18" fillId="3" borderId="53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/>
    </xf>
    <xf numFmtId="0" fontId="15" fillId="3" borderId="57" xfId="0" applyFont="1" applyFill="1" applyBorder="1" applyAlignment="1">
      <alignment horizontal="center"/>
    </xf>
    <xf numFmtId="0" fontId="15" fillId="3" borderId="58" xfId="0" applyFont="1" applyFill="1" applyBorder="1" applyAlignment="1">
      <alignment horizontal="center"/>
    </xf>
    <xf numFmtId="0" fontId="15" fillId="3" borderId="57" xfId="0" applyFont="1" applyFill="1" applyBorder="1" applyAlignment="1">
      <alignment horizontal="center" wrapText="1"/>
    </xf>
    <xf numFmtId="0" fontId="15" fillId="3" borderId="59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18" fillId="3" borderId="43" xfId="0" applyFont="1" applyFill="1" applyBorder="1"/>
    <xf numFmtId="0" fontId="0" fillId="3" borderId="49" xfId="0" applyFill="1" applyBorder="1"/>
    <xf numFmtId="0" fontId="0" fillId="3" borderId="55" xfId="0" applyFill="1" applyBorder="1"/>
    <xf numFmtId="0" fontId="0" fillId="3" borderId="36" xfId="0" applyFill="1" applyBorder="1"/>
    <xf numFmtId="0" fontId="0" fillId="3" borderId="37" xfId="0" applyFill="1" applyBorder="1" applyAlignment="1">
      <alignment horizontal="center"/>
    </xf>
    <xf numFmtId="43" fontId="0" fillId="3" borderId="37" xfId="0" applyNumberFormat="1" applyFill="1" applyBorder="1"/>
    <xf numFmtId="0" fontId="0" fillId="3" borderId="46" xfId="0" applyFill="1" applyBorder="1"/>
    <xf numFmtId="43" fontId="0" fillId="3" borderId="46" xfId="0" applyNumberFormat="1" applyFill="1" applyBorder="1"/>
    <xf numFmtId="0" fontId="0" fillId="3" borderId="37" xfId="0" applyFill="1" applyBorder="1"/>
    <xf numFmtId="0" fontId="0" fillId="3" borderId="60" xfId="0" applyFill="1" applyBorder="1"/>
    <xf numFmtId="0" fontId="0" fillId="3" borderId="45" xfId="0" applyFill="1" applyBorder="1"/>
    <xf numFmtId="0" fontId="0" fillId="3" borderId="45" xfId="0" applyFill="1" applyBorder="1" applyAlignment="1">
      <alignment horizontal="center"/>
    </xf>
    <xf numFmtId="43" fontId="0" fillId="3" borderId="45" xfId="0" applyNumberFormat="1" applyFill="1" applyBorder="1"/>
    <xf numFmtId="43" fontId="18" fillId="3" borderId="46" xfId="0" applyNumberFormat="1" applyFont="1" applyFill="1" applyBorder="1" applyAlignment="1">
      <alignment horizontal="right"/>
    </xf>
    <xf numFmtId="0" fontId="18" fillId="3" borderId="37" xfId="0" applyFont="1" applyFill="1" applyBorder="1"/>
    <xf numFmtId="0" fontId="0" fillId="3" borderId="36" xfId="0" applyFill="1" applyBorder="1" applyAlignment="1">
      <alignment horizontal="center"/>
    </xf>
    <xf numFmtId="43" fontId="0" fillId="3" borderId="36" xfId="0" applyNumberFormat="1" applyFill="1" applyBorder="1"/>
    <xf numFmtId="0" fontId="0" fillId="3" borderId="49" xfId="0" applyFill="1" applyBorder="1" applyAlignment="1">
      <alignment horizontal="center"/>
    </xf>
    <xf numFmtId="0" fontId="18" fillId="3" borderId="55" xfId="0" applyFont="1" applyFill="1" applyBorder="1" applyAlignment="1">
      <alignment horizontal="center"/>
    </xf>
    <xf numFmtId="0" fontId="16" fillId="3" borderId="55" xfId="0" applyFont="1" applyFill="1" applyBorder="1" applyAlignment="1">
      <alignment horizontal="right"/>
    </xf>
    <xf numFmtId="0" fontId="16" fillId="3" borderId="37" xfId="0" applyFont="1" applyFill="1" applyBorder="1"/>
    <xf numFmtId="0" fontId="16" fillId="3" borderId="46" xfId="0" applyFont="1" applyFill="1" applyBorder="1"/>
    <xf numFmtId="0" fontId="16" fillId="3" borderId="36" xfId="0" applyFont="1" applyFill="1" applyBorder="1" applyAlignment="1">
      <alignment horizontal="center"/>
    </xf>
    <xf numFmtId="43" fontId="16" fillId="3" borderId="37" xfId="0" applyNumberFormat="1" applyFont="1" applyFill="1" applyBorder="1"/>
    <xf numFmtId="43" fontId="16" fillId="3" borderId="36" xfId="0" applyNumberFormat="1" applyFont="1" applyFill="1" applyBorder="1"/>
    <xf numFmtId="0" fontId="16" fillId="3" borderId="60" xfId="0" applyFont="1" applyFill="1" applyBorder="1" applyAlignment="1">
      <alignment horizontal="right"/>
    </xf>
    <xf numFmtId="0" fontId="16" fillId="3" borderId="45" xfId="0" applyFont="1" applyFill="1" applyBorder="1"/>
    <xf numFmtId="0" fontId="16" fillId="3" borderId="45" xfId="0" applyFont="1" applyFill="1" applyBorder="1" applyAlignment="1">
      <alignment horizontal="center"/>
    </xf>
    <xf numFmtId="43" fontId="16" fillId="3" borderId="45" xfId="0" applyNumberFormat="1" applyFont="1" applyFill="1" applyBorder="1"/>
    <xf numFmtId="0" fontId="16" fillId="0" borderId="55" xfId="0" applyFont="1" applyFill="1" applyBorder="1" applyAlignment="1">
      <alignment horizontal="right"/>
    </xf>
    <xf numFmtId="0" fontId="16" fillId="0" borderId="37" xfId="0" applyFont="1" applyFill="1" applyBorder="1"/>
    <xf numFmtId="0" fontId="0" fillId="0" borderId="46" xfId="0" applyFill="1" applyBorder="1"/>
    <xf numFmtId="0" fontId="0" fillId="0" borderId="36" xfId="0" applyFill="1" applyBorder="1" applyAlignment="1">
      <alignment horizontal="center"/>
    </xf>
    <xf numFmtId="43" fontId="16" fillId="0" borderId="45" xfId="0" applyNumberFormat="1" applyFont="1" applyFill="1" applyBorder="1"/>
    <xf numFmtId="43" fontId="0" fillId="0" borderId="36" xfId="0" applyNumberFormat="1" applyFill="1" applyBorder="1"/>
    <xf numFmtId="0" fontId="18" fillId="0" borderId="51" xfId="0" applyFont="1" applyFill="1" applyBorder="1" applyAlignment="1">
      <alignment horizontal="center"/>
    </xf>
    <xf numFmtId="0" fontId="18" fillId="0" borderId="37" xfId="0" applyFont="1" applyFill="1" applyBorder="1"/>
    <xf numFmtId="0" fontId="0" fillId="0" borderId="45" xfId="0" applyFill="1" applyBorder="1"/>
    <xf numFmtId="0" fontId="0" fillId="0" borderId="45" xfId="0" applyFill="1" applyBorder="1" applyAlignment="1">
      <alignment horizontal="center"/>
    </xf>
    <xf numFmtId="43" fontId="0" fillId="0" borderId="45" xfId="0" applyNumberFormat="1" applyFill="1" applyBorder="1"/>
    <xf numFmtId="0" fontId="16" fillId="3" borderId="0" xfId="0" applyFont="1" applyFill="1" applyAlignment="1">
      <alignment vertical="center"/>
    </xf>
    <xf numFmtId="0" fontId="16" fillId="3" borderId="60" xfId="0" applyFont="1" applyFill="1" applyBorder="1"/>
    <xf numFmtId="43" fontId="0" fillId="3" borderId="36" xfId="0" applyNumberFormat="1" applyFill="1" applyBorder="1" applyAlignment="1">
      <alignment horizontal="center"/>
    </xf>
    <xf numFmtId="0" fontId="0" fillId="3" borderId="61" xfId="0" applyFill="1" applyBorder="1"/>
    <xf numFmtId="0" fontId="0" fillId="3" borderId="39" xfId="0" applyFill="1" applyBorder="1"/>
    <xf numFmtId="0" fontId="0" fillId="3" borderId="62" xfId="0" applyFill="1" applyBorder="1"/>
    <xf numFmtId="0" fontId="16" fillId="3" borderId="62" xfId="0" applyFont="1" applyFill="1" applyBorder="1"/>
    <xf numFmtId="43" fontId="0" fillId="3" borderId="38" xfId="0" applyNumberFormat="1" applyFill="1" applyBorder="1"/>
    <xf numFmtId="0" fontId="18" fillId="3" borderId="63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  <xf numFmtId="43" fontId="0" fillId="3" borderId="0" xfId="0" applyNumberFormat="1" applyFill="1"/>
    <xf numFmtId="0" fontId="15" fillId="3" borderId="65" xfId="0" applyFont="1" applyFill="1" applyBorder="1" applyAlignment="1">
      <alignment horizontal="center"/>
    </xf>
    <xf numFmtId="43" fontId="15" fillId="3" borderId="0" xfId="0" applyNumberFormat="1" applyFont="1" applyFill="1" applyAlignment="1">
      <alignment horizontal="center"/>
    </xf>
    <xf numFmtId="0" fontId="0" fillId="3" borderId="66" xfId="0" applyFill="1" applyBorder="1"/>
    <xf numFmtId="43" fontId="0" fillId="3" borderId="64" xfId="0" applyNumberFormat="1" applyFill="1" applyBorder="1"/>
    <xf numFmtId="43" fontId="18" fillId="3" borderId="64" xfId="0" applyNumberFormat="1" applyFont="1" applyFill="1" applyBorder="1"/>
    <xf numFmtId="43" fontId="0" fillId="3" borderId="67" xfId="0" applyNumberFormat="1" applyFill="1" applyBorder="1"/>
    <xf numFmtId="43" fontId="0" fillId="0" borderId="64" xfId="0" applyNumberFormat="1" applyFill="1" applyBorder="1"/>
    <xf numFmtId="43" fontId="0" fillId="0" borderId="67" xfId="0" applyNumberFormat="1" applyFill="1" applyBorder="1"/>
    <xf numFmtId="0" fontId="0" fillId="3" borderId="68" xfId="0" applyFill="1" applyBorder="1"/>
    <xf numFmtId="0" fontId="0" fillId="3" borderId="69" xfId="0" applyFill="1" applyBorder="1"/>
    <xf numFmtId="43" fontId="0" fillId="3" borderId="69" xfId="0" applyNumberFormat="1" applyFill="1" applyBorder="1"/>
    <xf numFmtId="43" fontId="18" fillId="3" borderId="59" xfId="0" applyNumberFormat="1" applyFont="1" applyFill="1" applyBorder="1" applyAlignment="1">
      <alignment horizontal="right"/>
    </xf>
    <xf numFmtId="43" fontId="0" fillId="3" borderId="0" xfId="0" applyNumberFormat="1" applyFill="1" applyAlignment="1"/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18" fillId="3" borderId="65" xfId="0" applyNumberFormat="1" applyFont="1" applyFill="1" applyBorder="1"/>
    <xf numFmtId="0" fontId="18" fillId="3" borderId="0" xfId="0" applyFont="1" applyFill="1" applyAlignment="1">
      <alignment horizontal="center" vertical="center"/>
    </xf>
    <xf numFmtId="0" fontId="17" fillId="3" borderId="0" xfId="0" applyFont="1" applyFill="1"/>
    <xf numFmtId="0" fontId="0" fillId="3" borderId="0" xfId="0" applyFill="1" applyAlignment="1">
      <alignment horizontal="left"/>
    </xf>
    <xf numFmtId="0" fontId="20" fillId="3" borderId="70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74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/>
    </xf>
    <xf numFmtId="0" fontId="20" fillId="3" borderId="76" xfId="0" applyFont="1" applyFill="1" applyBorder="1"/>
    <xf numFmtId="0" fontId="21" fillId="3" borderId="77" xfId="0" applyFont="1" applyFill="1" applyBorder="1"/>
    <xf numFmtId="0" fontId="21" fillId="3" borderId="78" xfId="0" applyFont="1" applyFill="1" applyBorder="1"/>
    <xf numFmtId="43" fontId="21" fillId="3" borderId="63" xfId="0" applyNumberFormat="1" applyFont="1" applyFill="1" applyBorder="1"/>
    <xf numFmtId="0" fontId="21" fillId="3" borderId="60" xfId="0" applyFont="1" applyFill="1" applyBorder="1" applyAlignment="1">
      <alignment horizontal="center"/>
    </xf>
    <xf numFmtId="0" fontId="21" fillId="3" borderId="37" xfId="0" applyFont="1" applyFill="1" applyBorder="1"/>
    <xf numFmtId="0" fontId="21" fillId="3" borderId="45" xfId="0" applyFont="1" applyFill="1" applyBorder="1"/>
    <xf numFmtId="0" fontId="21" fillId="3" borderId="46" xfId="0" applyFont="1" applyFill="1" applyBorder="1"/>
    <xf numFmtId="43" fontId="21" fillId="3" borderId="64" xfId="0" applyNumberFormat="1" applyFont="1" applyFill="1" applyBorder="1"/>
    <xf numFmtId="0" fontId="21" fillId="3" borderId="79" xfId="0" applyFont="1" applyFill="1" applyBorder="1" applyAlignment="1">
      <alignment horizontal="right"/>
    </xf>
    <xf numFmtId="0" fontId="21" fillId="3" borderId="44" xfId="0" applyFont="1" applyFill="1" applyBorder="1"/>
    <xf numFmtId="0" fontId="22" fillId="3" borderId="44" xfId="0" applyFont="1" applyFill="1" applyBorder="1" applyAlignment="1">
      <alignment horizontal="right"/>
    </xf>
    <xf numFmtId="0" fontId="20" fillId="3" borderId="44" xfId="0" applyFont="1" applyFill="1" applyBorder="1" applyAlignment="1">
      <alignment horizontal="right"/>
    </xf>
    <xf numFmtId="43" fontId="20" fillId="3" borderId="64" xfId="0" applyNumberFormat="1" applyFont="1" applyFill="1" applyBorder="1"/>
    <xf numFmtId="0" fontId="21" fillId="3" borderId="80" xfId="0" applyFont="1" applyFill="1" applyBorder="1" applyAlignment="1">
      <alignment horizontal="right"/>
    </xf>
    <xf numFmtId="0" fontId="21" fillId="3" borderId="0" xfId="0" applyFont="1" applyFill="1" applyBorder="1"/>
    <xf numFmtId="0" fontId="22" fillId="3" borderId="0" xfId="0" applyFont="1" applyFill="1" applyBorder="1" applyAlignment="1">
      <alignment horizontal="right"/>
    </xf>
    <xf numFmtId="0" fontId="20" fillId="3" borderId="0" xfId="0" applyFont="1" applyFill="1" applyBorder="1" applyAlignment="1">
      <alignment horizontal="right"/>
    </xf>
    <xf numFmtId="0" fontId="21" fillId="3" borderId="80" xfId="0" applyFont="1" applyFill="1" applyBorder="1"/>
    <xf numFmtId="0" fontId="20" fillId="3" borderId="50" xfId="0" applyFont="1" applyFill="1" applyBorder="1" applyAlignment="1">
      <alignment horizontal="right"/>
    </xf>
    <xf numFmtId="0" fontId="20" fillId="3" borderId="0" xfId="0" applyFont="1" applyFill="1"/>
    <xf numFmtId="43" fontId="20" fillId="3" borderId="46" xfId="0" applyNumberFormat="1" applyFont="1" applyFill="1" applyBorder="1"/>
    <xf numFmtId="0" fontId="21" fillId="3" borderId="60" xfId="0" applyFont="1" applyFill="1" applyBorder="1"/>
    <xf numFmtId="0" fontId="20" fillId="3" borderId="45" xfId="0" applyFont="1" applyFill="1" applyBorder="1" applyAlignment="1">
      <alignment horizontal="center"/>
    </xf>
    <xf numFmtId="0" fontId="21" fillId="3" borderId="45" xfId="0" applyFont="1" applyFill="1" applyBorder="1" applyAlignment="1">
      <alignment horizontal="center"/>
    </xf>
    <xf numFmtId="0" fontId="21" fillId="3" borderId="67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0" fontId="18" fillId="3" borderId="69" xfId="0" applyFont="1" applyFill="1" applyBorder="1" applyAlignment="1">
      <alignment horizontal="center"/>
    </xf>
    <xf numFmtId="0" fontId="18" fillId="3" borderId="81" xfId="0" applyFont="1" applyFill="1" applyBorder="1" applyAlignment="1">
      <alignment horizontal="center"/>
    </xf>
    <xf numFmtId="0" fontId="0" fillId="3" borderId="0" xfId="0" applyFill="1" applyAlignment="1"/>
    <xf numFmtId="0" fontId="18" fillId="3" borderId="0" xfId="0" applyFont="1" applyFill="1"/>
    <xf numFmtId="0" fontId="15" fillId="3" borderId="56" xfId="0" applyFont="1" applyFill="1" applyBorder="1" applyAlignment="1" quotePrefix="1">
      <alignment horizontal="center"/>
    </xf>
    <xf numFmtId="0" fontId="15" fillId="3" borderId="57" xfId="0" applyFont="1" applyFill="1" applyBorder="1" applyAlignment="1" quotePrefix="1">
      <alignment horizontal="center"/>
    </xf>
    <xf numFmtId="0" fontId="15" fillId="3" borderId="58" xfId="0" applyFont="1" applyFill="1" applyBorder="1" applyAlignment="1" quotePrefix="1">
      <alignment horizontal="center"/>
    </xf>
    <xf numFmtId="0" fontId="15" fillId="3" borderId="57" xfId="0" applyFont="1" applyFill="1" applyBorder="1" applyAlignment="1" quotePrefix="1">
      <alignment horizontal="center" wrapText="1"/>
    </xf>
    <xf numFmtId="0" fontId="15" fillId="3" borderId="59" xfId="0" applyFont="1" applyFill="1" applyBorder="1" applyAlignment="1" quotePrefix="1">
      <alignment horizontal="center"/>
    </xf>
    <xf numFmtId="0" fontId="15" fillId="3" borderId="65" xfId="0" applyFont="1" applyFill="1" applyBorder="1" applyAlignment="1" quotePrefix="1">
      <alignment horizontal="center"/>
    </xf>
    <xf numFmtId="0" fontId="14" fillId="0" borderId="0" xfId="0" applyFont="1" quotePrefix="1"/>
  </cellXfs>
  <cellStyles count="136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Accent2 - 40%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Accent1 - 60%" xfId="14"/>
    <cellStyle name="Accent5 - 20%" xfId="15"/>
    <cellStyle name="40% - Accent3" xfId="16" builtinId="39"/>
    <cellStyle name="Warning Text" xfId="17" builtinId="11"/>
    <cellStyle name="40% - Accent2" xfId="18" builtinId="35"/>
    <cellStyle name="Title" xfId="19" builtinId="15"/>
    <cellStyle name="CExplanatory Text" xfId="20" builtinId="53"/>
    <cellStyle name="Heading 1" xfId="21" builtinId="16"/>
    <cellStyle name="Heading 3" xfId="22" builtinId="18"/>
    <cellStyle name="Accent4 - 40%" xfId="23"/>
    <cellStyle name="Heading 4" xfId="24" builtinId="19"/>
    <cellStyle name="Input" xfId="25" builtinId="20"/>
    <cellStyle name="60% - Accent3" xfId="26" builtinId="40"/>
    <cellStyle name="Good" xfId="27" builtinId="26"/>
    <cellStyle name="Output" xfId="28" builtinId="21"/>
    <cellStyle name="20% - Accent1" xfId="29" builtinId="30"/>
    <cellStyle name="Accent1 - 20%" xfId="30"/>
    <cellStyle name="Calculation" xfId="31" builtinId="22"/>
    <cellStyle name="Linked Cell" xfId="32" builtinId="24"/>
    <cellStyle name="Total" xfId="33" builtinId="25"/>
    <cellStyle name="Bad" xfId="34" builtinId="27"/>
    <cellStyle name="Neutral" xfId="35" builtinId="28"/>
    <cellStyle name="Accent1" xfId="36" builtinId="29"/>
    <cellStyle name="Accent3 - 40%" xfId="37"/>
    <cellStyle name="20% - Accent5" xfId="38" builtinId="46"/>
    <cellStyle name="60% - Accent1" xfId="39" builtinId="32"/>
    <cellStyle name="Accent2" xfId="40" builtinId="33"/>
    <cellStyle name="20% - Accent2" xfId="41" builtinId="34"/>
    <cellStyle name="20% - Accent6" xfId="42" builtinId="50"/>
    <cellStyle name="60% - Accent2" xfId="43" builtinId="36"/>
    <cellStyle name="Accent3 - 60%" xfId="44"/>
    <cellStyle name="Accent3" xfId="45" builtinId="37"/>
    <cellStyle name="20% - Accent3" xfId="46" builtinId="38"/>
    <cellStyle name="Accent4" xfId="47" builtinId="41"/>
    <cellStyle name="20% - Accent4" xfId="48" builtinId="42"/>
    <cellStyle name="40% - Accent4" xfId="49" builtinId="43"/>
    <cellStyle name="Normal - Style1" xfId="50"/>
    <cellStyle name="Accent5" xfId="51" builtinId="45"/>
    <cellStyle name="40% - Accent5" xfId="52" builtinId="47"/>
    <cellStyle name="Accent5 - 60%" xfId="53"/>
    <cellStyle name="60% - Accent5" xfId="54" builtinId="48"/>
    <cellStyle name="Accent6" xfId="55" builtinId="49"/>
    <cellStyle name="40% - Accent6" xfId="56" builtinId="51"/>
    <cellStyle name="Accent2 - 20%" xfId="57"/>
    <cellStyle name="60% - Accent6" xfId="58" builtinId="52"/>
    <cellStyle name="Accent1 - 40%" xfId="59"/>
    <cellStyle name="Comma [0] 3" xfId="60"/>
    <cellStyle name="Accent2 - 60%" xfId="61"/>
    <cellStyle name="Comma  - Style2" xfId="62"/>
    <cellStyle name="Accent3 - 20%" xfId="63"/>
    <cellStyle name="Accent4 - 20%" xfId="64"/>
    <cellStyle name="Accent4 - 60%" xfId="65"/>
    <cellStyle name="Accent5 - 40%" xfId="66"/>
    <cellStyle name="Accent6 - 20%" xfId="67"/>
    <cellStyle name="Accent6 - 40%" xfId="68"/>
    <cellStyle name="Pasirurug" xfId="69"/>
    <cellStyle name="Accent6 - 60%" xfId="70"/>
    <cellStyle name="Comma  - Style1" xfId="71"/>
    <cellStyle name="Comma  - Style3" xfId="72"/>
    <cellStyle name="Comma  - Style4" xfId="73"/>
    <cellStyle name="Comma  - Style5" xfId="74"/>
    <cellStyle name="Comma  - Style6" xfId="75"/>
    <cellStyle name="Comma  - Style7" xfId="76"/>
    <cellStyle name="Comma  - Style8" xfId="77"/>
    <cellStyle name="Comma [0] 2" xfId="78"/>
    <cellStyle name="Comma [0] 2 2" xfId="79"/>
    <cellStyle name="Comma [0] 2 3" xfId="80"/>
    <cellStyle name="Comma [0] 2 3 2" xfId="81"/>
    <cellStyle name="Comma [0] 2 4" xfId="82"/>
    <cellStyle name="Comma [0] 3 2" xfId="83"/>
    <cellStyle name="Comma [0] 3 2 2" xfId="84"/>
    <cellStyle name="Comma [0] 3 2 3" xfId="85"/>
    <cellStyle name="Comma [0] 3 3" xfId="86"/>
    <cellStyle name="Comma [0] 3_HPS-IPA10-MANTANGAI-KAPUAS" xfId="87"/>
    <cellStyle name="Comma [0] 4" xfId="88"/>
    <cellStyle name="Comma [0] 4 2" xfId="89"/>
    <cellStyle name="Comma [0] 4 3" xfId="90"/>
    <cellStyle name="Comma [0] 4_AD" xfId="91"/>
    <cellStyle name="Comma [0] 5" xfId="92"/>
    <cellStyle name="Comma [0] 5 2" xfId="93"/>
    <cellStyle name="Comma [0] 5 3" xfId="94"/>
    <cellStyle name="Comma [0] 6" xfId="95"/>
    <cellStyle name="Normal_RAB02" xfId="96"/>
    <cellStyle name="Comma 10" xfId="97"/>
    <cellStyle name="Comma 2" xfId="98"/>
    <cellStyle name="Comma 2 2" xfId="99"/>
    <cellStyle name="Comma 3" xfId="100"/>
    <cellStyle name="Comma 3 2" xfId="101"/>
    <cellStyle name="Comma 3 3" xfId="102"/>
    <cellStyle name="Comma 4" xfId="103"/>
    <cellStyle name="Comma 4 2" xfId="104"/>
    <cellStyle name="Comma 4 3" xfId="105"/>
    <cellStyle name="Comma 5" xfId="106"/>
    <cellStyle name="Comma 5 2" xfId="107"/>
    <cellStyle name="Comma 6" xfId="108"/>
    <cellStyle name="Currency [0] 2" xfId="109"/>
    <cellStyle name="Emphasis 1" xfId="110"/>
    <cellStyle name="Emphasis 2" xfId="111"/>
    <cellStyle name="Emphasis 3" xfId="112"/>
    <cellStyle name="Hyperlink 2" xfId="113"/>
    <cellStyle name="Hyperlink 3" xfId="114"/>
    <cellStyle name="Normal 11" xfId="115"/>
    <cellStyle name="Normal 12" xfId="116"/>
    <cellStyle name="Normal 2" xfId="117"/>
    <cellStyle name="Normal 2 2" xfId="118"/>
    <cellStyle name="Normal 2 2 2" xfId="119"/>
    <cellStyle name="Normal 2 2 3" xfId="120"/>
    <cellStyle name="Normal 2 2 4" xfId="121"/>
    <cellStyle name="Normal 2 3" xfId="122"/>
    <cellStyle name="Normal 2 4" xfId="123"/>
    <cellStyle name="Normal 2_PAKET RAB BUKIT RAWI" xfId="124"/>
    <cellStyle name="Normal 3 2" xfId="125"/>
    <cellStyle name="Normal 3 3" xfId="126"/>
    <cellStyle name="Normal 4" xfId="127"/>
    <cellStyle name="Normal 4 2" xfId="128"/>
    <cellStyle name="Normal 5" xfId="129"/>
    <cellStyle name="Normal 6" xfId="130"/>
    <cellStyle name="Normal 7" xfId="131"/>
    <cellStyle name="Normal_AULA  SEPT 2000  USULAN" xfId="132"/>
    <cellStyle name="Percent 2" xfId="133"/>
    <cellStyle name="Percent 2 2" xfId="134"/>
    <cellStyle name="Sheet Title" xfId="1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356151</xdr:colOff>
      <xdr:row>29</xdr:row>
      <xdr:rowOff>74544</xdr:rowOff>
    </xdr:from>
    <xdr:to>
      <xdr:col>6</xdr:col>
      <xdr:colOff>1515716</xdr:colOff>
      <xdr:row>38</xdr:row>
      <xdr:rowOff>24848</xdr:rowOff>
    </xdr:to>
    <xdr:sp>
      <xdr:nvSpPr>
        <xdr:cNvPr id="2" name="TextBox 1"/>
        <xdr:cNvSpPr txBox="1"/>
      </xdr:nvSpPr>
      <xdr:spPr>
        <a:xfrm>
          <a:off x="3641725" y="5991860"/>
          <a:ext cx="2597785" cy="1664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d-ID" sz="1100"/>
            <a:t>Dihitung Oleh:</a:t>
          </a:r>
          <a:endParaRPr lang="id-ID" sz="1100"/>
        </a:p>
        <a:p>
          <a:pPr algn="ctr"/>
          <a:r>
            <a:rPr lang="id-ID" sz="1100"/>
            <a:t>KONSULTAN PERENCANA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r>
            <a:rPr lang="id-ID" sz="1100" b="1" u="sng"/>
            <a:t>ADI NUGROHO, ST</a:t>
          </a:r>
          <a:endParaRPr lang="id-ID" sz="1100" b="1" u="sng"/>
        </a:p>
        <a:p>
          <a:pPr algn="ctr"/>
          <a:r>
            <a:rPr lang="id-ID" sz="1100"/>
            <a:t>DIREKTUR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</xdr:txBody>
    </xdr:sp>
    <xdr:clientData/>
  </xdr:twoCellAnchor>
  <xdr:twoCellAnchor>
    <xdr:from>
      <xdr:col>1</xdr:col>
      <xdr:colOff>289891</xdr:colOff>
      <xdr:row>29</xdr:row>
      <xdr:rowOff>74558</xdr:rowOff>
    </xdr:from>
    <xdr:to>
      <xdr:col>4</xdr:col>
      <xdr:colOff>480390</xdr:colOff>
      <xdr:row>38</xdr:row>
      <xdr:rowOff>157383</xdr:rowOff>
    </xdr:to>
    <xdr:sp>
      <xdr:nvSpPr>
        <xdr:cNvPr id="3" name="TextBox 2"/>
        <xdr:cNvSpPr txBox="1"/>
      </xdr:nvSpPr>
      <xdr:spPr>
        <a:xfrm>
          <a:off x="556260" y="5991860"/>
          <a:ext cx="3209925" cy="1797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d-ID" sz="1100"/>
            <a:t>Diperiksa Oleh:</a:t>
          </a:r>
          <a:endParaRPr lang="id-ID" sz="1100"/>
        </a:p>
        <a:p>
          <a:pPr algn="ctr"/>
          <a:r>
            <a:rPr lang="id-ID" sz="1100"/>
            <a:t>Tenaga Ahli Perencanaan Dinas</a:t>
          </a:r>
          <a:r>
            <a:rPr lang="id-ID" sz="1100" baseline="0"/>
            <a:t> Setempat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r>
            <a:rPr lang="id-ID" sz="1100" b="1" u="sng"/>
            <a:t>JUSTIN, ST</a:t>
          </a:r>
          <a:endParaRPr lang="id-ID" sz="1100" b="1" u="sng"/>
        </a:p>
        <a:p>
          <a:pPr algn="ctr"/>
          <a:r>
            <a:rPr lang="id-ID" sz="1100"/>
            <a:t>NIP. 1234567890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</xdr:txBody>
    </xdr:sp>
    <xdr:clientData/>
  </xdr:twoCellAnchor>
  <xdr:twoCellAnchor>
    <xdr:from>
      <xdr:col>3</xdr:col>
      <xdr:colOff>704036</xdr:colOff>
      <xdr:row>38</xdr:row>
      <xdr:rowOff>49698</xdr:rowOff>
    </xdr:from>
    <xdr:to>
      <xdr:col>6</xdr:col>
      <xdr:colOff>91113</xdr:colOff>
      <xdr:row>47</xdr:row>
      <xdr:rowOff>149090</xdr:rowOff>
    </xdr:to>
    <xdr:sp>
      <xdr:nvSpPr>
        <xdr:cNvPr id="4" name="TextBox 3"/>
        <xdr:cNvSpPr txBox="1"/>
      </xdr:nvSpPr>
      <xdr:spPr>
        <a:xfrm>
          <a:off x="2218055" y="7681595"/>
          <a:ext cx="2597150" cy="1813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d-ID" sz="1100"/>
            <a:t>Disetujui:</a:t>
          </a:r>
          <a:endParaRPr lang="id-ID" sz="1100"/>
        </a:p>
        <a:p>
          <a:pPr algn="ctr"/>
          <a:r>
            <a:rPr lang="id-ID" sz="1100"/>
            <a:t>Pejabat Pembuat Komitmen (PPK)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r>
            <a:rPr lang="id-ID" sz="1100" b="1" u="sng"/>
            <a:t>AGUS YUDHOYONO</a:t>
          </a:r>
          <a:endParaRPr lang="id-ID" sz="1100" b="1" u="sng"/>
        </a:p>
        <a:p>
          <a:pPr algn="ctr"/>
          <a:r>
            <a:rPr lang="id-ID" sz="1100"/>
            <a:t>NIP. 0987654321</a:t>
          </a:r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  <a:p>
          <a:pPr algn="ctr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48"/>
  <sheetViews>
    <sheetView tabSelected="1" view="pageBreakPreview" zoomScaleNormal="100" topLeftCell="A5" workbookViewId="0">
      <selection activeCell="G13" sqref="G13"/>
    </sheetView>
  </sheetViews>
  <sheetFormatPr defaultColWidth="9" defaultRowHeight="15"/>
  <cols>
    <col min="1" max="1" width="4" style="268" customWidth="1"/>
    <col min="2" max="2" width="5.71428571428571" style="268" customWidth="1"/>
    <col min="3" max="3" width="13" style="268" customWidth="1"/>
    <col min="4" max="4" width="26.5714285714286" style="268" customWidth="1"/>
    <col min="5" max="5" width="21.5714285714286" style="268" customWidth="1"/>
    <col min="6" max="6" width="10.7142857142857" style="268" hidden="1" customWidth="1"/>
    <col min="7" max="7" width="25.1428571428571" style="268" customWidth="1"/>
    <col min="8" max="8" width="4.42857142857143" style="268" customWidth="1"/>
    <col min="9" max="9" width="22" style="268" customWidth="1"/>
    <col min="10" max="10" width="25.1428571428571" style="268" customWidth="1"/>
    <col min="11" max="16384" width="9.14285714285714" style="268"/>
  </cols>
  <sheetData>
    <row r="1" ht="18.75" spans="5:6">
      <c r="E1" s="350"/>
      <c r="F1" s="350"/>
    </row>
    <row r="2" ht="18.75" spans="2:7">
      <c r="B2" s="269" t="s">
        <v>0</v>
      </c>
      <c r="C2" s="269"/>
      <c r="D2" s="269"/>
      <c r="E2" s="269"/>
      <c r="F2" s="269"/>
      <c r="G2" s="269"/>
    </row>
    <row r="4" spans="2:4">
      <c r="B4" s="268" t="str">
        <f>RAB!B5</f>
        <v>PEKERJAAN</v>
      </c>
      <c r="D4" s="268" t="str">
        <f>Analis!D3</f>
        <v>: RUMAH TINGGAL DARI KONTAINER</v>
      </c>
    </row>
    <row r="5" spans="2:4">
      <c r="B5" s="268" t="str">
        <f>RAB!B6</f>
        <v>LOKASI</v>
      </c>
      <c r="D5" s="268" t="str">
        <f>Analis!D4</f>
        <v>: AHSP BIDANG PEKERJAAN UMUM KEMENTRIAN PUPR</v>
      </c>
    </row>
    <row r="6" spans="2:4">
      <c r="B6" s="268" t="str">
        <f>RAB!B7</f>
        <v>TAHUN ANGGARAN</v>
      </c>
      <c r="D6" s="351" t="str">
        <f>Analis!D5</f>
        <v>: 2022</v>
      </c>
    </row>
    <row r="7" ht="15.75"/>
    <row r="8" s="349" customFormat="1" ht="24.95" customHeight="1" spans="2:7">
      <c r="B8" s="352" t="s">
        <v>1</v>
      </c>
      <c r="C8" s="353" t="s">
        <v>2</v>
      </c>
      <c r="D8" s="354"/>
      <c r="E8" s="354"/>
      <c r="F8" s="355"/>
      <c r="G8" s="356" t="s">
        <v>3</v>
      </c>
    </row>
    <row r="9" ht="15.75" spans="2:7">
      <c r="B9" s="357" t="s">
        <v>4</v>
      </c>
      <c r="C9" s="358" t="s">
        <v>5</v>
      </c>
      <c r="D9" s="359"/>
      <c r="E9" s="359"/>
      <c r="F9" s="360"/>
      <c r="G9" s="361"/>
    </row>
    <row r="10" ht="15.75" spans="2:7">
      <c r="B10" s="362" t="str">
        <f>RAB!B12</f>
        <v>I</v>
      </c>
      <c r="C10" s="363" t="str">
        <f>RAB!C12</f>
        <v>PEKERJAAN PENDAHULUAN</v>
      </c>
      <c r="D10" s="364"/>
      <c r="E10" s="364"/>
      <c r="F10" s="365"/>
      <c r="G10" s="366">
        <f>RAB!I16</f>
        <v>4791971</v>
      </c>
    </row>
    <row r="11" ht="15.75" spans="2:7">
      <c r="B11" s="362" t="str">
        <f>RAB!B17</f>
        <v>II</v>
      </c>
      <c r="C11" s="363" t="str">
        <f>RAB!C17</f>
        <v>PEKERJAAN TANAH</v>
      </c>
      <c r="D11" s="364"/>
      <c r="E11" s="364"/>
      <c r="F11" s="365"/>
      <c r="G11" s="366">
        <f>RAB!I22</f>
        <v>11168088.4352</v>
      </c>
    </row>
    <row r="12" ht="15.75" spans="2:7">
      <c r="B12" s="362" t="str">
        <f>RAB!B23</f>
        <v>III</v>
      </c>
      <c r="C12" s="363" t="str">
        <f>RAB!C23</f>
        <v>PEKERJAAN PONDASI</v>
      </c>
      <c r="D12" s="364"/>
      <c r="E12" s="364"/>
      <c r="F12" s="365"/>
      <c r="G12" s="366">
        <f>RAB!I26</f>
        <v>16575108.5804</v>
      </c>
    </row>
    <row r="13" ht="15.75" spans="2:7">
      <c r="B13" s="362" t="str">
        <f>RAB!B27</f>
        <v>IV</v>
      </c>
      <c r="C13" s="363" t="str">
        <f>RAB!C27</f>
        <v>PEKERJAAN BETON</v>
      </c>
      <c r="D13" s="364"/>
      <c r="E13" s="364"/>
      <c r="F13" s="365"/>
      <c r="G13" s="366">
        <f>RAB!I32</f>
        <v>12751541.5618286</v>
      </c>
    </row>
    <row r="14" ht="15.75" spans="2:7">
      <c r="B14" s="362" t="str">
        <f>RAB!B33</f>
        <v>V</v>
      </c>
      <c r="C14" s="363" t="str">
        <f>RAB!C33</f>
        <v>PEKERJAAN DINDING</v>
      </c>
      <c r="D14" s="364"/>
      <c r="E14" s="364"/>
      <c r="F14" s="365"/>
      <c r="G14" s="366">
        <f>RAB!I37</f>
        <v>16308774.2312</v>
      </c>
    </row>
    <row r="15" ht="15.75" spans="2:7">
      <c r="B15" s="362" t="str">
        <f>RAB!B38</f>
        <v>VI</v>
      </c>
      <c r="C15" s="363" t="str">
        <f>RAB!C38</f>
        <v>PEKERJAAN LANTAI</v>
      </c>
      <c r="D15" s="364"/>
      <c r="E15" s="364"/>
      <c r="F15" s="365"/>
      <c r="G15" s="366">
        <f>RAB!I42</f>
        <v>37764252</v>
      </c>
    </row>
    <row r="16" ht="15.75" spans="2:7">
      <c r="B16" s="362" t="str">
        <f>RAB!B43</f>
        <v>VII</v>
      </c>
      <c r="C16" s="363" t="str">
        <f>RAB!C43</f>
        <v>PEKERJAAN ATAP DAN PLAFOND</v>
      </c>
      <c r="D16" s="364"/>
      <c r="E16" s="364"/>
      <c r="F16" s="365"/>
      <c r="G16" s="366">
        <f>RAB!I50</f>
        <v>39536547.345</v>
      </c>
    </row>
    <row r="17" ht="15.75" spans="2:7">
      <c r="B17" s="362" t="str">
        <f>RAB!B51</f>
        <v>VIII</v>
      </c>
      <c r="C17" s="363" t="str">
        <f>RAB!C51</f>
        <v>PEKERJAAN KUSEN, DAUN PINTU JENDELA DAN PENGGANTUNG</v>
      </c>
      <c r="D17" s="364"/>
      <c r="E17" s="364"/>
      <c r="F17" s="365"/>
      <c r="G17" s="366">
        <f>RAB!I61</f>
        <v>19679929.1143</v>
      </c>
    </row>
    <row r="18" ht="15.75" spans="2:7">
      <c r="B18" s="362" t="str">
        <f>RAB!B62</f>
        <v>IX</v>
      </c>
      <c r="C18" s="363" t="str">
        <f>RAB!C62</f>
        <v>PEKERJAAN PENGECATAN</v>
      </c>
      <c r="D18" s="364"/>
      <c r="E18" s="364"/>
      <c r="F18" s="365"/>
      <c r="G18" s="366">
        <f>RAB!I67</f>
        <v>6200638.425</v>
      </c>
    </row>
    <row r="19" ht="15.75" spans="2:7">
      <c r="B19" s="362" t="str">
        <f>RAB!B68</f>
        <v>X</v>
      </c>
      <c r="C19" s="363" t="str">
        <f>RAB!C68</f>
        <v>PEKERJAAN LISTRIK DAN SANITASI</v>
      </c>
      <c r="D19" s="364"/>
      <c r="E19" s="364"/>
      <c r="F19" s="365"/>
      <c r="G19" s="366">
        <f>RAB!I81</f>
        <v>19292247.4</v>
      </c>
    </row>
    <row r="20" ht="15.75" spans="2:10">
      <c r="B20" s="367"/>
      <c r="C20" s="368"/>
      <c r="D20" s="368"/>
      <c r="E20" s="369" t="s">
        <v>6</v>
      </c>
      <c r="F20" s="370" t="s">
        <v>7</v>
      </c>
      <c r="G20" s="371">
        <f>SUM(G10:G19)</f>
        <v>184069098.092929</v>
      </c>
      <c r="I20" s="330"/>
      <c r="J20" s="330"/>
    </row>
    <row r="21" ht="15.75" spans="2:10">
      <c r="B21" s="372"/>
      <c r="C21" s="373"/>
      <c r="D21" s="373"/>
      <c r="E21" s="374" t="s">
        <v>8</v>
      </c>
      <c r="F21" s="375"/>
      <c r="G21" s="371">
        <f>G20*10%</f>
        <v>18406909.8092929</v>
      </c>
      <c r="I21" s="330">
        <f>G20+330000000</f>
        <v>514069098.092929</v>
      </c>
      <c r="J21" s="330"/>
    </row>
    <row r="22" ht="15.75" spans="2:10">
      <c r="B22" s="372"/>
      <c r="C22" s="373"/>
      <c r="D22" s="373"/>
      <c r="E22" s="374" t="s">
        <v>7</v>
      </c>
      <c r="F22" s="375" t="s">
        <v>9</v>
      </c>
      <c r="G22" s="371">
        <f>G20+G21</f>
        <v>202476007.902221</v>
      </c>
      <c r="I22" s="330">
        <f>I21*(1/10)</f>
        <v>51406909.8092929</v>
      </c>
      <c r="J22" s="330"/>
    </row>
    <row r="23" ht="15.75" spans="2:10">
      <c r="B23" s="376"/>
      <c r="C23" s="373"/>
      <c r="D23" s="373"/>
      <c r="E23" s="377" t="s">
        <v>9</v>
      </c>
      <c r="F23" s="378"/>
      <c r="G23" s="379">
        <f>ROUNDDOWN(G22,-5)</f>
        <v>202400000</v>
      </c>
      <c r="I23" s="330">
        <f>I21+I22</f>
        <v>565476007.902222</v>
      </c>
      <c r="J23" s="268">
        <v>493000000</v>
      </c>
    </row>
    <row r="24" ht="15.75" spans="2:10">
      <c r="B24" s="380" t="s">
        <v>10</v>
      </c>
      <c r="C24" s="364"/>
      <c r="D24" s="381" t="s">
        <v>11</v>
      </c>
      <c r="E24" s="382"/>
      <c r="F24" s="382"/>
      <c r="G24" s="383"/>
      <c r="I24" s="330">
        <f>I23/200</f>
        <v>2827380.03951111</v>
      </c>
      <c r="J24" s="330">
        <f>J23/172.8</f>
        <v>2853009.25925926</v>
      </c>
    </row>
    <row r="25" ht="15.75" spans="2:9">
      <c r="B25" s="384"/>
      <c r="C25" s="385"/>
      <c r="D25" s="385"/>
      <c r="E25" s="385"/>
      <c r="F25" s="385"/>
      <c r="G25" s="386"/>
      <c r="I25" s="268">
        <f>ROUNDDOWN(I24,-5)</f>
        <v>2800000</v>
      </c>
    </row>
    <row r="26" spans="7:7">
      <c r="G26" s="330"/>
    </row>
    <row r="27" customHeight="1" spans="2:7">
      <c r="B27" s="387"/>
      <c r="C27" s="387"/>
      <c r="D27" s="387"/>
      <c r="E27" s="387"/>
      <c r="F27" s="387"/>
      <c r="G27" s="387"/>
    </row>
    <row r="28" customHeight="1" spans="5:7">
      <c r="E28" s="344" t="s">
        <v>12</v>
      </c>
      <c r="F28" s="344"/>
      <c r="G28" s="344"/>
    </row>
    <row r="29" customHeight="1" spans="2:7">
      <c r="B29" s="344"/>
      <c r="C29" s="344"/>
      <c r="D29" s="344"/>
      <c r="E29" s="344"/>
      <c r="F29" s="344"/>
      <c r="G29" s="344"/>
    </row>
    <row r="30" customHeight="1" spans="2:7">
      <c r="B30" s="345"/>
      <c r="C30" s="345"/>
      <c r="D30" s="345"/>
      <c r="E30" s="344"/>
      <c r="F30" s="344"/>
      <c r="G30" s="344"/>
    </row>
    <row r="31" customHeight="1" spans="2:7">
      <c r="B31" s="345"/>
      <c r="C31" s="345"/>
      <c r="D31" s="345"/>
      <c r="E31" s="344"/>
      <c r="F31" s="344"/>
      <c r="G31" s="344"/>
    </row>
    <row r="32" customHeight="1" spans="2:7">
      <c r="B32" s="345"/>
      <c r="C32" s="345"/>
      <c r="D32" s="345"/>
      <c r="E32" s="344"/>
      <c r="F32" s="344"/>
      <c r="G32" s="344"/>
    </row>
    <row r="33" customHeight="1" spans="2:7">
      <c r="B33" s="345"/>
      <c r="C33" s="345"/>
      <c r="D33" s="345"/>
      <c r="G33" s="330"/>
    </row>
    <row r="34" customHeight="1" spans="7:7">
      <c r="G34" s="330"/>
    </row>
    <row r="35" customHeight="1" spans="7:7">
      <c r="G35" s="330"/>
    </row>
    <row r="36" customHeight="1" spans="4:7">
      <c r="D36" s="388"/>
      <c r="G36" s="330"/>
    </row>
    <row r="37" customHeight="1" spans="2:7">
      <c r="B37" s="346"/>
      <c r="C37" s="346"/>
      <c r="D37" s="346"/>
      <c r="E37" s="346"/>
      <c r="F37" s="346"/>
      <c r="G37" s="346"/>
    </row>
    <row r="38" customHeight="1" spans="2:7">
      <c r="B38" s="344"/>
      <c r="C38" s="344"/>
      <c r="D38" s="344"/>
      <c r="E38" s="344"/>
      <c r="F38" s="344"/>
      <c r="G38" s="344"/>
    </row>
    <row r="39" customHeight="1" spans="7:7">
      <c r="G39" s="330"/>
    </row>
    <row r="40" customHeight="1" spans="2:7">
      <c r="B40" s="344"/>
      <c r="C40" s="344"/>
      <c r="D40" s="344"/>
      <c r="E40" s="344"/>
      <c r="F40" s="344"/>
      <c r="G40" s="344"/>
    </row>
    <row r="41" spans="2:7">
      <c r="B41" s="344"/>
      <c r="C41" s="344"/>
      <c r="D41" s="344"/>
      <c r="E41" s="344"/>
      <c r="F41" s="344"/>
      <c r="G41" s="344"/>
    </row>
    <row r="42" spans="2:7">
      <c r="B42" s="344"/>
      <c r="C42" s="344"/>
      <c r="D42" s="344"/>
      <c r="E42" s="344"/>
      <c r="F42" s="344"/>
      <c r="G42" s="344"/>
    </row>
    <row r="43" spans="2:7">
      <c r="B43" s="344"/>
      <c r="C43" s="344"/>
      <c r="D43" s="344"/>
      <c r="E43" s="344"/>
      <c r="F43" s="344"/>
      <c r="G43" s="344"/>
    </row>
    <row r="47" spans="2:7">
      <c r="B47" s="346"/>
      <c r="C47" s="346"/>
      <c r="D47" s="346"/>
      <c r="E47" s="346"/>
      <c r="F47" s="346"/>
      <c r="G47" s="346"/>
    </row>
    <row r="48" spans="2:7">
      <c r="B48" s="344"/>
      <c r="C48" s="344"/>
      <c r="D48" s="344"/>
      <c r="E48" s="344"/>
      <c r="F48" s="344"/>
      <c r="G48" s="344"/>
    </row>
  </sheetData>
  <mergeCells count="23">
    <mergeCell ref="B2:G2"/>
    <mergeCell ref="C8:E8"/>
    <mergeCell ref="D24:G24"/>
    <mergeCell ref="B25:G25"/>
    <mergeCell ref="E28:G28"/>
    <mergeCell ref="B29:G29"/>
    <mergeCell ref="B30:D30"/>
    <mergeCell ref="E30:G30"/>
    <mergeCell ref="B31:D31"/>
    <mergeCell ref="E31:G31"/>
    <mergeCell ref="B32:D32"/>
    <mergeCell ref="E32:G32"/>
    <mergeCell ref="B33:D33"/>
    <mergeCell ref="B37:D37"/>
    <mergeCell ref="E37:G37"/>
    <mergeCell ref="B38:D38"/>
    <mergeCell ref="E38:G38"/>
    <mergeCell ref="B40:G40"/>
    <mergeCell ref="B41:G41"/>
    <mergeCell ref="B42:G42"/>
    <mergeCell ref="B43:G43"/>
    <mergeCell ref="B47:G47"/>
    <mergeCell ref="B48:G48"/>
  </mergeCells>
  <printOptions horizontalCentered="1"/>
  <pageMargins left="0.708661417322835" right="0.511811023622047" top="1.14173228346457" bottom="0.551181102362205" header="0.31496062992126" footer="0.31496062992126"/>
  <pageSetup paperSize="9" scale="9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B2:K163"/>
  <sheetViews>
    <sheetView view="pageBreakPreview" zoomScale="115" zoomScaleNormal="100" topLeftCell="A9" workbookViewId="0">
      <pane xSplit="2" ySplit="3" topLeftCell="C24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5"/>
  <cols>
    <col min="1" max="1" width="4.42857142857143" style="268" customWidth="1"/>
    <col min="2" max="2" width="4.85714285714286" style="268" customWidth="1"/>
    <col min="3" max="3" width="15.5714285714286" style="268" customWidth="1"/>
    <col min="4" max="4" width="24.2857142857143" style="268" customWidth="1"/>
    <col min="5" max="5" width="12.8571428571429" style="268" customWidth="1"/>
    <col min="6" max="6" width="9.28571428571429" style="268" customWidth="1"/>
    <col min="7" max="7" width="5.28571428571429" style="268" customWidth="1"/>
    <col min="8" max="8" width="15.7142857142857" style="268" customWidth="1"/>
    <col min="9" max="9" width="16.8571428571429" style="268" customWidth="1"/>
    <col min="10" max="10" width="17.2857142857143" style="268" customWidth="1"/>
    <col min="11" max="11" width="16.2857142857143" style="268" customWidth="1"/>
    <col min="12" max="16384" width="9.14285714285714" style="268"/>
  </cols>
  <sheetData>
    <row r="2" ht="18.75" spans="2:9">
      <c r="B2" s="269" t="s">
        <v>13</v>
      </c>
      <c r="C2" s="269"/>
      <c r="D2" s="269"/>
      <c r="E2" s="269"/>
      <c r="F2" s="269"/>
      <c r="G2" s="269"/>
      <c r="H2" s="269"/>
      <c r="I2" s="269"/>
    </row>
    <row r="3" ht="18.75" spans="2:9">
      <c r="B3" s="269" t="s">
        <v>14</v>
      </c>
      <c r="C3" s="269"/>
      <c r="D3" s="269"/>
      <c r="E3" s="269"/>
      <c r="F3" s="269"/>
      <c r="G3" s="269"/>
      <c r="H3" s="269"/>
      <c r="I3" s="269"/>
    </row>
    <row r="5" spans="2:4">
      <c r="B5" s="268" t="s">
        <v>15</v>
      </c>
      <c r="D5" s="268" t="str">
        <f>Rekap!D4</f>
        <v>: RUMAH TINGGAL DARI KONTAINER</v>
      </c>
    </row>
    <row r="6" spans="2:4">
      <c r="B6" s="268" t="s">
        <v>16</v>
      </c>
      <c r="D6" s="268" t="str">
        <f>Rekap!D5</f>
        <v>: AHSP BIDANG PEKERJAAN UMUM KEMENTRIAN PUPR</v>
      </c>
    </row>
    <row r="7" spans="2:4">
      <c r="B7" s="268" t="s">
        <v>17</v>
      </c>
      <c r="D7" s="268" t="str">
        <f>Rekap!D6</f>
        <v>: 2022</v>
      </c>
    </row>
    <row r="8" ht="15.75"/>
    <row r="9" s="265" customFormat="1" ht="30" customHeight="1" spans="2:9">
      <c r="B9" s="270" t="s">
        <v>1</v>
      </c>
      <c r="C9" s="271" t="s">
        <v>18</v>
      </c>
      <c r="D9" s="271"/>
      <c r="E9" s="271" t="s">
        <v>19</v>
      </c>
      <c r="F9" s="271" t="s">
        <v>20</v>
      </c>
      <c r="G9" s="271"/>
      <c r="H9" s="271" t="s">
        <v>21</v>
      </c>
      <c r="I9" s="328" t="s">
        <v>22</v>
      </c>
    </row>
    <row r="10" spans="2:11">
      <c r="B10" s="272"/>
      <c r="C10" s="273"/>
      <c r="D10" s="273"/>
      <c r="E10" s="273"/>
      <c r="F10" s="273"/>
      <c r="G10" s="273"/>
      <c r="H10" s="273"/>
      <c r="I10" s="329"/>
      <c r="K10" s="330" t="e">
        <f>Rekap!#REF!</f>
        <v>#REF!</v>
      </c>
    </row>
    <row r="11" s="266" customFormat="1" ht="12" customHeight="1" spans="2:11">
      <c r="B11" s="389" t="s">
        <v>23</v>
      </c>
      <c r="C11" s="390" t="s">
        <v>24</v>
      </c>
      <c r="D11" s="275"/>
      <c r="E11" s="391" t="s">
        <v>25</v>
      </c>
      <c r="F11" s="392" t="s">
        <v>26</v>
      </c>
      <c r="G11" s="277"/>
      <c r="H11" s="393" t="s">
        <v>27</v>
      </c>
      <c r="I11" s="394" t="s">
        <v>28</v>
      </c>
      <c r="K11" s="332">
        <f>Rekap!G20</f>
        <v>184069098.092929</v>
      </c>
    </row>
    <row r="12" spans="2:9">
      <c r="B12" s="279" t="s">
        <v>29</v>
      </c>
      <c r="C12" s="280" t="s">
        <v>30</v>
      </c>
      <c r="D12" s="281"/>
      <c r="E12" s="281"/>
      <c r="F12" s="281"/>
      <c r="G12" s="281"/>
      <c r="H12" s="281"/>
      <c r="I12" s="333"/>
    </row>
    <row r="13" spans="2:9">
      <c r="B13" s="282">
        <v>1</v>
      </c>
      <c r="C13" s="283" t="str">
        <f>Volume!C5</f>
        <v>Pembersihan lokasi awal dan akhir</v>
      </c>
      <c r="D13" s="283"/>
      <c r="E13" s="284" t="s">
        <v>31</v>
      </c>
      <c r="F13" s="285">
        <f>Volume!S5</f>
        <v>1</v>
      </c>
      <c r="G13" s="286" t="str">
        <f>Volume!T5</f>
        <v>ls</v>
      </c>
      <c r="H13" s="287">
        <v>1000000</v>
      </c>
      <c r="I13" s="334">
        <f>F13*H13</f>
        <v>1000000</v>
      </c>
    </row>
    <row r="14" spans="2:9">
      <c r="B14" s="282">
        <f>B13+1</f>
        <v>2</v>
      </c>
      <c r="C14" s="288" t="s">
        <v>32</v>
      </c>
      <c r="D14" s="286"/>
      <c r="E14" s="284" t="str">
        <f>Analis!A8</f>
        <v>A.2.2.1.4</v>
      </c>
      <c r="F14" s="285">
        <f>Volume!S6</f>
        <v>66</v>
      </c>
      <c r="G14" s="286" t="str">
        <f>Volume!T6</f>
        <v>m</v>
      </c>
      <c r="H14" s="287">
        <f>Analis!I27</f>
        <v>51393.5</v>
      </c>
      <c r="I14" s="334">
        <f>F14*H14</f>
        <v>3391971</v>
      </c>
    </row>
    <row r="15" spans="2:9">
      <c r="B15" s="282">
        <f>B14+1</f>
        <v>3</v>
      </c>
      <c r="C15" s="288" t="s">
        <v>33</v>
      </c>
      <c r="D15" s="286"/>
      <c r="E15" s="284" t="s">
        <v>31</v>
      </c>
      <c r="F15" s="285">
        <f>Volume!S7</f>
        <v>1</v>
      </c>
      <c r="G15" s="286" t="s">
        <v>34</v>
      </c>
      <c r="H15" s="287">
        <v>400000</v>
      </c>
      <c r="I15" s="334">
        <f t="shared" ref="I15" si="0">F15*H15</f>
        <v>400000</v>
      </c>
    </row>
    <row r="16" spans="2:9">
      <c r="B16" s="289"/>
      <c r="C16" s="290"/>
      <c r="D16" s="290"/>
      <c r="E16" s="291"/>
      <c r="F16" s="292"/>
      <c r="G16" s="290"/>
      <c r="H16" s="293" t="s">
        <v>35</v>
      </c>
      <c r="I16" s="335">
        <f>SUM(I13:I15)</f>
        <v>4791971</v>
      </c>
    </row>
    <row r="17" spans="2:9">
      <c r="B17" s="279" t="s">
        <v>36</v>
      </c>
      <c r="C17" s="294" t="s">
        <v>37</v>
      </c>
      <c r="D17" s="290"/>
      <c r="E17" s="291"/>
      <c r="F17" s="292"/>
      <c r="G17" s="290"/>
      <c r="H17" s="292"/>
      <c r="I17" s="336"/>
    </row>
    <row r="18" ht="15.75" spans="2:9">
      <c r="B18" s="282">
        <v>1</v>
      </c>
      <c r="C18" s="288" t="s">
        <v>38</v>
      </c>
      <c r="D18" s="286"/>
      <c r="E18" s="295" t="str">
        <f>Analis!A29</f>
        <v>A.2.3.1.1</v>
      </c>
      <c r="F18" s="285">
        <f>Volume!S10</f>
        <v>29.184</v>
      </c>
      <c r="G18" s="286" t="s">
        <v>39</v>
      </c>
      <c r="H18" s="296">
        <f>Analis!I43</f>
        <v>72450</v>
      </c>
      <c r="I18" s="334">
        <f t="shared" ref="I18:I21" si="1">F18*H18</f>
        <v>2114380.8</v>
      </c>
    </row>
    <row r="19" ht="15.75" spans="2:9">
      <c r="B19" s="282">
        <f>B18+1</f>
        <v>2</v>
      </c>
      <c r="C19" s="288" t="s">
        <v>40</v>
      </c>
      <c r="D19" s="286"/>
      <c r="E19" s="295" t="str">
        <f>Analis!A44</f>
        <v>A.2.3.1.9</v>
      </c>
      <c r="F19" s="285">
        <f>Volume!S11</f>
        <v>9.728</v>
      </c>
      <c r="G19" s="286" t="s">
        <v>39</v>
      </c>
      <c r="H19" s="296">
        <f>Analis!I59</f>
        <v>52900</v>
      </c>
      <c r="I19" s="334">
        <f t="shared" si="1"/>
        <v>514611.2</v>
      </c>
    </row>
    <row r="20" ht="15.75" spans="2:9">
      <c r="B20" s="282">
        <f t="shared" ref="B20:B21" si="2">B19+1</f>
        <v>3</v>
      </c>
      <c r="C20" s="288" t="s">
        <v>41</v>
      </c>
      <c r="D20" s="286"/>
      <c r="E20" s="295" t="str">
        <f>Analis!A79</f>
        <v>A.2.3.1.11a</v>
      </c>
      <c r="F20" s="285">
        <f>Volume!S12</f>
        <v>47.52</v>
      </c>
      <c r="G20" s="286" t="s">
        <v>39</v>
      </c>
      <c r="H20" s="296">
        <f>Analis!I94</f>
        <v>170844</v>
      </c>
      <c r="I20" s="334">
        <f t="shared" si="1"/>
        <v>8118506.88</v>
      </c>
    </row>
    <row r="21" ht="15.75" spans="2:9">
      <c r="B21" s="282">
        <f t="shared" si="2"/>
        <v>4</v>
      </c>
      <c r="C21" s="288" t="s">
        <v>42</v>
      </c>
      <c r="D21" s="286"/>
      <c r="E21" s="295" t="str">
        <f>Analis!A62</f>
        <v>A.2.3.1.11</v>
      </c>
      <c r="F21" s="285">
        <f>Volume!S13</f>
        <v>3.4752</v>
      </c>
      <c r="G21" s="286" t="s">
        <v>39</v>
      </c>
      <c r="H21" s="296">
        <f>Analis!I77</f>
        <v>121026</v>
      </c>
      <c r="I21" s="334">
        <f t="shared" si="1"/>
        <v>420589.5552</v>
      </c>
    </row>
    <row r="22" spans="2:9">
      <c r="B22" s="289"/>
      <c r="C22" s="290"/>
      <c r="D22" s="290"/>
      <c r="E22" s="297"/>
      <c r="F22" s="292"/>
      <c r="G22" s="290"/>
      <c r="H22" s="293" t="s">
        <v>43</v>
      </c>
      <c r="I22" s="335">
        <f>SUM(I18:I21)</f>
        <v>11168088.4352</v>
      </c>
    </row>
    <row r="23" spans="2:9">
      <c r="B23" s="298" t="s">
        <v>44</v>
      </c>
      <c r="C23" s="294" t="s">
        <v>45</v>
      </c>
      <c r="D23" s="290"/>
      <c r="E23" s="291"/>
      <c r="F23" s="292"/>
      <c r="G23" s="290"/>
      <c r="H23" s="292"/>
      <c r="I23" s="336"/>
    </row>
    <row r="24" s="267" customFormat="1" spans="2:9">
      <c r="B24" s="299">
        <v>1</v>
      </c>
      <c r="C24" s="300" t="s">
        <v>46</v>
      </c>
      <c r="D24" s="301"/>
      <c r="E24" s="302" t="str">
        <f>Analis!A118</f>
        <v>E.13 a</v>
      </c>
      <c r="F24" s="303">
        <f>Volume!S16</f>
        <v>44</v>
      </c>
      <c r="G24" s="301" t="s">
        <v>47</v>
      </c>
      <c r="H24" s="304">
        <f>Analis!I135</f>
        <v>7774.8625</v>
      </c>
      <c r="I24" s="334">
        <f t="shared" ref="I24:I25" si="3">F24*H24</f>
        <v>342093.95</v>
      </c>
    </row>
    <row r="25" s="267" customFormat="1" ht="15.75" spans="2:9">
      <c r="B25" s="299">
        <f>B24+1</f>
        <v>2</v>
      </c>
      <c r="C25" s="300" t="s">
        <v>48</v>
      </c>
      <c r="D25" s="301"/>
      <c r="E25" s="302" t="str">
        <f>Analis!A96</f>
        <v>A.3.2.1.3</v>
      </c>
      <c r="F25" s="303">
        <f>Volume!S17</f>
        <v>15.36</v>
      </c>
      <c r="G25" s="286" t="s">
        <v>39</v>
      </c>
      <c r="H25" s="304">
        <f>Analis!I115</f>
        <v>1056836.89</v>
      </c>
      <c r="I25" s="334">
        <f t="shared" si="3"/>
        <v>16233014.6304</v>
      </c>
    </row>
    <row r="26" s="267" customFormat="1" spans="2:9">
      <c r="B26" s="305"/>
      <c r="C26" s="306"/>
      <c r="D26" s="306"/>
      <c r="E26" s="307"/>
      <c r="F26" s="308"/>
      <c r="G26" s="306"/>
      <c r="H26" s="293" t="s">
        <v>49</v>
      </c>
      <c r="I26" s="335">
        <f>SUM(I24:I25)</f>
        <v>16575108.5804</v>
      </c>
    </row>
    <row r="27" spans="2:9">
      <c r="B27" s="298" t="s">
        <v>50</v>
      </c>
      <c r="C27" s="294" t="s">
        <v>51</v>
      </c>
      <c r="D27" s="290"/>
      <c r="E27" s="291"/>
      <c r="F27" s="292"/>
      <c r="G27" s="290"/>
      <c r="H27" s="292"/>
      <c r="I27" s="336"/>
    </row>
    <row r="28" spans="2:9">
      <c r="B28" s="299">
        <v>1</v>
      </c>
      <c r="C28" s="300" t="s">
        <v>52</v>
      </c>
      <c r="D28" s="306"/>
      <c r="E28" s="302" t="s">
        <v>53</v>
      </c>
      <c r="F28" s="308">
        <f>Volume!S21</f>
        <v>4.32</v>
      </c>
      <c r="G28" s="286"/>
      <c r="H28" s="304">
        <f>Analis!I158</f>
        <v>1094801.47857143</v>
      </c>
      <c r="I28" s="334">
        <f>F28*H28</f>
        <v>4729542.38742857</v>
      </c>
    </row>
    <row r="29" ht="15.75" spans="2:9">
      <c r="B29" s="299">
        <v>2</v>
      </c>
      <c r="C29" s="300" t="s">
        <v>54</v>
      </c>
      <c r="D29" s="286"/>
      <c r="E29" s="295" t="str">
        <f>Analis!A1096</f>
        <v>A. 4.1.1.29</v>
      </c>
      <c r="F29" s="308">
        <f>Volume!S22</f>
        <v>1.152</v>
      </c>
      <c r="G29" s="286" t="s">
        <v>39</v>
      </c>
      <c r="H29" s="296">
        <f>Analis!I1120</f>
        <v>6963540.95</v>
      </c>
      <c r="I29" s="334">
        <f>F29*H29</f>
        <v>8021999.1744</v>
      </c>
    </row>
    <row r="30" spans="2:10">
      <c r="B30" s="309"/>
      <c r="C30" s="310"/>
      <c r="D30" s="311"/>
      <c r="E30" s="312"/>
      <c r="F30" s="313"/>
      <c r="G30" s="311"/>
      <c r="H30" s="314"/>
      <c r="I30" s="337"/>
      <c r="J30" s="334"/>
    </row>
    <row r="31" spans="2:9">
      <c r="B31" s="309"/>
      <c r="C31" s="310"/>
      <c r="D31" s="311"/>
      <c r="E31" s="312"/>
      <c r="F31" s="313"/>
      <c r="G31" s="311"/>
      <c r="H31" s="314"/>
      <c r="I31" s="337"/>
    </row>
    <row r="32" spans="2:9">
      <c r="B32" s="289"/>
      <c r="C32" s="290"/>
      <c r="D32" s="290"/>
      <c r="E32" s="291"/>
      <c r="F32" s="292"/>
      <c r="G32" s="290"/>
      <c r="H32" s="293" t="s">
        <v>55</v>
      </c>
      <c r="I32" s="335">
        <f>SUM(I28:I31)</f>
        <v>12751541.5618286</v>
      </c>
    </row>
    <row r="33" spans="2:9">
      <c r="B33" s="315" t="s">
        <v>56</v>
      </c>
      <c r="C33" s="316" t="s">
        <v>57</v>
      </c>
      <c r="D33" s="317"/>
      <c r="E33" s="318"/>
      <c r="F33" s="319"/>
      <c r="G33" s="317"/>
      <c r="H33" s="319"/>
      <c r="I33" s="338"/>
    </row>
    <row r="34" s="267" customFormat="1" ht="15.75" spans="2:9">
      <c r="B34" s="299">
        <v>1</v>
      </c>
      <c r="C34" s="300" t="s">
        <v>58</v>
      </c>
      <c r="D34" s="301"/>
      <c r="E34" s="320" t="s">
        <v>31</v>
      </c>
      <c r="F34" s="303">
        <f>Volume!S27</f>
        <v>52.28</v>
      </c>
      <c r="G34" s="301" t="s">
        <v>59</v>
      </c>
      <c r="H34" s="304">
        <v>180000</v>
      </c>
      <c r="I34" s="334">
        <f t="shared" ref="I34:I36" si="4">F34*H34</f>
        <v>9410400</v>
      </c>
    </row>
    <row r="35" s="267" customFormat="1" ht="15.75" spans="2:9">
      <c r="B35" s="299">
        <f>B34+1</f>
        <v>2</v>
      </c>
      <c r="C35" s="300" t="s">
        <v>60</v>
      </c>
      <c r="D35" s="301"/>
      <c r="E35" s="302" t="str">
        <f>Analis!A687</f>
        <v>A.4.5.1.7</v>
      </c>
      <c r="F35" s="303">
        <f>Volume!S28</f>
        <v>104.56</v>
      </c>
      <c r="G35" s="301" t="s">
        <v>59</v>
      </c>
      <c r="H35" s="304">
        <f>Analis!I257</f>
        <v>65975.27</v>
      </c>
      <c r="I35" s="334">
        <f t="shared" si="4"/>
        <v>6898374.2312</v>
      </c>
    </row>
    <row r="36" s="267" customFormat="1" spans="2:9">
      <c r="B36" s="299"/>
      <c r="C36" s="300"/>
      <c r="D36" s="301"/>
      <c r="E36" s="302"/>
      <c r="F36" s="303"/>
      <c r="G36" s="301"/>
      <c r="H36" s="304"/>
      <c r="I36" s="334"/>
    </row>
    <row r="37" s="267" customFormat="1" spans="2:9">
      <c r="B37" s="321"/>
      <c r="C37" s="306"/>
      <c r="D37" s="306"/>
      <c r="E37" s="307"/>
      <c r="F37" s="308"/>
      <c r="G37" s="306"/>
      <c r="H37" s="293" t="s">
        <v>61</v>
      </c>
      <c r="I37" s="335">
        <f>SUM(I34:I36)</f>
        <v>16308774.2312</v>
      </c>
    </row>
    <row r="38" spans="2:9">
      <c r="B38" s="279" t="s">
        <v>62</v>
      </c>
      <c r="C38" s="294" t="s">
        <v>63</v>
      </c>
      <c r="D38" s="290"/>
      <c r="E38" s="291"/>
      <c r="F38" s="292"/>
      <c r="G38" s="290"/>
      <c r="H38" s="292"/>
      <c r="I38" s="336"/>
    </row>
    <row r="39" ht="15.75" spans="2:9">
      <c r="B39" s="282">
        <v>1</v>
      </c>
      <c r="C39" s="300" t="s">
        <v>64</v>
      </c>
      <c r="D39" s="286"/>
      <c r="E39" s="295" t="str">
        <f>Analis!A300</f>
        <v>A.4.4.3.35.b</v>
      </c>
      <c r="F39" s="285">
        <f>Volume!S35</f>
        <v>172.8</v>
      </c>
      <c r="G39" s="301" t="s">
        <v>59</v>
      </c>
      <c r="H39" s="296">
        <f>Analis!I1167</f>
        <v>218543.125</v>
      </c>
      <c r="I39" s="334">
        <f t="shared" ref="I39:I41" si="5">F39*H39</f>
        <v>37764252</v>
      </c>
    </row>
    <row r="40" spans="2:9">
      <c r="B40" s="282"/>
      <c r="C40" s="300"/>
      <c r="D40" s="286"/>
      <c r="E40" s="295"/>
      <c r="F40" s="285"/>
      <c r="G40" s="301"/>
      <c r="H40" s="296"/>
      <c r="I40" s="334"/>
    </row>
    <row r="41" spans="2:9">
      <c r="B41" s="282"/>
      <c r="C41" s="300"/>
      <c r="D41" s="286"/>
      <c r="E41" s="295"/>
      <c r="F41" s="285"/>
      <c r="G41" s="301"/>
      <c r="H41" s="296"/>
      <c r="I41" s="334"/>
    </row>
    <row r="42" spans="2:9">
      <c r="B42" s="289"/>
      <c r="C42" s="290"/>
      <c r="D42" s="290"/>
      <c r="E42" s="291"/>
      <c r="F42" s="292"/>
      <c r="G42" s="290"/>
      <c r="H42" s="293" t="s">
        <v>65</v>
      </c>
      <c r="I42" s="335">
        <f>I39</f>
        <v>37764252</v>
      </c>
    </row>
    <row r="43" spans="2:9">
      <c r="B43" s="279" t="s">
        <v>66</v>
      </c>
      <c r="C43" s="294" t="s">
        <v>67</v>
      </c>
      <c r="D43" s="290"/>
      <c r="E43" s="291"/>
      <c r="F43" s="292"/>
      <c r="G43" s="290"/>
      <c r="H43" s="292"/>
      <c r="I43" s="336"/>
    </row>
    <row r="44" ht="15.75" spans="2:9">
      <c r="B44" s="282">
        <v>1</v>
      </c>
      <c r="C44" s="288" t="s">
        <v>68</v>
      </c>
      <c r="D44" s="286"/>
      <c r="E44" s="295" t="s">
        <v>31</v>
      </c>
      <c r="F44" s="285">
        <f>Volume!S40</f>
        <v>131.13</v>
      </c>
      <c r="G44" s="301" t="s">
        <v>59</v>
      </c>
      <c r="H44" s="296">
        <v>185000</v>
      </c>
      <c r="I44" s="334">
        <f>F44*H44</f>
        <v>24259050</v>
      </c>
    </row>
    <row r="45" ht="15.75" spans="2:9">
      <c r="B45" s="282">
        <f>B44+1</f>
        <v>2</v>
      </c>
      <c r="C45" s="288" t="s">
        <v>69</v>
      </c>
      <c r="D45" s="286"/>
      <c r="E45" s="295" t="str">
        <f>Analis!A627</f>
        <v>A.4.5.2.32.a</v>
      </c>
      <c r="F45" s="285">
        <f>Volume!S41</f>
        <v>131.13</v>
      </c>
      <c r="G45" s="301" t="s">
        <v>59</v>
      </c>
      <c r="H45" s="296">
        <f>Analis!I645</f>
        <v>116506.5</v>
      </c>
      <c r="I45" s="334">
        <f>F45*H45</f>
        <v>15277497.345</v>
      </c>
    </row>
    <row r="46" spans="2:9">
      <c r="B46" s="282"/>
      <c r="C46" s="288"/>
      <c r="D46" s="286"/>
      <c r="E46" s="295"/>
      <c r="F46" s="285"/>
      <c r="G46" s="286"/>
      <c r="H46" s="296"/>
      <c r="I46" s="334"/>
    </row>
    <row r="47" spans="2:9">
      <c r="B47" s="282"/>
      <c r="C47" s="288"/>
      <c r="D47" s="286"/>
      <c r="E47" s="295"/>
      <c r="F47" s="285"/>
      <c r="G47" s="301"/>
      <c r="H47" s="296"/>
      <c r="I47" s="334"/>
    </row>
    <row r="48" spans="2:9">
      <c r="B48" s="282"/>
      <c r="C48" s="288"/>
      <c r="D48" s="286"/>
      <c r="E48" s="295"/>
      <c r="F48" s="285"/>
      <c r="G48" s="301"/>
      <c r="H48" s="296"/>
      <c r="I48" s="334"/>
    </row>
    <row r="49" spans="2:9">
      <c r="B49" s="282"/>
      <c r="C49" s="288"/>
      <c r="D49" s="286"/>
      <c r="E49" s="295"/>
      <c r="F49" s="285"/>
      <c r="G49" s="286"/>
      <c r="H49" s="296"/>
      <c r="I49" s="334"/>
    </row>
    <row r="50" spans="2:9">
      <c r="B50" s="289"/>
      <c r="C50" s="290"/>
      <c r="D50" s="290"/>
      <c r="E50" s="291"/>
      <c r="F50" s="292"/>
      <c r="G50" s="290"/>
      <c r="H50" s="293" t="s">
        <v>70</v>
      </c>
      <c r="I50" s="335">
        <f>SUM(I44:I49)</f>
        <v>39536547.345</v>
      </c>
    </row>
    <row r="51" spans="2:9">
      <c r="B51" s="298" t="s">
        <v>71</v>
      </c>
      <c r="C51" s="294" t="s">
        <v>72</v>
      </c>
      <c r="D51" s="290"/>
      <c r="E51" s="291"/>
      <c r="F51" s="292"/>
      <c r="G51" s="290"/>
      <c r="H51" s="292"/>
      <c r="I51" s="336"/>
    </row>
    <row r="52" ht="15.75" spans="2:9">
      <c r="B52" s="282">
        <v>1</v>
      </c>
      <c r="C52" s="288" t="s">
        <v>73</v>
      </c>
      <c r="D52" s="286"/>
      <c r="E52" s="295" t="str">
        <f>Analis!A411</f>
        <v>A.4.6.1.2</v>
      </c>
      <c r="F52" s="285">
        <f>Volume!S48</f>
        <v>0.175</v>
      </c>
      <c r="G52" s="301" t="s">
        <v>74</v>
      </c>
      <c r="H52" s="296">
        <f>Analis!I430</f>
        <v>13309668.75</v>
      </c>
      <c r="I52" s="334">
        <f t="shared" ref="I52:I60" si="6">F52*H52</f>
        <v>2329192.03125</v>
      </c>
    </row>
    <row r="53" ht="15.75" spans="2:9">
      <c r="B53" s="282">
        <f>B52+1</f>
        <v>2</v>
      </c>
      <c r="C53" s="288" t="s">
        <v>75</v>
      </c>
      <c r="D53" s="286"/>
      <c r="E53" s="322" t="str">
        <f>E52</f>
        <v>A.4.6.1.2</v>
      </c>
      <c r="F53" s="285">
        <f>Volume!S49</f>
        <v>0.126</v>
      </c>
      <c r="G53" s="301" t="s">
        <v>74</v>
      </c>
      <c r="H53" s="296">
        <f>H52</f>
        <v>13309668.75</v>
      </c>
      <c r="I53" s="334">
        <f t="shared" si="6"/>
        <v>1677018.2625</v>
      </c>
    </row>
    <row r="54" ht="15.75" spans="2:9">
      <c r="B54" s="282">
        <f t="shared" ref="B54:B60" si="7">B53+1</f>
        <v>3</v>
      </c>
      <c r="C54" s="288" t="s">
        <v>76</v>
      </c>
      <c r="D54" s="286"/>
      <c r="E54" s="295" t="str">
        <f>Analis!A432</f>
        <v>A.4.6.1.5</v>
      </c>
      <c r="F54" s="285">
        <f>Volume!S50</f>
        <v>10.045</v>
      </c>
      <c r="G54" s="301" t="s">
        <v>59</v>
      </c>
      <c r="H54" s="296">
        <f>Analis!I450</f>
        <v>688683.25</v>
      </c>
      <c r="I54" s="334">
        <f t="shared" si="6"/>
        <v>6917823.24625</v>
      </c>
    </row>
    <row r="55" ht="15.75" spans="2:9">
      <c r="B55" s="282">
        <f t="shared" si="7"/>
        <v>4</v>
      </c>
      <c r="C55" s="288" t="s">
        <v>77</v>
      </c>
      <c r="D55" s="286"/>
      <c r="E55" s="295" t="str">
        <f>Analis!A432</f>
        <v>A.4.6.1.5</v>
      </c>
      <c r="F55" s="285">
        <f>Volume!S51</f>
        <v>3.85</v>
      </c>
      <c r="G55" s="301" t="s">
        <v>59</v>
      </c>
      <c r="H55" s="296">
        <f>H54</f>
        <v>688683.25</v>
      </c>
      <c r="I55" s="334">
        <f t="shared" si="6"/>
        <v>2651430.5125</v>
      </c>
    </row>
    <row r="56" spans="2:9">
      <c r="B56" s="282">
        <f t="shared" si="7"/>
        <v>5</v>
      </c>
      <c r="C56" s="288" t="s">
        <v>78</v>
      </c>
      <c r="D56" s="286"/>
      <c r="E56" s="295" t="s">
        <v>31</v>
      </c>
      <c r="F56" s="285">
        <f>Volume!S52</f>
        <v>7</v>
      </c>
      <c r="G56" s="301" t="s">
        <v>34</v>
      </c>
      <c r="H56" s="296">
        <v>300000</v>
      </c>
      <c r="I56" s="334">
        <f t="shared" si="6"/>
        <v>2100000</v>
      </c>
    </row>
    <row r="57" spans="2:9">
      <c r="B57" s="282">
        <f t="shared" si="7"/>
        <v>6</v>
      </c>
      <c r="C57" s="288" t="s">
        <v>79</v>
      </c>
      <c r="D57" s="286"/>
      <c r="E57" s="295" t="str">
        <f>Analis!A513</f>
        <v>A.4.6.2.5</v>
      </c>
      <c r="F57" s="285">
        <f>Volume!S53</f>
        <v>21</v>
      </c>
      <c r="G57" s="301" t="s">
        <v>34</v>
      </c>
      <c r="H57" s="296">
        <f>Analis!I530</f>
        <v>83644.675</v>
      </c>
      <c r="I57" s="334">
        <f t="shared" si="6"/>
        <v>1756538.175</v>
      </c>
    </row>
    <row r="58" spans="2:9">
      <c r="B58" s="282">
        <f t="shared" si="7"/>
        <v>7</v>
      </c>
      <c r="C58" s="288" t="s">
        <v>80</v>
      </c>
      <c r="D58" s="286"/>
      <c r="E58" s="295" t="str">
        <f>Analis!A532</f>
        <v>A.4.6.2.6</v>
      </c>
      <c r="F58" s="285">
        <f>Volume!S54</f>
        <v>14</v>
      </c>
      <c r="G58" s="301" t="s">
        <v>34</v>
      </c>
      <c r="H58" s="296">
        <f>Analis!I549</f>
        <v>56904.875</v>
      </c>
      <c r="I58" s="334">
        <f t="shared" si="6"/>
        <v>796668.25</v>
      </c>
    </row>
    <row r="59" spans="2:9">
      <c r="B59" s="282">
        <f t="shared" si="7"/>
        <v>8</v>
      </c>
      <c r="C59" s="288" t="s">
        <v>81</v>
      </c>
      <c r="D59" s="286"/>
      <c r="E59" s="295" t="str">
        <f>Analis!A551</f>
        <v>A.4.6.2.11</v>
      </c>
      <c r="F59" s="285">
        <f>Volume!S55</f>
        <v>7</v>
      </c>
      <c r="G59" s="301" t="s">
        <v>34</v>
      </c>
      <c r="H59" s="296">
        <f>Analis!I568</f>
        <v>72409.75</v>
      </c>
      <c r="I59" s="334">
        <f t="shared" si="6"/>
        <v>506868.25</v>
      </c>
    </row>
    <row r="60" ht="15.75" spans="2:9">
      <c r="B60" s="323">
        <f t="shared" si="7"/>
        <v>9</v>
      </c>
      <c r="C60" s="324" t="s">
        <v>82</v>
      </c>
      <c r="D60" s="325"/>
      <c r="E60" s="295" t="str">
        <f>Analis!A452</f>
        <v>A.4.6.2.17</v>
      </c>
      <c r="F60" s="285">
        <f>Volume!S56</f>
        <v>7.056</v>
      </c>
      <c r="G60" s="326" t="s">
        <v>59</v>
      </c>
      <c r="H60" s="327">
        <f>Analis!I470</f>
        <v>133842.175</v>
      </c>
      <c r="I60" s="334">
        <f t="shared" si="6"/>
        <v>944390.3868</v>
      </c>
    </row>
    <row r="61" spans="2:9">
      <c r="B61" s="289"/>
      <c r="C61" s="290"/>
      <c r="D61" s="290"/>
      <c r="E61" s="291"/>
      <c r="F61" s="292"/>
      <c r="G61" s="290"/>
      <c r="H61" s="293" t="s">
        <v>83</v>
      </c>
      <c r="I61" s="335">
        <f>SUM(I52:I60)</f>
        <v>19679929.1143</v>
      </c>
    </row>
    <row r="62" spans="2:9">
      <c r="B62" s="279" t="s">
        <v>84</v>
      </c>
      <c r="C62" s="294" t="s">
        <v>85</v>
      </c>
      <c r="D62" s="290"/>
      <c r="E62" s="291"/>
      <c r="F62" s="292"/>
      <c r="G62" s="290"/>
      <c r="H62" s="292"/>
      <c r="I62" s="336"/>
    </row>
    <row r="63" s="267" customFormat="1" ht="15.75" spans="2:9">
      <c r="B63" s="299">
        <v>1</v>
      </c>
      <c r="C63" s="300" t="s">
        <v>86</v>
      </c>
      <c r="D63" s="301"/>
      <c r="E63" s="302" t="str">
        <f>Analis!A977</f>
        <v>A.4.7.1.10</v>
      </c>
      <c r="F63" s="303">
        <f>Volume!S59</f>
        <v>0</v>
      </c>
      <c r="G63" s="301" t="s">
        <v>59</v>
      </c>
      <c r="H63" s="304">
        <f>Analis!I996</f>
        <v>30782.05</v>
      </c>
      <c r="I63" s="334">
        <f t="shared" ref="I63:I66" si="8">F63*H63</f>
        <v>0</v>
      </c>
    </row>
    <row r="64" s="267" customFormat="1" ht="15.75" spans="2:9">
      <c r="B64" s="299">
        <v>2</v>
      </c>
      <c r="C64" s="300" t="s">
        <v>87</v>
      </c>
      <c r="D64" s="301"/>
      <c r="E64" s="302" t="str">
        <f>Analis!A998</f>
        <v>A.4.7.1.10.b</v>
      </c>
      <c r="F64" s="303">
        <f>Volume!S60</f>
        <v>0</v>
      </c>
      <c r="G64" s="301" t="s">
        <v>59</v>
      </c>
      <c r="H64" s="304">
        <f>Analis!I1017</f>
        <v>21674.05</v>
      </c>
      <c r="I64" s="334">
        <f t="shared" si="8"/>
        <v>0</v>
      </c>
    </row>
    <row r="65" s="267" customFormat="1" ht="15.75" spans="2:9">
      <c r="B65" s="299">
        <v>3</v>
      </c>
      <c r="C65" s="300" t="s">
        <v>88</v>
      </c>
      <c r="D65" s="301"/>
      <c r="E65" s="302" t="str">
        <f>Analis!A1019</f>
        <v>A.4.7.1.5</v>
      </c>
      <c r="F65" s="303">
        <f>Volume!S61</f>
        <v>10.32</v>
      </c>
      <c r="G65" s="301" t="s">
        <v>59</v>
      </c>
      <c r="H65" s="304">
        <f>Analis!I1042</f>
        <v>66182.5</v>
      </c>
      <c r="I65" s="334">
        <f t="shared" si="8"/>
        <v>683003.4</v>
      </c>
    </row>
    <row r="66" s="267" customFormat="1" ht="15.75" spans="2:9">
      <c r="B66" s="299">
        <v>4</v>
      </c>
      <c r="C66" s="300" t="s">
        <v>89</v>
      </c>
      <c r="D66" s="301"/>
      <c r="E66" s="302" t="str">
        <f>Analis!A1019</f>
        <v>A.4.7.1.5</v>
      </c>
      <c r="F66" s="303">
        <f>Volume!S62</f>
        <v>83.37</v>
      </c>
      <c r="G66" s="301" t="s">
        <v>59</v>
      </c>
      <c r="H66" s="304">
        <f>Analis!I1042</f>
        <v>66182.5</v>
      </c>
      <c r="I66" s="334">
        <f t="shared" si="8"/>
        <v>5517635.025</v>
      </c>
    </row>
    <row r="67" s="267" customFormat="1" spans="2:9">
      <c r="B67" s="305"/>
      <c r="C67" s="306"/>
      <c r="D67" s="306"/>
      <c r="E67" s="307"/>
      <c r="F67" s="308"/>
      <c r="G67" s="306"/>
      <c r="H67" s="293" t="s">
        <v>90</v>
      </c>
      <c r="I67" s="335">
        <f>SUM(I63:I66)</f>
        <v>6200638.425</v>
      </c>
    </row>
    <row r="68" spans="2:9">
      <c r="B68" s="279" t="s">
        <v>91</v>
      </c>
      <c r="C68" s="294" t="s">
        <v>92</v>
      </c>
      <c r="D68" s="290"/>
      <c r="E68" s="291"/>
      <c r="F68" s="292"/>
      <c r="G68" s="290"/>
      <c r="H68" s="292"/>
      <c r="I68" s="336"/>
    </row>
    <row r="69" spans="2:9">
      <c r="B69" s="282">
        <v>1</v>
      </c>
      <c r="C69" s="300" t="s">
        <v>93</v>
      </c>
      <c r="D69" s="286"/>
      <c r="E69" s="295" t="s">
        <v>31</v>
      </c>
      <c r="F69" s="285">
        <f>Volume!S65</f>
        <v>12</v>
      </c>
      <c r="G69" s="301" t="s">
        <v>94</v>
      </c>
      <c r="H69" s="296">
        <v>185000</v>
      </c>
      <c r="I69" s="334">
        <f t="shared" ref="I69:I80" si="9">F69*H69</f>
        <v>2220000</v>
      </c>
    </row>
    <row r="70" spans="2:9">
      <c r="B70" s="282">
        <f>B69+1</f>
        <v>2</v>
      </c>
      <c r="C70" s="300" t="s">
        <v>95</v>
      </c>
      <c r="D70" s="286"/>
      <c r="E70" s="295" t="s">
        <v>31</v>
      </c>
      <c r="F70" s="285">
        <f>Volume!S66</f>
        <v>12</v>
      </c>
      <c r="G70" s="301" t="s">
        <v>34</v>
      </c>
      <c r="H70" s="296">
        <v>65000</v>
      </c>
      <c r="I70" s="334">
        <f t="shared" si="9"/>
        <v>780000</v>
      </c>
    </row>
    <row r="71" spans="2:9">
      <c r="B71" s="282">
        <f t="shared" ref="B71" si="10">B70+1</f>
        <v>3</v>
      </c>
      <c r="C71" s="300" t="s">
        <v>96</v>
      </c>
      <c r="D71" s="286"/>
      <c r="E71" s="295" t="s">
        <v>31</v>
      </c>
      <c r="F71" s="285">
        <f>Volume!S67</f>
        <v>10</v>
      </c>
      <c r="G71" s="301" t="s">
        <v>94</v>
      </c>
      <c r="H71" s="296">
        <v>50000</v>
      </c>
      <c r="I71" s="334">
        <f t="shared" si="9"/>
        <v>500000</v>
      </c>
    </row>
    <row r="72" spans="2:9">
      <c r="B72" s="282">
        <v>4</v>
      </c>
      <c r="C72" s="300" t="str">
        <f>Volume!C68</f>
        <v>Pasang Kabel NYY 2 x 2.5 mm</v>
      </c>
      <c r="D72" s="286"/>
      <c r="E72" s="295" t="s">
        <v>31</v>
      </c>
      <c r="F72" s="285">
        <f>Volume!S68</f>
        <v>150</v>
      </c>
      <c r="G72" s="301" t="s">
        <v>97</v>
      </c>
      <c r="H72" s="296">
        <v>43750</v>
      </c>
      <c r="I72" s="334">
        <f t="shared" si="9"/>
        <v>6562500</v>
      </c>
    </row>
    <row r="73" spans="2:9">
      <c r="B73" s="282">
        <v>6</v>
      </c>
      <c r="C73" s="300" t="s">
        <v>98</v>
      </c>
      <c r="D73" s="286"/>
      <c r="E73" s="295" t="str">
        <f>Analis!A747</f>
        <v>A. 5.1.1.2</v>
      </c>
      <c r="F73" s="285">
        <f>Volume!S69</f>
        <v>4</v>
      </c>
      <c r="G73" s="301" t="s">
        <v>34</v>
      </c>
      <c r="H73" s="296">
        <f>Analis!I766</f>
        <v>653135.6</v>
      </c>
      <c r="I73" s="334">
        <f t="shared" si="9"/>
        <v>2612542.4</v>
      </c>
    </row>
    <row r="74" spans="2:9">
      <c r="B74" s="282">
        <v>7</v>
      </c>
      <c r="C74" s="300" t="s">
        <v>99</v>
      </c>
      <c r="D74" s="286"/>
      <c r="E74" s="295" t="str">
        <f>Analis!A835</f>
        <v>A. 5.1.1.9</v>
      </c>
      <c r="F74" s="285">
        <f>Volume!S70</f>
        <v>0</v>
      </c>
      <c r="G74" s="301" t="s">
        <v>34</v>
      </c>
      <c r="H74" s="296">
        <f>Analis!I853</f>
        <v>1331281.4</v>
      </c>
      <c r="I74" s="334">
        <f t="shared" si="9"/>
        <v>0</v>
      </c>
    </row>
    <row r="75" spans="2:9">
      <c r="B75" s="282">
        <v>8</v>
      </c>
      <c r="C75" s="300" t="str">
        <f>Volume!C71</f>
        <v>Pasang floor drain wc</v>
      </c>
      <c r="D75" s="286"/>
      <c r="E75" s="295" t="str">
        <f>Analis!A856</f>
        <v>A. 5.1.1.14</v>
      </c>
      <c r="F75" s="285">
        <f>Volume!S71</f>
        <v>4</v>
      </c>
      <c r="G75" s="301" t="s">
        <v>34</v>
      </c>
      <c r="H75" s="296">
        <f>Analis!I873</f>
        <v>102838.75</v>
      </c>
      <c r="I75" s="334">
        <f t="shared" si="9"/>
        <v>411355</v>
      </c>
    </row>
    <row r="76" spans="2:9">
      <c r="B76" s="282">
        <v>9</v>
      </c>
      <c r="C76" s="300" t="s">
        <v>100</v>
      </c>
      <c r="D76" s="286"/>
      <c r="E76" s="295" t="str">
        <f>Analis!A956</f>
        <v>A. 5.1.1.19</v>
      </c>
      <c r="F76" s="285">
        <f>Volume!S72</f>
        <v>6</v>
      </c>
      <c r="G76" s="301" t="s">
        <v>34</v>
      </c>
      <c r="H76" s="296">
        <f>Analis!I974</f>
        <v>225975</v>
      </c>
      <c r="I76" s="334">
        <f t="shared" si="9"/>
        <v>1355850</v>
      </c>
    </row>
    <row r="77" spans="2:9">
      <c r="B77" s="282">
        <v>10</v>
      </c>
      <c r="C77" s="300" t="s">
        <v>101</v>
      </c>
      <c r="D77" s="286"/>
      <c r="E77" s="295" t="s">
        <v>31</v>
      </c>
      <c r="F77" s="285">
        <f>Volume!S73</f>
        <v>1</v>
      </c>
      <c r="G77" s="301" t="s">
        <v>102</v>
      </c>
      <c r="H77" s="296">
        <v>250000</v>
      </c>
      <c r="I77" s="334">
        <f t="shared" si="9"/>
        <v>250000</v>
      </c>
    </row>
    <row r="78" spans="2:9">
      <c r="B78" s="282">
        <v>11</v>
      </c>
      <c r="C78" s="300" t="s">
        <v>103</v>
      </c>
      <c r="D78" s="286"/>
      <c r="E78" s="295" t="s">
        <v>31</v>
      </c>
      <c r="F78" s="285">
        <f>Volume!S74</f>
        <v>1</v>
      </c>
      <c r="G78" s="301" t="s">
        <v>102</v>
      </c>
      <c r="H78" s="296">
        <v>300000</v>
      </c>
      <c r="I78" s="334">
        <f t="shared" si="9"/>
        <v>300000</v>
      </c>
    </row>
    <row r="79" spans="2:9">
      <c r="B79" s="282">
        <v>12</v>
      </c>
      <c r="C79" s="300" t="s">
        <v>104</v>
      </c>
      <c r="D79" s="286"/>
      <c r="E79" s="295" t="s">
        <v>31</v>
      </c>
      <c r="F79" s="285">
        <f>Volume!S75</f>
        <v>1</v>
      </c>
      <c r="G79" s="301" t="s">
        <v>34</v>
      </c>
      <c r="H79" s="296">
        <v>1300000</v>
      </c>
      <c r="I79" s="334">
        <f t="shared" si="9"/>
        <v>1300000</v>
      </c>
    </row>
    <row r="80" spans="2:9">
      <c r="B80" s="282">
        <v>13</v>
      </c>
      <c r="C80" s="300" t="s">
        <v>105</v>
      </c>
      <c r="D80" s="286"/>
      <c r="E80" s="295" t="s">
        <v>31</v>
      </c>
      <c r="F80" s="285">
        <f>Volume!S76</f>
        <v>1</v>
      </c>
      <c r="G80" s="301" t="s">
        <v>106</v>
      </c>
      <c r="H80" s="296">
        <v>3000000</v>
      </c>
      <c r="I80" s="334">
        <f t="shared" si="9"/>
        <v>3000000</v>
      </c>
    </row>
    <row r="81" ht="15.75" spans="2:9">
      <c r="B81" s="339"/>
      <c r="C81" s="340"/>
      <c r="D81" s="340"/>
      <c r="E81" s="340"/>
      <c r="F81" s="341"/>
      <c r="G81" s="340"/>
      <c r="H81" s="342" t="s">
        <v>107</v>
      </c>
      <c r="I81" s="348">
        <f>SUM(I69:I80)</f>
        <v>19292247.4</v>
      </c>
    </row>
    <row r="82" spans="6:9">
      <c r="F82" s="330"/>
      <c r="H82" s="330"/>
      <c r="I82" s="330"/>
    </row>
    <row r="83" spans="6:9">
      <c r="F83" s="330"/>
      <c r="H83" s="330"/>
      <c r="I83" s="330"/>
    </row>
    <row r="84" spans="6:9">
      <c r="F84" s="330"/>
      <c r="G84" s="343"/>
      <c r="H84" s="343"/>
      <c r="I84" s="343">
        <f>SUM(I13:I81)/2</f>
        <v>184069098.092928</v>
      </c>
    </row>
    <row r="85" spans="3:9">
      <c r="C85" s="344"/>
      <c r="D85" s="344"/>
      <c r="F85" s="330"/>
      <c r="G85" s="345"/>
      <c r="H85" s="345"/>
      <c r="I85" s="345"/>
    </row>
    <row r="86" spans="3:9">
      <c r="C86" s="344"/>
      <c r="D86" s="344"/>
      <c r="F86" s="330"/>
      <c r="H86" s="330"/>
      <c r="I86" s="330"/>
    </row>
    <row r="87" spans="3:9">
      <c r="C87" s="344"/>
      <c r="D87" s="344"/>
      <c r="F87" s="330"/>
      <c r="H87" s="330"/>
      <c r="I87" s="330"/>
    </row>
    <row r="88" spans="3:9">
      <c r="C88" s="344"/>
      <c r="F88" s="330"/>
      <c r="H88" s="330"/>
      <c r="I88" s="330"/>
    </row>
    <row r="89" spans="3:9">
      <c r="C89" s="344"/>
      <c r="F89" s="330"/>
      <c r="H89" s="330"/>
      <c r="I89" s="330"/>
    </row>
    <row r="90" spans="3:9">
      <c r="C90" s="344"/>
      <c r="F90" s="330"/>
      <c r="H90" s="330"/>
      <c r="I90" s="330"/>
    </row>
    <row r="91" spans="3:9">
      <c r="C91" s="344"/>
      <c r="F91" s="330"/>
      <c r="H91" s="330"/>
      <c r="I91" s="330"/>
    </row>
    <row r="92" spans="3:9">
      <c r="C92" s="346"/>
      <c r="D92" s="346"/>
      <c r="F92" s="330"/>
      <c r="G92" s="345"/>
      <c r="H92" s="345"/>
      <c r="I92" s="345"/>
    </row>
    <row r="93" spans="3:9">
      <c r="C93" s="347"/>
      <c r="D93" s="347"/>
      <c r="F93" s="330"/>
      <c r="G93" s="345"/>
      <c r="H93" s="345"/>
      <c r="I93" s="345"/>
    </row>
    <row r="94" spans="6:9">
      <c r="F94" s="330"/>
      <c r="H94" s="330"/>
      <c r="I94" s="330"/>
    </row>
    <row r="95" spans="6:9">
      <c r="F95" s="330"/>
      <c r="H95" s="330"/>
      <c r="I95" s="330"/>
    </row>
    <row r="96" spans="6:9">
      <c r="F96" s="330"/>
      <c r="H96" s="330"/>
      <c r="I96" s="330"/>
    </row>
    <row r="97" spans="6:9">
      <c r="F97" s="330"/>
      <c r="H97" s="330"/>
      <c r="I97" s="330"/>
    </row>
    <row r="98" spans="6:9">
      <c r="F98" s="330"/>
      <c r="H98" s="330"/>
      <c r="I98" s="330"/>
    </row>
    <row r="99" spans="6:9">
      <c r="F99" s="330"/>
      <c r="H99" s="330"/>
      <c r="I99" s="330"/>
    </row>
    <row r="100" spans="6:9">
      <c r="F100" s="330"/>
      <c r="H100" s="330"/>
      <c r="I100" s="330"/>
    </row>
    <row r="101" spans="6:9">
      <c r="F101" s="330"/>
      <c r="H101" s="330"/>
      <c r="I101" s="330"/>
    </row>
    <row r="102" spans="6:9">
      <c r="F102" s="330"/>
      <c r="H102" s="330"/>
      <c r="I102" s="330"/>
    </row>
    <row r="103" spans="6:9">
      <c r="F103" s="330"/>
      <c r="H103" s="330"/>
      <c r="I103" s="330"/>
    </row>
    <row r="104" spans="6:9">
      <c r="F104" s="330"/>
      <c r="H104" s="330"/>
      <c r="I104" s="330"/>
    </row>
    <row r="105" spans="6:9">
      <c r="F105" s="330"/>
      <c r="H105" s="330"/>
      <c r="I105" s="330"/>
    </row>
    <row r="106" spans="6:9">
      <c r="F106" s="330"/>
      <c r="H106" s="330"/>
      <c r="I106" s="330"/>
    </row>
    <row r="107" spans="6:9">
      <c r="F107" s="330"/>
      <c r="H107" s="330"/>
      <c r="I107" s="330"/>
    </row>
    <row r="108" spans="6:9">
      <c r="F108" s="330"/>
      <c r="H108" s="330"/>
      <c r="I108" s="330"/>
    </row>
    <row r="109" spans="6:9">
      <c r="F109" s="330"/>
      <c r="H109" s="330"/>
      <c r="I109" s="330"/>
    </row>
    <row r="110" spans="6:9">
      <c r="F110" s="330"/>
      <c r="H110" s="330"/>
      <c r="I110" s="330"/>
    </row>
    <row r="111" spans="6:9">
      <c r="F111" s="330"/>
      <c r="H111" s="330"/>
      <c r="I111" s="330"/>
    </row>
    <row r="112" spans="6:9">
      <c r="F112" s="330"/>
      <c r="H112" s="330"/>
      <c r="I112" s="330"/>
    </row>
    <row r="113" spans="6:9">
      <c r="F113" s="330"/>
      <c r="H113" s="330"/>
      <c r="I113" s="330"/>
    </row>
    <row r="114" spans="6:9">
      <c r="F114" s="330"/>
      <c r="H114" s="330"/>
      <c r="I114" s="330"/>
    </row>
    <row r="115" spans="6:9">
      <c r="F115" s="330"/>
      <c r="H115" s="330"/>
      <c r="I115" s="330"/>
    </row>
    <row r="116" spans="6:9">
      <c r="F116" s="330"/>
      <c r="H116" s="330"/>
      <c r="I116" s="330"/>
    </row>
    <row r="117" spans="6:9">
      <c r="F117" s="330"/>
      <c r="H117" s="330"/>
      <c r="I117" s="330"/>
    </row>
    <row r="118" spans="6:9">
      <c r="F118" s="330"/>
      <c r="H118" s="330"/>
      <c r="I118" s="330"/>
    </row>
    <row r="119" spans="6:9">
      <c r="F119" s="330"/>
      <c r="H119" s="330"/>
      <c r="I119" s="330"/>
    </row>
    <row r="120" spans="6:9">
      <c r="F120" s="330"/>
      <c r="H120" s="330"/>
      <c r="I120" s="330"/>
    </row>
    <row r="121" spans="6:9">
      <c r="F121" s="330"/>
      <c r="H121" s="330"/>
      <c r="I121" s="330"/>
    </row>
    <row r="122" spans="6:9">
      <c r="F122" s="330"/>
      <c r="H122" s="330"/>
      <c r="I122" s="330"/>
    </row>
    <row r="123" spans="6:9">
      <c r="F123" s="330"/>
      <c r="H123" s="330"/>
      <c r="I123" s="330"/>
    </row>
    <row r="124" spans="6:9">
      <c r="F124" s="330"/>
      <c r="H124" s="330"/>
      <c r="I124" s="330"/>
    </row>
    <row r="125" spans="6:9">
      <c r="F125" s="330"/>
      <c r="H125" s="330"/>
      <c r="I125" s="330"/>
    </row>
    <row r="126" spans="6:9">
      <c r="F126" s="330"/>
      <c r="H126" s="330"/>
      <c r="I126" s="330"/>
    </row>
    <row r="127" spans="6:9">
      <c r="F127" s="330"/>
      <c r="H127" s="330"/>
      <c r="I127" s="330"/>
    </row>
    <row r="128" spans="6:9">
      <c r="F128" s="330"/>
      <c r="H128" s="330"/>
      <c r="I128" s="330"/>
    </row>
    <row r="129" spans="6:9">
      <c r="F129" s="330"/>
      <c r="H129" s="330"/>
      <c r="I129" s="330"/>
    </row>
    <row r="130" spans="6:9">
      <c r="F130" s="330"/>
      <c r="H130" s="330"/>
      <c r="I130" s="330"/>
    </row>
    <row r="131" spans="6:9">
      <c r="F131" s="330"/>
      <c r="H131" s="330"/>
      <c r="I131" s="330"/>
    </row>
    <row r="132" spans="6:9">
      <c r="F132" s="330"/>
      <c r="H132" s="330"/>
      <c r="I132" s="330"/>
    </row>
    <row r="133" spans="6:9">
      <c r="F133" s="330"/>
      <c r="H133" s="330"/>
      <c r="I133" s="330"/>
    </row>
    <row r="134" spans="6:9">
      <c r="F134" s="330"/>
      <c r="H134" s="330"/>
      <c r="I134" s="330"/>
    </row>
    <row r="135" spans="6:9">
      <c r="F135" s="330"/>
      <c r="H135" s="330"/>
      <c r="I135" s="330"/>
    </row>
    <row r="136" spans="6:9">
      <c r="F136" s="330"/>
      <c r="H136" s="330"/>
      <c r="I136" s="330"/>
    </row>
    <row r="137" spans="6:9">
      <c r="F137" s="330"/>
      <c r="H137" s="330"/>
      <c r="I137" s="330"/>
    </row>
    <row r="138" spans="6:9">
      <c r="F138" s="330"/>
      <c r="H138" s="330"/>
      <c r="I138" s="330"/>
    </row>
    <row r="139" spans="6:9">
      <c r="F139" s="330"/>
      <c r="H139" s="330"/>
      <c r="I139" s="330"/>
    </row>
    <row r="140" spans="6:9">
      <c r="F140" s="330"/>
      <c r="H140" s="330"/>
      <c r="I140" s="330"/>
    </row>
    <row r="141" spans="6:9">
      <c r="F141" s="330"/>
      <c r="H141" s="330"/>
      <c r="I141" s="330"/>
    </row>
    <row r="142" spans="6:9">
      <c r="F142" s="330"/>
      <c r="H142" s="330"/>
      <c r="I142" s="330"/>
    </row>
    <row r="143" spans="6:9">
      <c r="F143" s="330"/>
      <c r="H143" s="330"/>
      <c r="I143" s="330"/>
    </row>
    <row r="144" spans="6:9">
      <c r="F144" s="330"/>
      <c r="H144" s="330"/>
      <c r="I144" s="330"/>
    </row>
    <row r="145" spans="6:9">
      <c r="F145" s="330"/>
      <c r="H145" s="330"/>
      <c r="I145" s="330"/>
    </row>
    <row r="146" spans="6:9">
      <c r="F146" s="330"/>
      <c r="H146" s="330"/>
      <c r="I146" s="330"/>
    </row>
    <row r="147" spans="6:9">
      <c r="F147" s="330"/>
      <c r="H147" s="330"/>
      <c r="I147" s="330"/>
    </row>
    <row r="148" spans="6:9">
      <c r="F148" s="330"/>
      <c r="H148" s="330"/>
      <c r="I148" s="330"/>
    </row>
    <row r="149" spans="6:9">
      <c r="F149" s="330"/>
      <c r="H149" s="330"/>
      <c r="I149" s="330"/>
    </row>
    <row r="150" spans="6:9">
      <c r="F150" s="330"/>
      <c r="H150" s="330"/>
      <c r="I150" s="330"/>
    </row>
    <row r="151" spans="6:9">
      <c r="F151" s="330"/>
      <c r="H151" s="330"/>
      <c r="I151" s="330"/>
    </row>
    <row r="152" spans="6:9">
      <c r="F152" s="330"/>
      <c r="H152" s="330"/>
      <c r="I152" s="330"/>
    </row>
    <row r="153" spans="6:9">
      <c r="F153" s="330"/>
      <c r="H153" s="330"/>
      <c r="I153" s="330"/>
    </row>
    <row r="154" spans="6:9">
      <c r="F154" s="330"/>
      <c r="H154" s="330"/>
      <c r="I154" s="330"/>
    </row>
    <row r="155" spans="6:9">
      <c r="F155" s="330"/>
      <c r="H155" s="330"/>
      <c r="I155" s="330"/>
    </row>
    <row r="156" spans="6:9">
      <c r="F156" s="330"/>
      <c r="H156" s="330"/>
      <c r="I156" s="330"/>
    </row>
    <row r="157" spans="6:9">
      <c r="F157" s="330"/>
      <c r="H157" s="330"/>
      <c r="I157" s="330"/>
    </row>
    <row r="158" spans="6:9">
      <c r="F158" s="330"/>
      <c r="H158" s="330"/>
      <c r="I158" s="330"/>
    </row>
    <row r="159" spans="6:9">
      <c r="F159" s="330"/>
      <c r="H159" s="330"/>
      <c r="I159" s="330"/>
    </row>
    <row r="160" spans="6:9">
      <c r="F160" s="330"/>
      <c r="H160" s="330"/>
      <c r="I160" s="330"/>
    </row>
    <row r="161" spans="6:6">
      <c r="F161" s="330"/>
    </row>
    <row r="162" spans="6:6">
      <c r="F162" s="330"/>
    </row>
    <row r="163" spans="6:6">
      <c r="F163" s="330"/>
    </row>
  </sheetData>
  <mergeCells count="18">
    <mergeCell ref="B2:I2"/>
    <mergeCell ref="B3:I3"/>
    <mergeCell ref="C11:D11"/>
    <mergeCell ref="F11:G11"/>
    <mergeCell ref="C85:D85"/>
    <mergeCell ref="G85:I85"/>
    <mergeCell ref="C86:D86"/>
    <mergeCell ref="C87:D87"/>
    <mergeCell ref="C92:D92"/>
    <mergeCell ref="G92:I92"/>
    <mergeCell ref="C93:D93"/>
    <mergeCell ref="G93:I93"/>
    <mergeCell ref="B9:B10"/>
    <mergeCell ref="E9:E10"/>
    <mergeCell ref="H9:H10"/>
    <mergeCell ref="I9:I10"/>
    <mergeCell ref="F9:G10"/>
    <mergeCell ref="C9:D10"/>
  </mergeCells>
  <printOptions horizontalCentered="1"/>
  <pageMargins left="0.511811023622047" right="0.31496062992126" top="1.14173228346457" bottom="0.354330708661417" header="0.31496062992126" footer="0.31496062992126"/>
  <pageSetup paperSize="9" scale="85" orientation="portrait" horizontalDpi="1200" verticalDpi="1200"/>
  <headerFooter/>
  <rowBreaks count="1" manualBreakCount="1"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B2:V76"/>
  <sheetViews>
    <sheetView view="pageBreakPreview" zoomScaleNormal="100" workbookViewId="0">
      <pane xSplit="2" ySplit="2" topLeftCell="C24" activePane="bottomRight" state="frozen"/>
      <selection/>
      <selection pane="topRight"/>
      <selection pane="bottomLeft"/>
      <selection pane="bottomRight" activeCell="T29" sqref="T29"/>
    </sheetView>
  </sheetViews>
  <sheetFormatPr defaultColWidth="9" defaultRowHeight="12.75"/>
  <cols>
    <col min="1" max="1" width="9" style="249"/>
    <col min="2" max="2" width="4.57142857142857" style="249" customWidth="1"/>
    <col min="3" max="6" width="9" style="249"/>
    <col min="7" max="7" width="9.14285714285714" style="250"/>
    <col min="8" max="8" width="4.71428571428571" style="249" customWidth="1"/>
    <col min="9" max="9" width="3.71428571428571" style="251" customWidth="1"/>
    <col min="10" max="10" width="9.14285714285714" style="250"/>
    <col min="11" max="11" width="4.71428571428571" style="250" customWidth="1"/>
    <col min="12" max="12" width="3.71428571428571" style="251" customWidth="1"/>
    <col min="13" max="13" width="9.14285714285714" style="250"/>
    <col min="14" max="14" width="4.71428571428571" style="250" customWidth="1"/>
    <col min="15" max="15" width="3.71428571428571" style="251" customWidth="1"/>
    <col min="16" max="16" width="9.14285714285714" style="250"/>
    <col min="17" max="17" width="4.71428571428571" style="250" customWidth="1"/>
    <col min="18" max="18" width="3.71428571428571" style="251" customWidth="1"/>
    <col min="19" max="19" width="9.14285714285714" style="250"/>
    <col min="20" max="20" width="9" style="249"/>
    <col min="21" max="21" width="27" style="249" customWidth="1"/>
    <col min="22" max="16384" width="9" style="249"/>
  </cols>
  <sheetData>
    <row r="2" s="248" customFormat="1" spans="2:19">
      <c r="B2" s="248" t="s">
        <v>108</v>
      </c>
      <c r="C2" s="248" t="s">
        <v>109</v>
      </c>
      <c r="G2" s="252" t="s">
        <v>110</v>
      </c>
      <c r="J2" s="252" t="s">
        <v>111</v>
      </c>
      <c r="K2" s="252"/>
      <c r="M2" s="252" t="s">
        <v>112</v>
      </c>
      <c r="N2" s="252"/>
      <c r="P2" s="252" t="s">
        <v>113</v>
      </c>
      <c r="Q2" s="252"/>
      <c r="S2" s="252" t="s">
        <v>114</v>
      </c>
    </row>
    <row r="4" spans="2:3">
      <c r="B4" s="248" t="s">
        <v>29</v>
      </c>
      <c r="C4" s="253" t="s">
        <v>30</v>
      </c>
    </row>
    <row r="5" spans="2:20">
      <c r="B5" s="249">
        <v>1</v>
      </c>
      <c r="C5" s="249" t="s">
        <v>115</v>
      </c>
      <c r="R5" s="251" t="s">
        <v>116</v>
      </c>
      <c r="S5" s="250">
        <v>1</v>
      </c>
      <c r="T5" s="249" t="s">
        <v>117</v>
      </c>
    </row>
    <row r="6" spans="2:20">
      <c r="B6" s="249">
        <v>2</v>
      </c>
      <c r="C6" s="249" t="s">
        <v>32</v>
      </c>
      <c r="J6" s="250">
        <f>2*20</f>
        <v>40</v>
      </c>
      <c r="K6" s="250" t="s">
        <v>47</v>
      </c>
      <c r="L6" s="251" t="s">
        <v>118</v>
      </c>
      <c r="M6" s="250">
        <f>2*13</f>
        <v>26</v>
      </c>
      <c r="N6" s="250" t="s">
        <v>47</v>
      </c>
      <c r="R6" s="251" t="s">
        <v>116</v>
      </c>
      <c r="S6" s="250">
        <f>J6+M6</f>
        <v>66</v>
      </c>
      <c r="T6" s="249" t="s">
        <v>47</v>
      </c>
    </row>
    <row r="7" spans="2:20">
      <c r="B7" s="249">
        <v>3</v>
      </c>
      <c r="C7" s="249" t="s">
        <v>33</v>
      </c>
      <c r="R7" s="251" t="s">
        <v>116</v>
      </c>
      <c r="S7" s="250">
        <v>1</v>
      </c>
      <c r="T7" s="249" t="s">
        <v>34</v>
      </c>
    </row>
    <row r="9" spans="2:13">
      <c r="B9" s="253" t="s">
        <v>36</v>
      </c>
      <c r="C9" s="253" t="s">
        <v>37</v>
      </c>
      <c r="M9" s="250" t="s">
        <v>119</v>
      </c>
    </row>
    <row r="10" spans="2:20">
      <c r="B10" s="249">
        <v>1</v>
      </c>
      <c r="C10" s="249" t="s">
        <v>38</v>
      </c>
      <c r="J10" s="250">
        <f>2*7.2+2*12</f>
        <v>38.4</v>
      </c>
      <c r="K10" s="250" t="s">
        <v>47</v>
      </c>
      <c r="L10" s="251" t="s">
        <v>120</v>
      </c>
      <c r="M10" s="250">
        <f>(0.9+1)*0.5*0.8</f>
        <v>0.76</v>
      </c>
      <c r="N10" s="250" t="s">
        <v>47</v>
      </c>
      <c r="R10" s="251" t="s">
        <v>116</v>
      </c>
      <c r="S10" s="250">
        <f>J10*M10</f>
        <v>29.184</v>
      </c>
      <c r="T10" s="249" t="s">
        <v>121</v>
      </c>
    </row>
    <row r="11" spans="2:20">
      <c r="B11" s="249">
        <v>2</v>
      </c>
      <c r="C11" s="249" t="s">
        <v>40</v>
      </c>
      <c r="R11" s="251" t="s">
        <v>116</v>
      </c>
      <c r="S11" s="250">
        <f>S10/3</f>
        <v>9.728</v>
      </c>
      <c r="T11" s="249" t="s">
        <v>121</v>
      </c>
    </row>
    <row r="12" spans="2:20">
      <c r="B12" s="249">
        <v>3</v>
      </c>
      <c r="C12" s="249" t="s">
        <v>41</v>
      </c>
      <c r="J12" s="250">
        <v>18</v>
      </c>
      <c r="K12" s="250" t="s">
        <v>47</v>
      </c>
      <c r="L12" s="251" t="s">
        <v>120</v>
      </c>
      <c r="M12" s="250">
        <v>12</v>
      </c>
      <c r="N12" s="250" t="s">
        <v>47</v>
      </c>
      <c r="O12" s="251" t="s">
        <v>120</v>
      </c>
      <c r="P12" s="250">
        <v>0.22</v>
      </c>
      <c r="Q12" s="250" t="s">
        <v>47</v>
      </c>
      <c r="R12" s="251" t="s">
        <v>116</v>
      </c>
      <c r="S12" s="250">
        <f>J12*M12*P12</f>
        <v>47.52</v>
      </c>
      <c r="T12" s="249" t="s">
        <v>121</v>
      </c>
    </row>
    <row r="13" spans="2:20">
      <c r="B13" s="249">
        <v>4</v>
      </c>
      <c r="C13" s="249" t="s">
        <v>42</v>
      </c>
      <c r="J13" s="250">
        <f>J10</f>
        <v>38.4</v>
      </c>
      <c r="K13" s="250" t="s">
        <v>47</v>
      </c>
      <c r="L13" s="251" t="s">
        <v>120</v>
      </c>
      <c r="M13" s="260">
        <f>(0.9+0.91)*0.5*0.1</f>
        <v>0.0905</v>
      </c>
      <c r="N13" s="250" t="s">
        <v>47</v>
      </c>
      <c r="R13" s="251" t="s">
        <v>116</v>
      </c>
      <c r="S13" s="250">
        <f>J13*M13</f>
        <v>3.4752</v>
      </c>
      <c r="T13" s="249" t="s">
        <v>121</v>
      </c>
    </row>
    <row r="15" spans="2:3">
      <c r="B15" s="253" t="s">
        <v>44</v>
      </c>
      <c r="C15" s="253" t="s">
        <v>45</v>
      </c>
    </row>
    <row r="16" spans="2:20">
      <c r="B16" s="249">
        <v>1</v>
      </c>
      <c r="C16" s="249" t="s">
        <v>46</v>
      </c>
      <c r="G16" s="250">
        <f>10*4</f>
        <v>40</v>
      </c>
      <c r="H16" s="249" t="s">
        <v>34</v>
      </c>
      <c r="I16" s="251" t="s">
        <v>120</v>
      </c>
      <c r="P16" s="250">
        <v>1.1</v>
      </c>
      <c r="Q16" s="250" t="s">
        <v>47</v>
      </c>
      <c r="R16" s="251" t="s">
        <v>116</v>
      </c>
      <c r="S16" s="250">
        <f>G16*P16</f>
        <v>44</v>
      </c>
      <c r="T16" s="249" t="s">
        <v>97</v>
      </c>
    </row>
    <row r="17" spans="2:20">
      <c r="B17" s="249">
        <v>2</v>
      </c>
      <c r="C17" s="249" t="s">
        <v>48</v>
      </c>
      <c r="J17" s="250">
        <f>J10</f>
        <v>38.4</v>
      </c>
      <c r="K17" s="250" t="s">
        <v>47</v>
      </c>
      <c r="L17" s="251" t="s">
        <v>120</v>
      </c>
      <c r="M17" s="250">
        <f>(0.7+0.3)/2</f>
        <v>0.5</v>
      </c>
      <c r="N17" s="250" t="s">
        <v>47</v>
      </c>
      <c r="O17" s="251" t="s">
        <v>120</v>
      </c>
      <c r="P17" s="250">
        <v>0.8</v>
      </c>
      <c r="Q17" s="250" t="s">
        <v>47</v>
      </c>
      <c r="R17" s="251" t="s">
        <v>116</v>
      </c>
      <c r="S17" s="250">
        <f>J17*M17*P17</f>
        <v>15.36</v>
      </c>
      <c r="T17" s="249" t="s">
        <v>121</v>
      </c>
    </row>
    <row r="20" spans="2:3">
      <c r="B20" s="248" t="s">
        <v>50</v>
      </c>
      <c r="C20" s="253" t="s">
        <v>51</v>
      </c>
    </row>
    <row r="21" spans="2:20">
      <c r="B21" s="249">
        <v>1</v>
      </c>
      <c r="C21" s="249" t="s">
        <v>122</v>
      </c>
      <c r="J21" s="250">
        <v>12</v>
      </c>
      <c r="K21" s="250" t="s">
        <v>47</v>
      </c>
      <c r="L21" s="251" t="s">
        <v>120</v>
      </c>
      <c r="M21" s="250">
        <v>7.2</v>
      </c>
      <c r="N21" s="250" t="s">
        <v>47</v>
      </c>
      <c r="O21" s="251" t="s">
        <v>120</v>
      </c>
      <c r="P21" s="250">
        <v>0.05</v>
      </c>
      <c r="Q21" s="250" t="s">
        <v>47</v>
      </c>
      <c r="R21" s="251" t="s">
        <v>116</v>
      </c>
      <c r="S21" s="250">
        <f>J21*M21*P21</f>
        <v>4.32</v>
      </c>
      <c r="T21" s="249" t="s">
        <v>121</v>
      </c>
    </row>
    <row r="22" spans="2:20">
      <c r="B22" s="249">
        <v>2</v>
      </c>
      <c r="C22" s="249" t="s">
        <v>54</v>
      </c>
      <c r="J22" s="250">
        <f>J13</f>
        <v>38.4</v>
      </c>
      <c r="K22" s="250" t="s">
        <v>47</v>
      </c>
      <c r="L22" s="251" t="s">
        <v>120</v>
      </c>
      <c r="M22" s="250">
        <v>0.15</v>
      </c>
      <c r="N22" s="250" t="s">
        <v>47</v>
      </c>
      <c r="O22" s="251" t="s">
        <v>120</v>
      </c>
      <c r="P22" s="250">
        <v>0.2</v>
      </c>
      <c r="Q22" s="250" t="s">
        <v>47</v>
      </c>
      <c r="R22" s="251" t="s">
        <v>116</v>
      </c>
      <c r="S22" s="250">
        <f>J22*M22*P22</f>
        <v>1.152</v>
      </c>
      <c r="T22" s="249" t="s">
        <v>121</v>
      </c>
    </row>
    <row r="23" spans="2:20">
      <c r="B23" s="254">
        <v>3</v>
      </c>
      <c r="C23" s="254" t="s">
        <v>123</v>
      </c>
      <c r="D23" s="254"/>
      <c r="E23" s="254"/>
      <c r="F23" s="254"/>
      <c r="G23" s="255">
        <v>0</v>
      </c>
      <c r="H23" s="254" t="s">
        <v>34</v>
      </c>
      <c r="I23" s="261" t="s">
        <v>120</v>
      </c>
      <c r="J23" s="255">
        <v>0</v>
      </c>
      <c r="K23" s="255" t="s">
        <v>47</v>
      </c>
      <c r="L23" s="261" t="s">
        <v>120</v>
      </c>
      <c r="M23" s="255">
        <v>0</v>
      </c>
      <c r="N23" s="255" t="s">
        <v>47</v>
      </c>
      <c r="O23" s="261" t="s">
        <v>120</v>
      </c>
      <c r="P23" s="255">
        <v>0</v>
      </c>
      <c r="Q23" s="255" t="s">
        <v>47</v>
      </c>
      <c r="R23" s="261" t="s">
        <v>116</v>
      </c>
      <c r="S23" s="255">
        <f>G23*(J23*M23*P23)</f>
        <v>0</v>
      </c>
      <c r="T23" s="254" t="s">
        <v>121</v>
      </c>
    </row>
    <row r="24" spans="2:20">
      <c r="B24" s="254">
        <v>4</v>
      </c>
      <c r="C24" s="254" t="s">
        <v>124</v>
      </c>
      <c r="D24" s="254"/>
      <c r="E24" s="254"/>
      <c r="F24" s="254"/>
      <c r="G24" s="255"/>
      <c r="H24" s="254"/>
      <c r="I24" s="261"/>
      <c r="J24" s="255">
        <v>0</v>
      </c>
      <c r="K24" s="255" t="s">
        <v>47</v>
      </c>
      <c r="L24" s="261"/>
      <c r="M24" s="255"/>
      <c r="N24" s="255"/>
      <c r="O24" s="261"/>
      <c r="P24" s="255"/>
      <c r="Q24" s="255"/>
      <c r="R24" s="261" t="s">
        <v>116</v>
      </c>
      <c r="S24" s="255">
        <f>J24</f>
        <v>0</v>
      </c>
      <c r="T24" s="254" t="s">
        <v>47</v>
      </c>
    </row>
    <row r="26" spans="2:20">
      <c r="B26" s="256" t="s">
        <v>56</v>
      </c>
      <c r="C26" s="257" t="s">
        <v>125</v>
      </c>
      <c r="D26" s="258"/>
      <c r="E26" s="258"/>
      <c r="F26" s="258"/>
      <c r="G26" s="259"/>
      <c r="H26" s="258"/>
      <c r="I26" s="262"/>
      <c r="J26" s="259"/>
      <c r="K26" s="259"/>
      <c r="L26" s="262"/>
      <c r="M26" s="259"/>
      <c r="N26" s="259"/>
      <c r="O26" s="262"/>
      <c r="P26" s="259"/>
      <c r="Q26" s="259"/>
      <c r="R26" s="262"/>
      <c r="S26" s="259"/>
      <c r="T26" s="258"/>
    </row>
    <row r="27" spans="2:22">
      <c r="B27" s="258">
        <v>1</v>
      </c>
      <c r="C27" s="258" t="s">
        <v>58</v>
      </c>
      <c r="D27" s="258"/>
      <c r="E27" s="258"/>
      <c r="F27" s="258"/>
      <c r="G27" s="259"/>
      <c r="H27" s="258"/>
      <c r="I27" s="262"/>
      <c r="J27" s="259">
        <v>19</v>
      </c>
      <c r="K27" s="259" t="s">
        <v>47</v>
      </c>
      <c r="L27" s="262" t="s">
        <v>120</v>
      </c>
      <c r="M27" s="259"/>
      <c r="N27" s="259"/>
      <c r="O27" s="262"/>
      <c r="P27" s="259">
        <v>3.5</v>
      </c>
      <c r="Q27" s="259" t="s">
        <v>47</v>
      </c>
      <c r="R27" s="262" t="s">
        <v>116</v>
      </c>
      <c r="S27" s="259">
        <f>(J27*P27)-V33</f>
        <v>52.28</v>
      </c>
      <c r="T27" s="258" t="s">
        <v>126</v>
      </c>
      <c r="U27" s="250" t="s">
        <v>127</v>
      </c>
      <c r="V27" s="249">
        <f>(2.1*0.8)*2</f>
        <v>3.36</v>
      </c>
    </row>
    <row r="28" spans="2:22">
      <c r="B28" s="258">
        <v>2</v>
      </c>
      <c r="C28" s="258" t="s">
        <v>60</v>
      </c>
      <c r="D28" s="258"/>
      <c r="E28" s="258"/>
      <c r="F28" s="258"/>
      <c r="G28" s="259"/>
      <c r="H28" s="258"/>
      <c r="I28" s="262"/>
      <c r="J28" s="259"/>
      <c r="K28" s="259"/>
      <c r="L28" s="262"/>
      <c r="M28" s="259"/>
      <c r="N28" s="259"/>
      <c r="O28" s="262"/>
      <c r="P28" s="259"/>
      <c r="Q28" s="259"/>
      <c r="R28" s="262" t="s">
        <v>116</v>
      </c>
      <c r="S28" s="259">
        <f>2*S27</f>
        <v>104.56</v>
      </c>
      <c r="T28" s="258" t="s">
        <v>126</v>
      </c>
      <c r="U28" s="249" t="s">
        <v>128</v>
      </c>
      <c r="V28" s="249">
        <f>(0.6*1.2)*2</f>
        <v>1.44</v>
      </c>
    </row>
    <row r="29" spans="20:22">
      <c r="T29" s="250">
        <f>S27+(S27*0.33)</f>
        <v>69.5324</v>
      </c>
      <c r="U29" s="249" t="s">
        <v>129</v>
      </c>
      <c r="V29" s="249">
        <f>(0.35*0.2)*32</f>
        <v>2.24</v>
      </c>
    </row>
    <row r="30" spans="21:22">
      <c r="U30" s="249" t="s">
        <v>130</v>
      </c>
      <c r="V30" s="249">
        <f>(1.85*1)*2</f>
        <v>3.7</v>
      </c>
    </row>
    <row r="31" spans="2:22">
      <c r="B31" s="248" t="s">
        <v>62</v>
      </c>
      <c r="C31" s="253" t="s">
        <v>63</v>
      </c>
      <c r="U31" s="249" t="s">
        <v>131</v>
      </c>
      <c r="V31" s="249">
        <f>0.8*2.1</f>
        <v>1.68</v>
      </c>
    </row>
    <row r="32" spans="2:22">
      <c r="B32" s="249">
        <v>1</v>
      </c>
      <c r="C32" s="249" t="s">
        <v>132</v>
      </c>
      <c r="U32" s="249" t="s">
        <v>133</v>
      </c>
      <c r="V32" s="249">
        <f>1.8*1</f>
        <v>1.8</v>
      </c>
    </row>
    <row r="33" spans="3:22">
      <c r="C33" s="395" t="s">
        <v>134</v>
      </c>
      <c r="G33" s="250">
        <v>2</v>
      </c>
      <c r="J33" s="250">
        <v>12</v>
      </c>
      <c r="K33" s="250" t="s">
        <v>47</v>
      </c>
      <c r="L33" s="251" t="s">
        <v>120</v>
      </c>
      <c r="M33" s="250">
        <v>7.2</v>
      </c>
      <c r="N33" s="250" t="s">
        <v>47</v>
      </c>
      <c r="R33" s="251" t="s">
        <v>116</v>
      </c>
      <c r="S33" s="250">
        <f>G33*J33*M33</f>
        <v>172.8</v>
      </c>
      <c r="T33" s="249" t="s">
        <v>126</v>
      </c>
      <c r="V33" s="249">
        <f>SUM(V27:V32)</f>
        <v>14.22</v>
      </c>
    </row>
    <row r="34" spans="3:20">
      <c r="C34" s="395" t="s">
        <v>135</v>
      </c>
      <c r="J34" s="250">
        <v>14.5</v>
      </c>
      <c r="K34" s="250" t="s">
        <v>47</v>
      </c>
      <c r="L34" s="251" t="s">
        <v>120</v>
      </c>
      <c r="M34" s="250">
        <v>3.5</v>
      </c>
      <c r="N34" s="250" t="s">
        <v>47</v>
      </c>
      <c r="R34" s="251" t="s">
        <v>116</v>
      </c>
      <c r="S34" s="264"/>
      <c r="T34" s="249" t="s">
        <v>126</v>
      </c>
    </row>
    <row r="35" spans="19:20">
      <c r="S35" s="250">
        <f>SUM(S33:S34)</f>
        <v>172.8</v>
      </c>
      <c r="T35" s="249" t="s">
        <v>126</v>
      </c>
    </row>
    <row r="36" spans="2:20">
      <c r="B36" s="249">
        <v>2</v>
      </c>
      <c r="C36" s="249" t="s">
        <v>136</v>
      </c>
      <c r="G36" s="250">
        <v>3</v>
      </c>
      <c r="J36" s="250">
        <v>2</v>
      </c>
      <c r="K36" s="250" t="s">
        <v>47</v>
      </c>
      <c r="L36" s="251" t="s">
        <v>120</v>
      </c>
      <c r="M36" s="250">
        <v>2</v>
      </c>
      <c r="R36" s="251" t="s">
        <v>116</v>
      </c>
      <c r="T36" s="249" t="s">
        <v>126</v>
      </c>
    </row>
    <row r="37" spans="2:20">
      <c r="B37" s="249">
        <v>3</v>
      </c>
      <c r="C37" s="249" t="s">
        <v>137</v>
      </c>
      <c r="G37" s="250">
        <v>3</v>
      </c>
      <c r="J37" s="250">
        <f>(2*2+2*2)-0.8</f>
        <v>7.2</v>
      </c>
      <c r="K37" s="250" t="s">
        <v>47</v>
      </c>
      <c r="L37" s="251" t="s">
        <v>120</v>
      </c>
      <c r="P37" s="250">
        <v>2.4</v>
      </c>
      <c r="Q37" s="250" t="s">
        <v>47</v>
      </c>
      <c r="R37" s="251" t="s">
        <v>116</v>
      </c>
      <c r="T37" s="249" t="s">
        <v>126</v>
      </c>
    </row>
    <row r="39" spans="2:16">
      <c r="B39" s="248" t="s">
        <v>66</v>
      </c>
      <c r="C39" s="253" t="s">
        <v>67</v>
      </c>
      <c r="P39" s="263"/>
    </row>
    <row r="40" spans="2:20">
      <c r="B40" s="249">
        <v>1</v>
      </c>
      <c r="C40" s="249" t="s">
        <v>68</v>
      </c>
      <c r="J40" s="250">
        <v>14.1</v>
      </c>
      <c r="K40" s="250" t="s">
        <v>47</v>
      </c>
      <c r="L40" s="251" t="s">
        <v>120</v>
      </c>
      <c r="M40" s="250">
        <v>9.3</v>
      </c>
      <c r="N40" s="250" t="s">
        <v>47</v>
      </c>
      <c r="R40" s="251" t="s">
        <v>116</v>
      </c>
      <c r="S40" s="250">
        <f>J40*M40</f>
        <v>131.13</v>
      </c>
      <c r="T40" s="249" t="s">
        <v>126</v>
      </c>
    </row>
    <row r="41" spans="2:20">
      <c r="B41" s="249">
        <v>2</v>
      </c>
      <c r="C41" s="249" t="s">
        <v>69</v>
      </c>
      <c r="R41" s="251" t="s">
        <v>116</v>
      </c>
      <c r="S41" s="250">
        <f>S40</f>
        <v>131.13</v>
      </c>
      <c r="T41" s="249" t="s">
        <v>126</v>
      </c>
    </row>
    <row r="42" spans="2:20">
      <c r="B42" s="249">
        <v>3</v>
      </c>
      <c r="C42" s="249" t="s">
        <v>138</v>
      </c>
      <c r="J42" s="250">
        <v>0</v>
      </c>
      <c r="K42" s="250" t="s">
        <v>47</v>
      </c>
      <c r="R42" s="251" t="s">
        <v>116</v>
      </c>
      <c r="S42" s="250">
        <f>J42</f>
        <v>0</v>
      </c>
      <c r="T42" s="249" t="s">
        <v>97</v>
      </c>
    </row>
    <row r="43" spans="2:20">
      <c r="B43" s="249">
        <v>4</v>
      </c>
      <c r="C43" s="249" t="s">
        <v>139</v>
      </c>
      <c r="J43" s="250">
        <v>0</v>
      </c>
      <c r="K43" s="250" t="s">
        <v>47</v>
      </c>
      <c r="L43" s="251" t="s">
        <v>120</v>
      </c>
      <c r="M43" s="250">
        <v>0</v>
      </c>
      <c r="N43" s="250" t="s">
        <v>47</v>
      </c>
      <c r="R43" s="251" t="s">
        <v>116</v>
      </c>
      <c r="S43" s="250">
        <f>J43*M43</f>
        <v>0</v>
      </c>
      <c r="T43" s="249" t="s">
        <v>126</v>
      </c>
    </row>
    <row r="44" spans="2:20">
      <c r="B44" s="249">
        <v>5</v>
      </c>
      <c r="C44" s="249" t="s">
        <v>140</v>
      </c>
      <c r="G44" s="250">
        <v>2</v>
      </c>
      <c r="J44" s="250">
        <v>12</v>
      </c>
      <c r="K44" s="250" t="s">
        <v>47</v>
      </c>
      <c r="L44" s="251" t="s">
        <v>120</v>
      </c>
      <c r="M44" s="250">
        <f>2.4*3</f>
        <v>7.2</v>
      </c>
      <c r="N44" s="250" t="s">
        <v>47</v>
      </c>
      <c r="R44" s="251" t="s">
        <v>116</v>
      </c>
      <c r="T44" s="249" t="s">
        <v>126</v>
      </c>
    </row>
    <row r="45" spans="2:20">
      <c r="B45" s="249">
        <v>6</v>
      </c>
      <c r="C45" s="249" t="s">
        <v>141</v>
      </c>
      <c r="J45" s="250">
        <f>(2*J40)+(2*M40)</f>
        <v>46.8</v>
      </c>
      <c r="R45" s="251" t="s">
        <v>116</v>
      </c>
      <c r="T45" s="249" t="s">
        <v>97</v>
      </c>
    </row>
    <row r="47" spans="2:3">
      <c r="B47" s="248" t="s">
        <v>71</v>
      </c>
      <c r="C47" s="253" t="s">
        <v>72</v>
      </c>
    </row>
    <row r="48" spans="2:20">
      <c r="B48" s="249">
        <v>1</v>
      </c>
      <c r="C48" s="249" t="s">
        <v>73</v>
      </c>
      <c r="G48" s="250">
        <v>7</v>
      </c>
      <c r="H48" s="249" t="s">
        <v>34</v>
      </c>
      <c r="I48" s="251" t="s">
        <v>120</v>
      </c>
      <c r="J48" s="250">
        <f>2*2.1+0.8</f>
        <v>5</v>
      </c>
      <c r="K48" s="250" t="s">
        <v>47</v>
      </c>
      <c r="L48" s="251" t="s">
        <v>120</v>
      </c>
      <c r="M48" s="250">
        <v>0.05</v>
      </c>
      <c r="N48" s="250" t="s">
        <v>47</v>
      </c>
      <c r="O48" s="251" t="s">
        <v>120</v>
      </c>
      <c r="P48" s="250">
        <v>0.1</v>
      </c>
      <c r="Q48" s="250" t="s">
        <v>47</v>
      </c>
      <c r="R48" s="251" t="s">
        <v>116</v>
      </c>
      <c r="S48" s="250">
        <f>G48*J48*M48*P48</f>
        <v>0.175</v>
      </c>
      <c r="T48" s="250" t="s">
        <v>121</v>
      </c>
    </row>
    <row r="49" spans="2:20">
      <c r="B49" s="249">
        <v>2</v>
      </c>
      <c r="C49" s="249" t="s">
        <v>75</v>
      </c>
      <c r="G49" s="250">
        <v>7</v>
      </c>
      <c r="H49" s="249" t="s">
        <v>34</v>
      </c>
      <c r="I49" s="251" t="s">
        <v>120</v>
      </c>
      <c r="J49" s="250">
        <f>2*1.2+2*0.6</f>
        <v>3.6</v>
      </c>
      <c r="K49" s="250" t="s">
        <v>47</v>
      </c>
      <c r="L49" s="251" t="s">
        <v>120</v>
      </c>
      <c r="M49" s="250">
        <f>M48</f>
        <v>0.05</v>
      </c>
      <c r="N49" s="250" t="s">
        <v>47</v>
      </c>
      <c r="O49" s="251" t="s">
        <v>120</v>
      </c>
      <c r="P49" s="250">
        <f>P48</f>
        <v>0.1</v>
      </c>
      <c r="Q49" s="250" t="s">
        <v>47</v>
      </c>
      <c r="R49" s="251" t="s">
        <v>116</v>
      </c>
      <c r="S49" s="250">
        <f>G49*J49*M49*P49</f>
        <v>0.126</v>
      </c>
      <c r="T49" s="250" t="s">
        <v>121</v>
      </c>
    </row>
    <row r="50" spans="2:20">
      <c r="B50" s="249">
        <v>3</v>
      </c>
      <c r="C50" s="249" t="s">
        <v>76</v>
      </c>
      <c r="G50" s="250">
        <f>G48</f>
        <v>7</v>
      </c>
      <c r="H50" s="249" t="s">
        <v>34</v>
      </c>
      <c r="I50" s="251" t="s">
        <v>120</v>
      </c>
      <c r="M50" s="250">
        <v>0.7</v>
      </c>
      <c r="N50" s="250" t="s">
        <v>47</v>
      </c>
      <c r="O50" s="251" t="s">
        <v>120</v>
      </c>
      <c r="P50" s="250">
        <v>2.05</v>
      </c>
      <c r="Q50" s="250" t="s">
        <v>47</v>
      </c>
      <c r="R50" s="251" t="s">
        <v>116</v>
      </c>
      <c r="S50" s="250">
        <f>G50*M50*P50</f>
        <v>10.045</v>
      </c>
      <c r="T50" s="249" t="s">
        <v>126</v>
      </c>
    </row>
    <row r="51" spans="2:20">
      <c r="B51" s="249">
        <v>4</v>
      </c>
      <c r="C51" s="249" t="s">
        <v>77</v>
      </c>
      <c r="G51" s="250">
        <f>G49</f>
        <v>7</v>
      </c>
      <c r="H51" s="249" t="s">
        <v>34</v>
      </c>
      <c r="M51" s="250">
        <f>0.5</f>
        <v>0.5</v>
      </c>
      <c r="N51" s="250" t="s">
        <v>47</v>
      </c>
      <c r="O51" s="251" t="s">
        <v>120</v>
      </c>
      <c r="P51" s="250">
        <v>1.1</v>
      </c>
      <c r="Q51" s="250" t="s">
        <v>47</v>
      </c>
      <c r="R51" s="251" t="s">
        <v>116</v>
      </c>
      <c r="S51" s="250">
        <f>G51*M51*P51</f>
        <v>3.85</v>
      </c>
      <c r="T51" s="249" t="s">
        <v>126</v>
      </c>
    </row>
    <row r="52" spans="2:20">
      <c r="B52" s="249">
        <v>5</v>
      </c>
      <c r="C52" s="249" t="s">
        <v>78</v>
      </c>
      <c r="G52" s="250">
        <f>G50</f>
        <v>7</v>
      </c>
      <c r="H52" s="249" t="s">
        <v>34</v>
      </c>
      <c r="R52" s="251" t="s">
        <v>116</v>
      </c>
      <c r="S52" s="250">
        <f>G50</f>
        <v>7</v>
      </c>
      <c r="T52" s="249" t="s">
        <v>34</v>
      </c>
    </row>
    <row r="53" spans="2:20">
      <c r="B53" s="249">
        <v>6</v>
      </c>
      <c r="C53" s="249" t="s">
        <v>79</v>
      </c>
      <c r="G53" s="250">
        <f>G50</f>
        <v>7</v>
      </c>
      <c r="H53" s="249" t="s">
        <v>34</v>
      </c>
      <c r="I53" s="251" t="s">
        <v>120</v>
      </c>
      <c r="J53" s="250">
        <v>3</v>
      </c>
      <c r="K53" s="250" t="s">
        <v>34</v>
      </c>
      <c r="R53" s="251" t="s">
        <v>116</v>
      </c>
      <c r="S53" s="250">
        <f>G53*J53</f>
        <v>21</v>
      </c>
      <c r="T53" s="249" t="s">
        <v>34</v>
      </c>
    </row>
    <row r="54" spans="2:20">
      <c r="B54" s="249">
        <v>7</v>
      </c>
      <c r="C54" s="249" t="s">
        <v>80</v>
      </c>
      <c r="G54" s="250">
        <f>G51</f>
        <v>7</v>
      </c>
      <c r="H54" s="249" t="s">
        <v>34</v>
      </c>
      <c r="I54" s="251" t="s">
        <v>120</v>
      </c>
      <c r="J54" s="250">
        <v>2</v>
      </c>
      <c r="K54" s="250" t="s">
        <v>34</v>
      </c>
      <c r="R54" s="251" t="s">
        <v>116</v>
      </c>
      <c r="S54" s="250">
        <f>G54*J54</f>
        <v>14</v>
      </c>
      <c r="T54" s="249" t="s">
        <v>34</v>
      </c>
    </row>
    <row r="55" spans="2:20">
      <c r="B55" s="249">
        <v>8</v>
      </c>
      <c r="C55" s="249" t="s">
        <v>81</v>
      </c>
      <c r="G55" s="250">
        <v>7</v>
      </c>
      <c r="H55" s="249" t="s">
        <v>34</v>
      </c>
      <c r="I55" s="251" t="s">
        <v>120</v>
      </c>
      <c r="J55" s="250">
        <v>1</v>
      </c>
      <c r="K55" s="250" t="s">
        <v>34</v>
      </c>
      <c r="R55" s="251" t="s">
        <v>116</v>
      </c>
      <c r="S55" s="250">
        <f>G55*J55</f>
        <v>7</v>
      </c>
      <c r="T55" s="249" t="s">
        <v>34</v>
      </c>
    </row>
    <row r="56" spans="2:20">
      <c r="B56" s="249">
        <v>9</v>
      </c>
      <c r="C56" s="249" t="s">
        <v>82</v>
      </c>
      <c r="G56" s="250">
        <f>G51</f>
        <v>7</v>
      </c>
      <c r="H56" s="249" t="s">
        <v>34</v>
      </c>
      <c r="I56" s="251" t="s">
        <v>120</v>
      </c>
      <c r="M56" s="250">
        <v>0.42</v>
      </c>
      <c r="N56" s="250" t="s">
        <v>47</v>
      </c>
      <c r="O56" s="251" t="s">
        <v>120</v>
      </c>
      <c r="P56" s="250">
        <v>2.4</v>
      </c>
      <c r="Q56" s="250" t="s">
        <v>47</v>
      </c>
      <c r="R56" s="251" t="s">
        <v>116</v>
      </c>
      <c r="S56" s="250">
        <f>G56*M56*P56</f>
        <v>7.056</v>
      </c>
      <c r="T56" s="249" t="s">
        <v>126</v>
      </c>
    </row>
    <row r="58" spans="2:3">
      <c r="B58" s="248" t="s">
        <v>84</v>
      </c>
      <c r="C58" s="253" t="s">
        <v>85</v>
      </c>
    </row>
    <row r="59" spans="2:20">
      <c r="B59" s="249">
        <v>1</v>
      </c>
      <c r="C59" s="249" t="s">
        <v>86</v>
      </c>
      <c r="G59" s="250">
        <v>2</v>
      </c>
      <c r="H59" s="249" t="s">
        <v>142</v>
      </c>
      <c r="I59" s="251" t="s">
        <v>120</v>
      </c>
      <c r="R59" s="251" t="s">
        <v>116</v>
      </c>
      <c r="S59" s="250">
        <f>S29</f>
        <v>0</v>
      </c>
      <c r="T59" s="249" t="s">
        <v>126</v>
      </c>
    </row>
    <row r="60" spans="2:20">
      <c r="B60" s="249">
        <v>2</v>
      </c>
      <c r="C60" s="249" t="s">
        <v>87</v>
      </c>
      <c r="R60" s="251" t="s">
        <v>116</v>
      </c>
      <c r="S60" s="250">
        <f>S44</f>
        <v>0</v>
      </c>
      <c r="T60" s="249" t="s">
        <v>126</v>
      </c>
    </row>
    <row r="61" spans="2:20">
      <c r="B61" s="249">
        <v>3</v>
      </c>
      <c r="C61" s="249" t="s">
        <v>88</v>
      </c>
      <c r="G61" s="250">
        <v>6</v>
      </c>
      <c r="H61" s="249" t="s">
        <v>34</v>
      </c>
      <c r="I61" s="251" t="s">
        <v>120</v>
      </c>
      <c r="J61" s="250">
        <f>J48+J49</f>
        <v>8.6</v>
      </c>
      <c r="K61" s="250" t="s">
        <v>47</v>
      </c>
      <c r="L61" s="251" t="s">
        <v>120</v>
      </c>
      <c r="M61" s="250">
        <f>2*0.05+0.1</f>
        <v>0.2</v>
      </c>
      <c r="N61" s="250" t="s">
        <v>47</v>
      </c>
      <c r="R61" s="251" t="s">
        <v>116</v>
      </c>
      <c r="S61" s="250">
        <f>G61*J61*M61</f>
        <v>10.32</v>
      </c>
      <c r="T61" s="249" t="s">
        <v>126</v>
      </c>
    </row>
    <row r="62" spans="2:20">
      <c r="B62" s="249">
        <v>4</v>
      </c>
      <c r="C62" s="249" t="s">
        <v>89</v>
      </c>
      <c r="G62" s="250">
        <v>6</v>
      </c>
      <c r="H62" s="249" t="s">
        <v>142</v>
      </c>
      <c r="I62" s="251" t="s">
        <v>120</v>
      </c>
      <c r="J62" s="250">
        <f>S50+S51</f>
        <v>13.895</v>
      </c>
      <c r="K62" s="250" t="s">
        <v>126</v>
      </c>
      <c r="R62" s="251" t="s">
        <v>116</v>
      </c>
      <c r="S62" s="250">
        <f>G62*J62</f>
        <v>83.37</v>
      </c>
      <c r="T62" s="249" t="s">
        <v>126</v>
      </c>
    </row>
    <row r="64" spans="2:3">
      <c r="B64" s="248" t="s">
        <v>91</v>
      </c>
      <c r="C64" s="253" t="s">
        <v>92</v>
      </c>
    </row>
    <row r="65" spans="2:20">
      <c r="B65" s="249">
        <v>1</v>
      </c>
      <c r="C65" s="249" t="s">
        <v>93</v>
      </c>
      <c r="R65" s="251" t="s">
        <v>116</v>
      </c>
      <c r="S65" s="250">
        <v>12</v>
      </c>
      <c r="T65" s="249" t="s">
        <v>143</v>
      </c>
    </row>
    <row r="66" spans="2:20">
      <c r="B66" s="249">
        <v>2</v>
      </c>
      <c r="C66" s="249" t="s">
        <v>95</v>
      </c>
      <c r="R66" s="251" t="s">
        <v>116</v>
      </c>
      <c r="S66" s="250">
        <f>S65</f>
        <v>12</v>
      </c>
      <c r="T66" s="249" t="s">
        <v>34</v>
      </c>
    </row>
    <row r="67" spans="2:20">
      <c r="B67" s="249">
        <v>3</v>
      </c>
      <c r="C67" s="249" t="s">
        <v>96</v>
      </c>
      <c r="R67" s="251" t="s">
        <v>116</v>
      </c>
      <c r="S67" s="250">
        <v>10</v>
      </c>
      <c r="T67" s="249" t="s">
        <v>34</v>
      </c>
    </row>
    <row r="68" spans="2:20">
      <c r="B68" s="249">
        <v>4</v>
      </c>
      <c r="C68" s="249" t="s">
        <v>144</v>
      </c>
      <c r="R68" s="251" t="s">
        <v>116</v>
      </c>
      <c r="S68" s="250">
        <v>150</v>
      </c>
      <c r="T68" s="249" t="s">
        <v>97</v>
      </c>
    </row>
    <row r="69" spans="2:20">
      <c r="B69" s="249">
        <v>5</v>
      </c>
      <c r="C69" s="249" t="s">
        <v>98</v>
      </c>
      <c r="R69" s="251" t="s">
        <v>116</v>
      </c>
      <c r="S69" s="250">
        <v>4</v>
      </c>
      <c r="T69" s="249" t="s">
        <v>34</v>
      </c>
    </row>
    <row r="70" spans="2:20">
      <c r="B70" s="249">
        <v>6</v>
      </c>
      <c r="C70" s="249" t="s">
        <v>145</v>
      </c>
      <c r="R70" s="251" t="s">
        <v>116</v>
      </c>
      <c r="S70" s="250">
        <v>0</v>
      </c>
      <c r="T70" s="249" t="s">
        <v>34</v>
      </c>
    </row>
    <row r="71" spans="2:20">
      <c r="B71" s="249">
        <v>7</v>
      </c>
      <c r="C71" s="249" t="s">
        <v>146</v>
      </c>
      <c r="R71" s="251" t="s">
        <v>116</v>
      </c>
      <c r="S71" s="250">
        <v>4</v>
      </c>
      <c r="T71" s="249" t="s">
        <v>34</v>
      </c>
    </row>
    <row r="72" spans="2:20">
      <c r="B72" s="249">
        <v>8</v>
      </c>
      <c r="C72" s="249" t="s">
        <v>100</v>
      </c>
      <c r="R72" s="251" t="s">
        <v>116</v>
      </c>
      <c r="S72" s="250">
        <v>6</v>
      </c>
      <c r="T72" s="249" t="s">
        <v>34</v>
      </c>
    </row>
    <row r="73" spans="2:20">
      <c r="B73" s="249">
        <v>9</v>
      </c>
      <c r="C73" s="249" t="s">
        <v>101</v>
      </c>
      <c r="R73" s="251" t="s">
        <v>116</v>
      </c>
      <c r="S73" s="250">
        <v>1</v>
      </c>
      <c r="T73" s="249" t="s">
        <v>117</v>
      </c>
    </row>
    <row r="74" spans="2:20">
      <c r="B74" s="249">
        <v>10</v>
      </c>
      <c r="C74" s="249" t="s">
        <v>103</v>
      </c>
      <c r="R74" s="251" t="s">
        <v>116</v>
      </c>
      <c r="S74" s="250">
        <v>1</v>
      </c>
      <c r="T74" s="249" t="s">
        <v>117</v>
      </c>
    </row>
    <row r="75" spans="2:20">
      <c r="B75" s="249">
        <v>11</v>
      </c>
      <c r="C75" s="249" t="s">
        <v>147</v>
      </c>
      <c r="R75" s="251" t="s">
        <v>116</v>
      </c>
      <c r="S75" s="250">
        <v>1</v>
      </c>
      <c r="T75" s="249" t="s">
        <v>34</v>
      </c>
    </row>
    <row r="76" spans="2:20">
      <c r="B76" s="249">
        <v>12</v>
      </c>
      <c r="C76" s="249" t="s">
        <v>105</v>
      </c>
      <c r="R76" s="251" t="s">
        <v>116</v>
      </c>
      <c r="S76" s="250">
        <v>1</v>
      </c>
      <c r="T76" s="249" t="s">
        <v>106</v>
      </c>
    </row>
  </sheetData>
  <pageMargins left="0.7" right="0.7" top="0.75" bottom="0.75" header="0.3" footer="0.3"/>
  <pageSetup paperSize="9" scale="6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167"/>
  <sheetViews>
    <sheetView view="pageBreakPreview" zoomScaleNormal="100" topLeftCell="A4" workbookViewId="0">
      <selection activeCell="A2" sqref="A2"/>
    </sheetView>
  </sheetViews>
  <sheetFormatPr defaultColWidth="9" defaultRowHeight="12.75"/>
  <cols>
    <col min="1" max="1" width="16.2857142857143" style="83" customWidth="1"/>
    <col min="2" max="2" width="7.42857142857143" style="1" customWidth="1"/>
    <col min="3" max="3" width="7.85714285714286" style="1" customWidth="1"/>
    <col min="4" max="4" width="37.8571428571429" style="1" customWidth="1"/>
    <col min="5" max="5" width="9.71428571428571" style="1" customWidth="1"/>
    <col min="6" max="7" width="14.8571428571429" style="1" customWidth="1"/>
    <col min="8" max="8" width="21.8571428571429" style="1" customWidth="1"/>
    <col min="9" max="9" width="21.2857142857143" style="1" customWidth="1"/>
    <col min="10" max="10" width="4" style="1" customWidth="1"/>
    <col min="11" max="11" width="9.14285714285714" style="1"/>
    <col min="12" max="12" width="19.5714285714286" style="1" customWidth="1"/>
    <col min="13" max="256" width="9.14285714285714" style="1"/>
    <col min="257" max="257" width="16.2857142857143" style="1" customWidth="1"/>
    <col min="258" max="258" width="7.42857142857143" style="1" customWidth="1"/>
    <col min="259" max="259" width="7.85714285714286" style="1" customWidth="1"/>
    <col min="260" max="260" width="37.8571428571429" style="1" customWidth="1"/>
    <col min="261" max="261" width="9.14285714285714" style="1"/>
    <col min="262" max="263" width="14.8571428571429" style="1" customWidth="1"/>
    <col min="264" max="264" width="21.8571428571429" style="1" customWidth="1"/>
    <col min="265" max="265" width="21.2857142857143" style="1" customWidth="1"/>
    <col min="266" max="266" width="4" style="1" customWidth="1"/>
    <col min="267" max="267" width="9.14285714285714" style="1"/>
    <col min="268" max="268" width="19.5714285714286" style="1" customWidth="1"/>
    <col min="269" max="512" width="9.14285714285714" style="1"/>
    <col min="513" max="513" width="16.2857142857143" style="1" customWidth="1"/>
    <col min="514" max="514" width="7.42857142857143" style="1" customWidth="1"/>
    <col min="515" max="515" width="7.85714285714286" style="1" customWidth="1"/>
    <col min="516" max="516" width="37.8571428571429" style="1" customWidth="1"/>
    <col min="517" max="517" width="9.14285714285714" style="1"/>
    <col min="518" max="519" width="14.8571428571429" style="1" customWidth="1"/>
    <col min="520" max="520" width="21.8571428571429" style="1" customWidth="1"/>
    <col min="521" max="521" width="21.2857142857143" style="1" customWidth="1"/>
    <col min="522" max="522" width="4" style="1" customWidth="1"/>
    <col min="523" max="523" width="9.14285714285714" style="1"/>
    <col min="524" max="524" width="19.5714285714286" style="1" customWidth="1"/>
    <col min="525" max="768" width="9.14285714285714" style="1"/>
    <col min="769" max="769" width="16.2857142857143" style="1" customWidth="1"/>
    <col min="770" max="770" width="7.42857142857143" style="1" customWidth="1"/>
    <col min="771" max="771" width="7.85714285714286" style="1" customWidth="1"/>
    <col min="772" max="772" width="37.8571428571429" style="1" customWidth="1"/>
    <col min="773" max="773" width="9.14285714285714" style="1"/>
    <col min="774" max="775" width="14.8571428571429" style="1" customWidth="1"/>
    <col min="776" max="776" width="21.8571428571429" style="1" customWidth="1"/>
    <col min="777" max="777" width="21.2857142857143" style="1" customWidth="1"/>
    <col min="778" max="778" width="4" style="1" customWidth="1"/>
    <col min="779" max="779" width="9.14285714285714" style="1"/>
    <col min="780" max="780" width="19.5714285714286" style="1" customWidth="1"/>
    <col min="781" max="1024" width="9.14285714285714" style="1"/>
    <col min="1025" max="1025" width="16.2857142857143" style="1" customWidth="1"/>
    <col min="1026" max="1026" width="7.42857142857143" style="1" customWidth="1"/>
    <col min="1027" max="1027" width="7.85714285714286" style="1" customWidth="1"/>
    <col min="1028" max="1028" width="37.8571428571429" style="1" customWidth="1"/>
    <col min="1029" max="1029" width="9.14285714285714" style="1"/>
    <col min="1030" max="1031" width="14.8571428571429" style="1" customWidth="1"/>
    <col min="1032" max="1032" width="21.8571428571429" style="1" customWidth="1"/>
    <col min="1033" max="1033" width="21.2857142857143" style="1" customWidth="1"/>
    <col min="1034" max="1034" width="4" style="1" customWidth="1"/>
    <col min="1035" max="1035" width="9.14285714285714" style="1"/>
    <col min="1036" max="1036" width="19.5714285714286" style="1" customWidth="1"/>
    <col min="1037" max="1280" width="9.14285714285714" style="1"/>
    <col min="1281" max="1281" width="16.2857142857143" style="1" customWidth="1"/>
    <col min="1282" max="1282" width="7.42857142857143" style="1" customWidth="1"/>
    <col min="1283" max="1283" width="7.85714285714286" style="1" customWidth="1"/>
    <col min="1284" max="1284" width="37.8571428571429" style="1" customWidth="1"/>
    <col min="1285" max="1285" width="9.14285714285714" style="1"/>
    <col min="1286" max="1287" width="14.8571428571429" style="1" customWidth="1"/>
    <col min="1288" max="1288" width="21.8571428571429" style="1" customWidth="1"/>
    <col min="1289" max="1289" width="21.2857142857143" style="1" customWidth="1"/>
    <col min="1290" max="1290" width="4" style="1" customWidth="1"/>
    <col min="1291" max="1291" width="9.14285714285714" style="1"/>
    <col min="1292" max="1292" width="19.5714285714286" style="1" customWidth="1"/>
    <col min="1293" max="1536" width="9.14285714285714" style="1"/>
    <col min="1537" max="1537" width="16.2857142857143" style="1" customWidth="1"/>
    <col min="1538" max="1538" width="7.42857142857143" style="1" customWidth="1"/>
    <col min="1539" max="1539" width="7.85714285714286" style="1" customWidth="1"/>
    <col min="1540" max="1540" width="37.8571428571429" style="1" customWidth="1"/>
    <col min="1541" max="1541" width="9.14285714285714" style="1"/>
    <col min="1542" max="1543" width="14.8571428571429" style="1" customWidth="1"/>
    <col min="1544" max="1544" width="21.8571428571429" style="1" customWidth="1"/>
    <col min="1545" max="1545" width="21.2857142857143" style="1" customWidth="1"/>
    <col min="1546" max="1546" width="4" style="1" customWidth="1"/>
    <col min="1547" max="1547" width="9.14285714285714" style="1"/>
    <col min="1548" max="1548" width="19.5714285714286" style="1" customWidth="1"/>
    <col min="1549" max="1792" width="9.14285714285714" style="1"/>
    <col min="1793" max="1793" width="16.2857142857143" style="1" customWidth="1"/>
    <col min="1794" max="1794" width="7.42857142857143" style="1" customWidth="1"/>
    <col min="1795" max="1795" width="7.85714285714286" style="1" customWidth="1"/>
    <col min="1796" max="1796" width="37.8571428571429" style="1" customWidth="1"/>
    <col min="1797" max="1797" width="9.14285714285714" style="1"/>
    <col min="1798" max="1799" width="14.8571428571429" style="1" customWidth="1"/>
    <col min="1800" max="1800" width="21.8571428571429" style="1" customWidth="1"/>
    <col min="1801" max="1801" width="21.2857142857143" style="1" customWidth="1"/>
    <col min="1802" max="1802" width="4" style="1" customWidth="1"/>
    <col min="1803" max="1803" width="9.14285714285714" style="1"/>
    <col min="1804" max="1804" width="19.5714285714286" style="1" customWidth="1"/>
    <col min="1805" max="2048" width="9.14285714285714" style="1"/>
    <col min="2049" max="2049" width="16.2857142857143" style="1" customWidth="1"/>
    <col min="2050" max="2050" width="7.42857142857143" style="1" customWidth="1"/>
    <col min="2051" max="2051" width="7.85714285714286" style="1" customWidth="1"/>
    <col min="2052" max="2052" width="37.8571428571429" style="1" customWidth="1"/>
    <col min="2053" max="2053" width="9.14285714285714" style="1"/>
    <col min="2054" max="2055" width="14.8571428571429" style="1" customWidth="1"/>
    <col min="2056" max="2056" width="21.8571428571429" style="1" customWidth="1"/>
    <col min="2057" max="2057" width="21.2857142857143" style="1" customWidth="1"/>
    <col min="2058" max="2058" width="4" style="1" customWidth="1"/>
    <col min="2059" max="2059" width="9.14285714285714" style="1"/>
    <col min="2060" max="2060" width="19.5714285714286" style="1" customWidth="1"/>
    <col min="2061" max="2304" width="9.14285714285714" style="1"/>
    <col min="2305" max="2305" width="16.2857142857143" style="1" customWidth="1"/>
    <col min="2306" max="2306" width="7.42857142857143" style="1" customWidth="1"/>
    <col min="2307" max="2307" width="7.85714285714286" style="1" customWidth="1"/>
    <col min="2308" max="2308" width="37.8571428571429" style="1" customWidth="1"/>
    <col min="2309" max="2309" width="9.14285714285714" style="1"/>
    <col min="2310" max="2311" width="14.8571428571429" style="1" customWidth="1"/>
    <col min="2312" max="2312" width="21.8571428571429" style="1" customWidth="1"/>
    <col min="2313" max="2313" width="21.2857142857143" style="1" customWidth="1"/>
    <col min="2314" max="2314" width="4" style="1" customWidth="1"/>
    <col min="2315" max="2315" width="9.14285714285714" style="1"/>
    <col min="2316" max="2316" width="19.5714285714286" style="1" customWidth="1"/>
    <col min="2317" max="2560" width="9.14285714285714" style="1"/>
    <col min="2561" max="2561" width="16.2857142857143" style="1" customWidth="1"/>
    <col min="2562" max="2562" width="7.42857142857143" style="1" customWidth="1"/>
    <col min="2563" max="2563" width="7.85714285714286" style="1" customWidth="1"/>
    <col min="2564" max="2564" width="37.8571428571429" style="1" customWidth="1"/>
    <col min="2565" max="2565" width="9.14285714285714" style="1"/>
    <col min="2566" max="2567" width="14.8571428571429" style="1" customWidth="1"/>
    <col min="2568" max="2568" width="21.8571428571429" style="1" customWidth="1"/>
    <col min="2569" max="2569" width="21.2857142857143" style="1" customWidth="1"/>
    <col min="2570" max="2570" width="4" style="1" customWidth="1"/>
    <col min="2571" max="2571" width="9.14285714285714" style="1"/>
    <col min="2572" max="2572" width="19.5714285714286" style="1" customWidth="1"/>
    <col min="2573" max="2816" width="9.14285714285714" style="1"/>
    <col min="2817" max="2817" width="16.2857142857143" style="1" customWidth="1"/>
    <col min="2818" max="2818" width="7.42857142857143" style="1" customWidth="1"/>
    <col min="2819" max="2819" width="7.85714285714286" style="1" customWidth="1"/>
    <col min="2820" max="2820" width="37.8571428571429" style="1" customWidth="1"/>
    <col min="2821" max="2821" width="9.14285714285714" style="1"/>
    <col min="2822" max="2823" width="14.8571428571429" style="1" customWidth="1"/>
    <col min="2824" max="2824" width="21.8571428571429" style="1" customWidth="1"/>
    <col min="2825" max="2825" width="21.2857142857143" style="1" customWidth="1"/>
    <col min="2826" max="2826" width="4" style="1" customWidth="1"/>
    <col min="2827" max="2827" width="9.14285714285714" style="1"/>
    <col min="2828" max="2828" width="19.5714285714286" style="1" customWidth="1"/>
    <col min="2829" max="3072" width="9.14285714285714" style="1"/>
    <col min="3073" max="3073" width="16.2857142857143" style="1" customWidth="1"/>
    <col min="3074" max="3074" width="7.42857142857143" style="1" customWidth="1"/>
    <col min="3075" max="3075" width="7.85714285714286" style="1" customWidth="1"/>
    <col min="3076" max="3076" width="37.8571428571429" style="1" customWidth="1"/>
    <col min="3077" max="3077" width="9.14285714285714" style="1"/>
    <col min="3078" max="3079" width="14.8571428571429" style="1" customWidth="1"/>
    <col min="3080" max="3080" width="21.8571428571429" style="1" customWidth="1"/>
    <col min="3081" max="3081" width="21.2857142857143" style="1" customWidth="1"/>
    <col min="3082" max="3082" width="4" style="1" customWidth="1"/>
    <col min="3083" max="3083" width="9.14285714285714" style="1"/>
    <col min="3084" max="3084" width="19.5714285714286" style="1" customWidth="1"/>
    <col min="3085" max="3328" width="9.14285714285714" style="1"/>
    <col min="3329" max="3329" width="16.2857142857143" style="1" customWidth="1"/>
    <col min="3330" max="3330" width="7.42857142857143" style="1" customWidth="1"/>
    <col min="3331" max="3331" width="7.85714285714286" style="1" customWidth="1"/>
    <col min="3332" max="3332" width="37.8571428571429" style="1" customWidth="1"/>
    <col min="3333" max="3333" width="9.14285714285714" style="1"/>
    <col min="3334" max="3335" width="14.8571428571429" style="1" customWidth="1"/>
    <col min="3336" max="3336" width="21.8571428571429" style="1" customWidth="1"/>
    <col min="3337" max="3337" width="21.2857142857143" style="1" customWidth="1"/>
    <col min="3338" max="3338" width="4" style="1" customWidth="1"/>
    <col min="3339" max="3339" width="9.14285714285714" style="1"/>
    <col min="3340" max="3340" width="19.5714285714286" style="1" customWidth="1"/>
    <col min="3341" max="3584" width="9.14285714285714" style="1"/>
    <col min="3585" max="3585" width="16.2857142857143" style="1" customWidth="1"/>
    <col min="3586" max="3586" width="7.42857142857143" style="1" customWidth="1"/>
    <col min="3587" max="3587" width="7.85714285714286" style="1" customWidth="1"/>
    <col min="3588" max="3588" width="37.8571428571429" style="1" customWidth="1"/>
    <col min="3589" max="3589" width="9.14285714285714" style="1"/>
    <col min="3590" max="3591" width="14.8571428571429" style="1" customWidth="1"/>
    <col min="3592" max="3592" width="21.8571428571429" style="1" customWidth="1"/>
    <col min="3593" max="3593" width="21.2857142857143" style="1" customWidth="1"/>
    <col min="3594" max="3594" width="4" style="1" customWidth="1"/>
    <col min="3595" max="3595" width="9.14285714285714" style="1"/>
    <col min="3596" max="3596" width="19.5714285714286" style="1" customWidth="1"/>
    <col min="3597" max="3840" width="9.14285714285714" style="1"/>
    <col min="3841" max="3841" width="16.2857142857143" style="1" customWidth="1"/>
    <col min="3842" max="3842" width="7.42857142857143" style="1" customWidth="1"/>
    <col min="3843" max="3843" width="7.85714285714286" style="1" customWidth="1"/>
    <col min="3844" max="3844" width="37.8571428571429" style="1" customWidth="1"/>
    <col min="3845" max="3845" width="9.14285714285714" style="1"/>
    <col min="3846" max="3847" width="14.8571428571429" style="1" customWidth="1"/>
    <col min="3848" max="3848" width="21.8571428571429" style="1" customWidth="1"/>
    <col min="3849" max="3849" width="21.2857142857143" style="1" customWidth="1"/>
    <col min="3850" max="3850" width="4" style="1" customWidth="1"/>
    <col min="3851" max="3851" width="9.14285714285714" style="1"/>
    <col min="3852" max="3852" width="19.5714285714286" style="1" customWidth="1"/>
    <col min="3853" max="4096" width="9.14285714285714" style="1"/>
    <col min="4097" max="4097" width="16.2857142857143" style="1" customWidth="1"/>
    <col min="4098" max="4098" width="7.42857142857143" style="1" customWidth="1"/>
    <col min="4099" max="4099" width="7.85714285714286" style="1" customWidth="1"/>
    <col min="4100" max="4100" width="37.8571428571429" style="1" customWidth="1"/>
    <col min="4101" max="4101" width="9.14285714285714" style="1"/>
    <col min="4102" max="4103" width="14.8571428571429" style="1" customWidth="1"/>
    <col min="4104" max="4104" width="21.8571428571429" style="1" customWidth="1"/>
    <col min="4105" max="4105" width="21.2857142857143" style="1" customWidth="1"/>
    <col min="4106" max="4106" width="4" style="1" customWidth="1"/>
    <col min="4107" max="4107" width="9.14285714285714" style="1"/>
    <col min="4108" max="4108" width="19.5714285714286" style="1" customWidth="1"/>
    <col min="4109" max="4352" width="9.14285714285714" style="1"/>
    <col min="4353" max="4353" width="16.2857142857143" style="1" customWidth="1"/>
    <col min="4354" max="4354" width="7.42857142857143" style="1" customWidth="1"/>
    <col min="4355" max="4355" width="7.85714285714286" style="1" customWidth="1"/>
    <col min="4356" max="4356" width="37.8571428571429" style="1" customWidth="1"/>
    <col min="4357" max="4357" width="9.14285714285714" style="1"/>
    <col min="4358" max="4359" width="14.8571428571429" style="1" customWidth="1"/>
    <col min="4360" max="4360" width="21.8571428571429" style="1" customWidth="1"/>
    <col min="4361" max="4361" width="21.2857142857143" style="1" customWidth="1"/>
    <col min="4362" max="4362" width="4" style="1" customWidth="1"/>
    <col min="4363" max="4363" width="9.14285714285714" style="1"/>
    <col min="4364" max="4364" width="19.5714285714286" style="1" customWidth="1"/>
    <col min="4365" max="4608" width="9.14285714285714" style="1"/>
    <col min="4609" max="4609" width="16.2857142857143" style="1" customWidth="1"/>
    <col min="4610" max="4610" width="7.42857142857143" style="1" customWidth="1"/>
    <col min="4611" max="4611" width="7.85714285714286" style="1" customWidth="1"/>
    <col min="4612" max="4612" width="37.8571428571429" style="1" customWidth="1"/>
    <col min="4613" max="4613" width="9.14285714285714" style="1"/>
    <col min="4614" max="4615" width="14.8571428571429" style="1" customWidth="1"/>
    <col min="4616" max="4616" width="21.8571428571429" style="1" customWidth="1"/>
    <col min="4617" max="4617" width="21.2857142857143" style="1" customWidth="1"/>
    <col min="4618" max="4618" width="4" style="1" customWidth="1"/>
    <col min="4619" max="4619" width="9.14285714285714" style="1"/>
    <col min="4620" max="4620" width="19.5714285714286" style="1" customWidth="1"/>
    <col min="4621" max="4864" width="9.14285714285714" style="1"/>
    <col min="4865" max="4865" width="16.2857142857143" style="1" customWidth="1"/>
    <col min="4866" max="4866" width="7.42857142857143" style="1" customWidth="1"/>
    <col min="4867" max="4867" width="7.85714285714286" style="1" customWidth="1"/>
    <col min="4868" max="4868" width="37.8571428571429" style="1" customWidth="1"/>
    <col min="4869" max="4869" width="9.14285714285714" style="1"/>
    <col min="4870" max="4871" width="14.8571428571429" style="1" customWidth="1"/>
    <col min="4872" max="4872" width="21.8571428571429" style="1" customWidth="1"/>
    <col min="4873" max="4873" width="21.2857142857143" style="1" customWidth="1"/>
    <col min="4874" max="4874" width="4" style="1" customWidth="1"/>
    <col min="4875" max="4875" width="9.14285714285714" style="1"/>
    <col min="4876" max="4876" width="19.5714285714286" style="1" customWidth="1"/>
    <col min="4877" max="5120" width="9.14285714285714" style="1"/>
    <col min="5121" max="5121" width="16.2857142857143" style="1" customWidth="1"/>
    <col min="5122" max="5122" width="7.42857142857143" style="1" customWidth="1"/>
    <col min="5123" max="5123" width="7.85714285714286" style="1" customWidth="1"/>
    <col min="5124" max="5124" width="37.8571428571429" style="1" customWidth="1"/>
    <col min="5125" max="5125" width="9.14285714285714" style="1"/>
    <col min="5126" max="5127" width="14.8571428571429" style="1" customWidth="1"/>
    <col min="5128" max="5128" width="21.8571428571429" style="1" customWidth="1"/>
    <col min="5129" max="5129" width="21.2857142857143" style="1" customWidth="1"/>
    <col min="5130" max="5130" width="4" style="1" customWidth="1"/>
    <col min="5131" max="5131" width="9.14285714285714" style="1"/>
    <col min="5132" max="5132" width="19.5714285714286" style="1" customWidth="1"/>
    <col min="5133" max="5376" width="9.14285714285714" style="1"/>
    <col min="5377" max="5377" width="16.2857142857143" style="1" customWidth="1"/>
    <col min="5378" max="5378" width="7.42857142857143" style="1" customWidth="1"/>
    <col min="5379" max="5379" width="7.85714285714286" style="1" customWidth="1"/>
    <col min="5380" max="5380" width="37.8571428571429" style="1" customWidth="1"/>
    <col min="5381" max="5381" width="9.14285714285714" style="1"/>
    <col min="5382" max="5383" width="14.8571428571429" style="1" customWidth="1"/>
    <col min="5384" max="5384" width="21.8571428571429" style="1" customWidth="1"/>
    <col min="5385" max="5385" width="21.2857142857143" style="1" customWidth="1"/>
    <col min="5386" max="5386" width="4" style="1" customWidth="1"/>
    <col min="5387" max="5387" width="9.14285714285714" style="1"/>
    <col min="5388" max="5388" width="19.5714285714286" style="1" customWidth="1"/>
    <col min="5389" max="5632" width="9.14285714285714" style="1"/>
    <col min="5633" max="5633" width="16.2857142857143" style="1" customWidth="1"/>
    <col min="5634" max="5634" width="7.42857142857143" style="1" customWidth="1"/>
    <col min="5635" max="5635" width="7.85714285714286" style="1" customWidth="1"/>
    <col min="5636" max="5636" width="37.8571428571429" style="1" customWidth="1"/>
    <col min="5637" max="5637" width="9.14285714285714" style="1"/>
    <col min="5638" max="5639" width="14.8571428571429" style="1" customWidth="1"/>
    <col min="5640" max="5640" width="21.8571428571429" style="1" customWidth="1"/>
    <col min="5641" max="5641" width="21.2857142857143" style="1" customWidth="1"/>
    <col min="5642" max="5642" width="4" style="1" customWidth="1"/>
    <col min="5643" max="5643" width="9.14285714285714" style="1"/>
    <col min="5644" max="5644" width="19.5714285714286" style="1" customWidth="1"/>
    <col min="5645" max="5888" width="9.14285714285714" style="1"/>
    <col min="5889" max="5889" width="16.2857142857143" style="1" customWidth="1"/>
    <col min="5890" max="5890" width="7.42857142857143" style="1" customWidth="1"/>
    <col min="5891" max="5891" width="7.85714285714286" style="1" customWidth="1"/>
    <col min="5892" max="5892" width="37.8571428571429" style="1" customWidth="1"/>
    <col min="5893" max="5893" width="9.14285714285714" style="1"/>
    <col min="5894" max="5895" width="14.8571428571429" style="1" customWidth="1"/>
    <col min="5896" max="5896" width="21.8571428571429" style="1" customWidth="1"/>
    <col min="5897" max="5897" width="21.2857142857143" style="1" customWidth="1"/>
    <col min="5898" max="5898" width="4" style="1" customWidth="1"/>
    <col min="5899" max="5899" width="9.14285714285714" style="1"/>
    <col min="5900" max="5900" width="19.5714285714286" style="1" customWidth="1"/>
    <col min="5901" max="6144" width="9.14285714285714" style="1"/>
    <col min="6145" max="6145" width="16.2857142857143" style="1" customWidth="1"/>
    <col min="6146" max="6146" width="7.42857142857143" style="1" customWidth="1"/>
    <col min="6147" max="6147" width="7.85714285714286" style="1" customWidth="1"/>
    <col min="6148" max="6148" width="37.8571428571429" style="1" customWidth="1"/>
    <col min="6149" max="6149" width="9.14285714285714" style="1"/>
    <col min="6150" max="6151" width="14.8571428571429" style="1" customWidth="1"/>
    <col min="6152" max="6152" width="21.8571428571429" style="1" customWidth="1"/>
    <col min="6153" max="6153" width="21.2857142857143" style="1" customWidth="1"/>
    <col min="6154" max="6154" width="4" style="1" customWidth="1"/>
    <col min="6155" max="6155" width="9.14285714285714" style="1"/>
    <col min="6156" max="6156" width="19.5714285714286" style="1" customWidth="1"/>
    <col min="6157" max="6400" width="9.14285714285714" style="1"/>
    <col min="6401" max="6401" width="16.2857142857143" style="1" customWidth="1"/>
    <col min="6402" max="6402" width="7.42857142857143" style="1" customWidth="1"/>
    <col min="6403" max="6403" width="7.85714285714286" style="1" customWidth="1"/>
    <col min="6404" max="6404" width="37.8571428571429" style="1" customWidth="1"/>
    <col min="6405" max="6405" width="9.14285714285714" style="1"/>
    <col min="6406" max="6407" width="14.8571428571429" style="1" customWidth="1"/>
    <col min="6408" max="6408" width="21.8571428571429" style="1" customWidth="1"/>
    <col min="6409" max="6409" width="21.2857142857143" style="1" customWidth="1"/>
    <col min="6410" max="6410" width="4" style="1" customWidth="1"/>
    <col min="6411" max="6411" width="9.14285714285714" style="1"/>
    <col min="6412" max="6412" width="19.5714285714286" style="1" customWidth="1"/>
    <col min="6413" max="6656" width="9.14285714285714" style="1"/>
    <col min="6657" max="6657" width="16.2857142857143" style="1" customWidth="1"/>
    <col min="6658" max="6658" width="7.42857142857143" style="1" customWidth="1"/>
    <col min="6659" max="6659" width="7.85714285714286" style="1" customWidth="1"/>
    <col min="6660" max="6660" width="37.8571428571429" style="1" customWidth="1"/>
    <col min="6661" max="6661" width="9.14285714285714" style="1"/>
    <col min="6662" max="6663" width="14.8571428571429" style="1" customWidth="1"/>
    <col min="6664" max="6664" width="21.8571428571429" style="1" customWidth="1"/>
    <col min="6665" max="6665" width="21.2857142857143" style="1" customWidth="1"/>
    <col min="6666" max="6666" width="4" style="1" customWidth="1"/>
    <col min="6667" max="6667" width="9.14285714285714" style="1"/>
    <col min="6668" max="6668" width="19.5714285714286" style="1" customWidth="1"/>
    <col min="6669" max="6912" width="9.14285714285714" style="1"/>
    <col min="6913" max="6913" width="16.2857142857143" style="1" customWidth="1"/>
    <col min="6914" max="6914" width="7.42857142857143" style="1" customWidth="1"/>
    <col min="6915" max="6915" width="7.85714285714286" style="1" customWidth="1"/>
    <col min="6916" max="6916" width="37.8571428571429" style="1" customWidth="1"/>
    <col min="6917" max="6917" width="9.14285714285714" style="1"/>
    <col min="6918" max="6919" width="14.8571428571429" style="1" customWidth="1"/>
    <col min="6920" max="6920" width="21.8571428571429" style="1" customWidth="1"/>
    <col min="6921" max="6921" width="21.2857142857143" style="1" customWidth="1"/>
    <col min="6922" max="6922" width="4" style="1" customWidth="1"/>
    <col min="6923" max="6923" width="9.14285714285714" style="1"/>
    <col min="6924" max="6924" width="19.5714285714286" style="1" customWidth="1"/>
    <col min="6925" max="7168" width="9.14285714285714" style="1"/>
    <col min="7169" max="7169" width="16.2857142857143" style="1" customWidth="1"/>
    <col min="7170" max="7170" width="7.42857142857143" style="1" customWidth="1"/>
    <col min="7171" max="7171" width="7.85714285714286" style="1" customWidth="1"/>
    <col min="7172" max="7172" width="37.8571428571429" style="1" customWidth="1"/>
    <col min="7173" max="7173" width="9.14285714285714" style="1"/>
    <col min="7174" max="7175" width="14.8571428571429" style="1" customWidth="1"/>
    <col min="7176" max="7176" width="21.8571428571429" style="1" customWidth="1"/>
    <col min="7177" max="7177" width="21.2857142857143" style="1" customWidth="1"/>
    <col min="7178" max="7178" width="4" style="1" customWidth="1"/>
    <col min="7179" max="7179" width="9.14285714285714" style="1"/>
    <col min="7180" max="7180" width="19.5714285714286" style="1" customWidth="1"/>
    <col min="7181" max="7424" width="9.14285714285714" style="1"/>
    <col min="7425" max="7425" width="16.2857142857143" style="1" customWidth="1"/>
    <col min="7426" max="7426" width="7.42857142857143" style="1" customWidth="1"/>
    <col min="7427" max="7427" width="7.85714285714286" style="1" customWidth="1"/>
    <col min="7428" max="7428" width="37.8571428571429" style="1" customWidth="1"/>
    <col min="7429" max="7429" width="9.14285714285714" style="1"/>
    <col min="7430" max="7431" width="14.8571428571429" style="1" customWidth="1"/>
    <col min="7432" max="7432" width="21.8571428571429" style="1" customWidth="1"/>
    <col min="7433" max="7433" width="21.2857142857143" style="1" customWidth="1"/>
    <col min="7434" max="7434" width="4" style="1" customWidth="1"/>
    <col min="7435" max="7435" width="9.14285714285714" style="1"/>
    <col min="7436" max="7436" width="19.5714285714286" style="1" customWidth="1"/>
    <col min="7437" max="7680" width="9.14285714285714" style="1"/>
    <col min="7681" max="7681" width="16.2857142857143" style="1" customWidth="1"/>
    <col min="7682" max="7682" width="7.42857142857143" style="1" customWidth="1"/>
    <col min="7683" max="7683" width="7.85714285714286" style="1" customWidth="1"/>
    <col min="7684" max="7684" width="37.8571428571429" style="1" customWidth="1"/>
    <col min="7685" max="7685" width="9.14285714285714" style="1"/>
    <col min="7686" max="7687" width="14.8571428571429" style="1" customWidth="1"/>
    <col min="7688" max="7688" width="21.8571428571429" style="1" customWidth="1"/>
    <col min="7689" max="7689" width="21.2857142857143" style="1" customWidth="1"/>
    <col min="7690" max="7690" width="4" style="1" customWidth="1"/>
    <col min="7691" max="7691" width="9.14285714285714" style="1"/>
    <col min="7692" max="7692" width="19.5714285714286" style="1" customWidth="1"/>
    <col min="7693" max="7936" width="9.14285714285714" style="1"/>
    <col min="7937" max="7937" width="16.2857142857143" style="1" customWidth="1"/>
    <col min="7938" max="7938" width="7.42857142857143" style="1" customWidth="1"/>
    <col min="7939" max="7939" width="7.85714285714286" style="1" customWidth="1"/>
    <col min="7940" max="7940" width="37.8571428571429" style="1" customWidth="1"/>
    <col min="7941" max="7941" width="9.14285714285714" style="1"/>
    <col min="7942" max="7943" width="14.8571428571429" style="1" customWidth="1"/>
    <col min="7944" max="7944" width="21.8571428571429" style="1" customWidth="1"/>
    <col min="7945" max="7945" width="21.2857142857143" style="1" customWidth="1"/>
    <col min="7946" max="7946" width="4" style="1" customWidth="1"/>
    <col min="7947" max="7947" width="9.14285714285714" style="1"/>
    <col min="7948" max="7948" width="19.5714285714286" style="1" customWidth="1"/>
    <col min="7949" max="8192" width="9.14285714285714" style="1"/>
    <col min="8193" max="8193" width="16.2857142857143" style="1" customWidth="1"/>
    <col min="8194" max="8194" width="7.42857142857143" style="1" customWidth="1"/>
    <col min="8195" max="8195" width="7.85714285714286" style="1" customWidth="1"/>
    <col min="8196" max="8196" width="37.8571428571429" style="1" customWidth="1"/>
    <col min="8197" max="8197" width="9.14285714285714" style="1"/>
    <col min="8198" max="8199" width="14.8571428571429" style="1" customWidth="1"/>
    <col min="8200" max="8200" width="21.8571428571429" style="1" customWidth="1"/>
    <col min="8201" max="8201" width="21.2857142857143" style="1" customWidth="1"/>
    <col min="8202" max="8202" width="4" style="1" customWidth="1"/>
    <col min="8203" max="8203" width="9.14285714285714" style="1"/>
    <col min="8204" max="8204" width="19.5714285714286" style="1" customWidth="1"/>
    <col min="8205" max="8448" width="9.14285714285714" style="1"/>
    <col min="8449" max="8449" width="16.2857142857143" style="1" customWidth="1"/>
    <col min="8450" max="8450" width="7.42857142857143" style="1" customWidth="1"/>
    <col min="8451" max="8451" width="7.85714285714286" style="1" customWidth="1"/>
    <col min="8452" max="8452" width="37.8571428571429" style="1" customWidth="1"/>
    <col min="8453" max="8453" width="9.14285714285714" style="1"/>
    <col min="8454" max="8455" width="14.8571428571429" style="1" customWidth="1"/>
    <col min="8456" max="8456" width="21.8571428571429" style="1" customWidth="1"/>
    <col min="8457" max="8457" width="21.2857142857143" style="1" customWidth="1"/>
    <col min="8458" max="8458" width="4" style="1" customWidth="1"/>
    <col min="8459" max="8459" width="9.14285714285714" style="1"/>
    <col min="8460" max="8460" width="19.5714285714286" style="1" customWidth="1"/>
    <col min="8461" max="8704" width="9.14285714285714" style="1"/>
    <col min="8705" max="8705" width="16.2857142857143" style="1" customWidth="1"/>
    <col min="8706" max="8706" width="7.42857142857143" style="1" customWidth="1"/>
    <col min="8707" max="8707" width="7.85714285714286" style="1" customWidth="1"/>
    <col min="8708" max="8708" width="37.8571428571429" style="1" customWidth="1"/>
    <col min="8709" max="8709" width="9.14285714285714" style="1"/>
    <col min="8710" max="8711" width="14.8571428571429" style="1" customWidth="1"/>
    <col min="8712" max="8712" width="21.8571428571429" style="1" customWidth="1"/>
    <col min="8713" max="8713" width="21.2857142857143" style="1" customWidth="1"/>
    <col min="8714" max="8714" width="4" style="1" customWidth="1"/>
    <col min="8715" max="8715" width="9.14285714285714" style="1"/>
    <col min="8716" max="8716" width="19.5714285714286" style="1" customWidth="1"/>
    <col min="8717" max="8960" width="9.14285714285714" style="1"/>
    <col min="8961" max="8961" width="16.2857142857143" style="1" customWidth="1"/>
    <col min="8962" max="8962" width="7.42857142857143" style="1" customWidth="1"/>
    <col min="8963" max="8963" width="7.85714285714286" style="1" customWidth="1"/>
    <col min="8964" max="8964" width="37.8571428571429" style="1" customWidth="1"/>
    <col min="8965" max="8965" width="9.14285714285714" style="1"/>
    <col min="8966" max="8967" width="14.8571428571429" style="1" customWidth="1"/>
    <col min="8968" max="8968" width="21.8571428571429" style="1" customWidth="1"/>
    <col min="8969" max="8969" width="21.2857142857143" style="1" customWidth="1"/>
    <col min="8970" max="8970" width="4" style="1" customWidth="1"/>
    <col min="8971" max="8971" width="9.14285714285714" style="1"/>
    <col min="8972" max="8972" width="19.5714285714286" style="1" customWidth="1"/>
    <col min="8973" max="9216" width="9.14285714285714" style="1"/>
    <col min="9217" max="9217" width="16.2857142857143" style="1" customWidth="1"/>
    <col min="9218" max="9218" width="7.42857142857143" style="1" customWidth="1"/>
    <col min="9219" max="9219" width="7.85714285714286" style="1" customWidth="1"/>
    <col min="9220" max="9220" width="37.8571428571429" style="1" customWidth="1"/>
    <col min="9221" max="9221" width="9.14285714285714" style="1"/>
    <col min="9222" max="9223" width="14.8571428571429" style="1" customWidth="1"/>
    <col min="9224" max="9224" width="21.8571428571429" style="1" customWidth="1"/>
    <col min="9225" max="9225" width="21.2857142857143" style="1" customWidth="1"/>
    <col min="9226" max="9226" width="4" style="1" customWidth="1"/>
    <col min="9227" max="9227" width="9.14285714285714" style="1"/>
    <col min="9228" max="9228" width="19.5714285714286" style="1" customWidth="1"/>
    <col min="9229" max="9472" width="9.14285714285714" style="1"/>
    <col min="9473" max="9473" width="16.2857142857143" style="1" customWidth="1"/>
    <col min="9474" max="9474" width="7.42857142857143" style="1" customWidth="1"/>
    <col min="9475" max="9475" width="7.85714285714286" style="1" customWidth="1"/>
    <col min="9476" max="9476" width="37.8571428571429" style="1" customWidth="1"/>
    <col min="9477" max="9477" width="9.14285714285714" style="1"/>
    <col min="9478" max="9479" width="14.8571428571429" style="1" customWidth="1"/>
    <col min="9480" max="9480" width="21.8571428571429" style="1" customWidth="1"/>
    <col min="9481" max="9481" width="21.2857142857143" style="1" customWidth="1"/>
    <col min="9482" max="9482" width="4" style="1" customWidth="1"/>
    <col min="9483" max="9483" width="9.14285714285714" style="1"/>
    <col min="9484" max="9484" width="19.5714285714286" style="1" customWidth="1"/>
    <col min="9485" max="9728" width="9.14285714285714" style="1"/>
    <col min="9729" max="9729" width="16.2857142857143" style="1" customWidth="1"/>
    <col min="9730" max="9730" width="7.42857142857143" style="1" customWidth="1"/>
    <col min="9731" max="9731" width="7.85714285714286" style="1" customWidth="1"/>
    <col min="9732" max="9732" width="37.8571428571429" style="1" customWidth="1"/>
    <col min="9733" max="9733" width="9.14285714285714" style="1"/>
    <col min="9734" max="9735" width="14.8571428571429" style="1" customWidth="1"/>
    <col min="9736" max="9736" width="21.8571428571429" style="1" customWidth="1"/>
    <col min="9737" max="9737" width="21.2857142857143" style="1" customWidth="1"/>
    <col min="9738" max="9738" width="4" style="1" customWidth="1"/>
    <col min="9739" max="9739" width="9.14285714285714" style="1"/>
    <col min="9740" max="9740" width="19.5714285714286" style="1" customWidth="1"/>
    <col min="9741" max="9984" width="9.14285714285714" style="1"/>
    <col min="9985" max="9985" width="16.2857142857143" style="1" customWidth="1"/>
    <col min="9986" max="9986" width="7.42857142857143" style="1" customWidth="1"/>
    <col min="9987" max="9987" width="7.85714285714286" style="1" customWidth="1"/>
    <col min="9988" max="9988" width="37.8571428571429" style="1" customWidth="1"/>
    <col min="9989" max="9989" width="9.14285714285714" style="1"/>
    <col min="9990" max="9991" width="14.8571428571429" style="1" customWidth="1"/>
    <col min="9992" max="9992" width="21.8571428571429" style="1" customWidth="1"/>
    <col min="9993" max="9993" width="21.2857142857143" style="1" customWidth="1"/>
    <col min="9994" max="9994" width="4" style="1" customWidth="1"/>
    <col min="9995" max="9995" width="9.14285714285714" style="1"/>
    <col min="9996" max="9996" width="19.5714285714286" style="1" customWidth="1"/>
    <col min="9997" max="10240" width="9.14285714285714" style="1"/>
    <col min="10241" max="10241" width="16.2857142857143" style="1" customWidth="1"/>
    <col min="10242" max="10242" width="7.42857142857143" style="1" customWidth="1"/>
    <col min="10243" max="10243" width="7.85714285714286" style="1" customWidth="1"/>
    <col min="10244" max="10244" width="37.8571428571429" style="1" customWidth="1"/>
    <col min="10245" max="10245" width="9.14285714285714" style="1"/>
    <col min="10246" max="10247" width="14.8571428571429" style="1" customWidth="1"/>
    <col min="10248" max="10248" width="21.8571428571429" style="1" customWidth="1"/>
    <col min="10249" max="10249" width="21.2857142857143" style="1" customWidth="1"/>
    <col min="10250" max="10250" width="4" style="1" customWidth="1"/>
    <col min="10251" max="10251" width="9.14285714285714" style="1"/>
    <col min="10252" max="10252" width="19.5714285714286" style="1" customWidth="1"/>
    <col min="10253" max="10496" width="9.14285714285714" style="1"/>
    <col min="10497" max="10497" width="16.2857142857143" style="1" customWidth="1"/>
    <col min="10498" max="10498" width="7.42857142857143" style="1" customWidth="1"/>
    <col min="10499" max="10499" width="7.85714285714286" style="1" customWidth="1"/>
    <col min="10500" max="10500" width="37.8571428571429" style="1" customWidth="1"/>
    <col min="10501" max="10501" width="9.14285714285714" style="1"/>
    <col min="10502" max="10503" width="14.8571428571429" style="1" customWidth="1"/>
    <col min="10504" max="10504" width="21.8571428571429" style="1" customWidth="1"/>
    <col min="10505" max="10505" width="21.2857142857143" style="1" customWidth="1"/>
    <col min="10506" max="10506" width="4" style="1" customWidth="1"/>
    <col min="10507" max="10507" width="9.14285714285714" style="1"/>
    <col min="10508" max="10508" width="19.5714285714286" style="1" customWidth="1"/>
    <col min="10509" max="10752" width="9.14285714285714" style="1"/>
    <col min="10753" max="10753" width="16.2857142857143" style="1" customWidth="1"/>
    <col min="10754" max="10754" width="7.42857142857143" style="1" customWidth="1"/>
    <col min="10755" max="10755" width="7.85714285714286" style="1" customWidth="1"/>
    <col min="10756" max="10756" width="37.8571428571429" style="1" customWidth="1"/>
    <col min="10757" max="10757" width="9.14285714285714" style="1"/>
    <col min="10758" max="10759" width="14.8571428571429" style="1" customWidth="1"/>
    <col min="10760" max="10760" width="21.8571428571429" style="1" customWidth="1"/>
    <col min="10761" max="10761" width="21.2857142857143" style="1" customWidth="1"/>
    <col min="10762" max="10762" width="4" style="1" customWidth="1"/>
    <col min="10763" max="10763" width="9.14285714285714" style="1"/>
    <col min="10764" max="10764" width="19.5714285714286" style="1" customWidth="1"/>
    <col min="10765" max="11008" width="9.14285714285714" style="1"/>
    <col min="11009" max="11009" width="16.2857142857143" style="1" customWidth="1"/>
    <col min="11010" max="11010" width="7.42857142857143" style="1" customWidth="1"/>
    <col min="11011" max="11011" width="7.85714285714286" style="1" customWidth="1"/>
    <col min="11012" max="11012" width="37.8571428571429" style="1" customWidth="1"/>
    <col min="11013" max="11013" width="9.14285714285714" style="1"/>
    <col min="11014" max="11015" width="14.8571428571429" style="1" customWidth="1"/>
    <col min="11016" max="11016" width="21.8571428571429" style="1" customWidth="1"/>
    <col min="11017" max="11017" width="21.2857142857143" style="1" customWidth="1"/>
    <col min="11018" max="11018" width="4" style="1" customWidth="1"/>
    <col min="11019" max="11019" width="9.14285714285714" style="1"/>
    <col min="11020" max="11020" width="19.5714285714286" style="1" customWidth="1"/>
    <col min="11021" max="11264" width="9.14285714285714" style="1"/>
    <col min="11265" max="11265" width="16.2857142857143" style="1" customWidth="1"/>
    <col min="11266" max="11266" width="7.42857142857143" style="1" customWidth="1"/>
    <col min="11267" max="11267" width="7.85714285714286" style="1" customWidth="1"/>
    <col min="11268" max="11268" width="37.8571428571429" style="1" customWidth="1"/>
    <col min="11269" max="11269" width="9.14285714285714" style="1"/>
    <col min="11270" max="11271" width="14.8571428571429" style="1" customWidth="1"/>
    <col min="11272" max="11272" width="21.8571428571429" style="1" customWidth="1"/>
    <col min="11273" max="11273" width="21.2857142857143" style="1" customWidth="1"/>
    <col min="11274" max="11274" width="4" style="1" customWidth="1"/>
    <col min="11275" max="11275" width="9.14285714285714" style="1"/>
    <col min="11276" max="11276" width="19.5714285714286" style="1" customWidth="1"/>
    <col min="11277" max="11520" width="9.14285714285714" style="1"/>
    <col min="11521" max="11521" width="16.2857142857143" style="1" customWidth="1"/>
    <col min="11522" max="11522" width="7.42857142857143" style="1" customWidth="1"/>
    <col min="11523" max="11523" width="7.85714285714286" style="1" customWidth="1"/>
    <col min="11524" max="11524" width="37.8571428571429" style="1" customWidth="1"/>
    <col min="11525" max="11525" width="9.14285714285714" style="1"/>
    <col min="11526" max="11527" width="14.8571428571429" style="1" customWidth="1"/>
    <col min="11528" max="11528" width="21.8571428571429" style="1" customWidth="1"/>
    <col min="11529" max="11529" width="21.2857142857143" style="1" customWidth="1"/>
    <col min="11530" max="11530" width="4" style="1" customWidth="1"/>
    <col min="11531" max="11531" width="9.14285714285714" style="1"/>
    <col min="11532" max="11532" width="19.5714285714286" style="1" customWidth="1"/>
    <col min="11533" max="11776" width="9.14285714285714" style="1"/>
    <col min="11777" max="11777" width="16.2857142857143" style="1" customWidth="1"/>
    <col min="11778" max="11778" width="7.42857142857143" style="1" customWidth="1"/>
    <col min="11779" max="11779" width="7.85714285714286" style="1" customWidth="1"/>
    <col min="11780" max="11780" width="37.8571428571429" style="1" customWidth="1"/>
    <col min="11781" max="11781" width="9.14285714285714" style="1"/>
    <col min="11782" max="11783" width="14.8571428571429" style="1" customWidth="1"/>
    <col min="11784" max="11784" width="21.8571428571429" style="1" customWidth="1"/>
    <col min="11785" max="11785" width="21.2857142857143" style="1" customWidth="1"/>
    <col min="11786" max="11786" width="4" style="1" customWidth="1"/>
    <col min="11787" max="11787" width="9.14285714285714" style="1"/>
    <col min="11788" max="11788" width="19.5714285714286" style="1" customWidth="1"/>
    <col min="11789" max="12032" width="9.14285714285714" style="1"/>
    <col min="12033" max="12033" width="16.2857142857143" style="1" customWidth="1"/>
    <col min="12034" max="12034" width="7.42857142857143" style="1" customWidth="1"/>
    <col min="12035" max="12035" width="7.85714285714286" style="1" customWidth="1"/>
    <col min="12036" max="12036" width="37.8571428571429" style="1" customWidth="1"/>
    <col min="12037" max="12037" width="9.14285714285714" style="1"/>
    <col min="12038" max="12039" width="14.8571428571429" style="1" customWidth="1"/>
    <col min="12040" max="12040" width="21.8571428571429" style="1" customWidth="1"/>
    <col min="12041" max="12041" width="21.2857142857143" style="1" customWidth="1"/>
    <col min="12042" max="12042" width="4" style="1" customWidth="1"/>
    <col min="12043" max="12043" width="9.14285714285714" style="1"/>
    <col min="12044" max="12044" width="19.5714285714286" style="1" customWidth="1"/>
    <col min="12045" max="12288" width="9.14285714285714" style="1"/>
    <col min="12289" max="12289" width="16.2857142857143" style="1" customWidth="1"/>
    <col min="12290" max="12290" width="7.42857142857143" style="1" customWidth="1"/>
    <col min="12291" max="12291" width="7.85714285714286" style="1" customWidth="1"/>
    <col min="12292" max="12292" width="37.8571428571429" style="1" customWidth="1"/>
    <col min="12293" max="12293" width="9.14285714285714" style="1"/>
    <col min="12294" max="12295" width="14.8571428571429" style="1" customWidth="1"/>
    <col min="12296" max="12296" width="21.8571428571429" style="1" customWidth="1"/>
    <col min="12297" max="12297" width="21.2857142857143" style="1" customWidth="1"/>
    <col min="12298" max="12298" width="4" style="1" customWidth="1"/>
    <col min="12299" max="12299" width="9.14285714285714" style="1"/>
    <col min="12300" max="12300" width="19.5714285714286" style="1" customWidth="1"/>
    <col min="12301" max="12544" width="9.14285714285714" style="1"/>
    <col min="12545" max="12545" width="16.2857142857143" style="1" customWidth="1"/>
    <col min="12546" max="12546" width="7.42857142857143" style="1" customWidth="1"/>
    <col min="12547" max="12547" width="7.85714285714286" style="1" customWidth="1"/>
    <col min="12548" max="12548" width="37.8571428571429" style="1" customWidth="1"/>
    <col min="12549" max="12549" width="9.14285714285714" style="1"/>
    <col min="12550" max="12551" width="14.8571428571429" style="1" customWidth="1"/>
    <col min="12552" max="12552" width="21.8571428571429" style="1" customWidth="1"/>
    <col min="12553" max="12553" width="21.2857142857143" style="1" customWidth="1"/>
    <col min="12554" max="12554" width="4" style="1" customWidth="1"/>
    <col min="12555" max="12555" width="9.14285714285714" style="1"/>
    <col min="12556" max="12556" width="19.5714285714286" style="1" customWidth="1"/>
    <col min="12557" max="12800" width="9.14285714285714" style="1"/>
    <col min="12801" max="12801" width="16.2857142857143" style="1" customWidth="1"/>
    <col min="12802" max="12802" width="7.42857142857143" style="1" customWidth="1"/>
    <col min="12803" max="12803" width="7.85714285714286" style="1" customWidth="1"/>
    <col min="12804" max="12804" width="37.8571428571429" style="1" customWidth="1"/>
    <col min="12805" max="12805" width="9.14285714285714" style="1"/>
    <col min="12806" max="12807" width="14.8571428571429" style="1" customWidth="1"/>
    <col min="12808" max="12808" width="21.8571428571429" style="1" customWidth="1"/>
    <col min="12809" max="12809" width="21.2857142857143" style="1" customWidth="1"/>
    <col min="12810" max="12810" width="4" style="1" customWidth="1"/>
    <col min="12811" max="12811" width="9.14285714285714" style="1"/>
    <col min="12812" max="12812" width="19.5714285714286" style="1" customWidth="1"/>
    <col min="12813" max="13056" width="9.14285714285714" style="1"/>
    <col min="13057" max="13057" width="16.2857142857143" style="1" customWidth="1"/>
    <col min="13058" max="13058" width="7.42857142857143" style="1" customWidth="1"/>
    <col min="13059" max="13059" width="7.85714285714286" style="1" customWidth="1"/>
    <col min="13060" max="13060" width="37.8571428571429" style="1" customWidth="1"/>
    <col min="13061" max="13061" width="9.14285714285714" style="1"/>
    <col min="13062" max="13063" width="14.8571428571429" style="1" customWidth="1"/>
    <col min="13064" max="13064" width="21.8571428571429" style="1" customWidth="1"/>
    <col min="13065" max="13065" width="21.2857142857143" style="1" customWidth="1"/>
    <col min="13066" max="13066" width="4" style="1" customWidth="1"/>
    <col min="13067" max="13067" width="9.14285714285714" style="1"/>
    <col min="13068" max="13068" width="19.5714285714286" style="1" customWidth="1"/>
    <col min="13069" max="13312" width="9.14285714285714" style="1"/>
    <col min="13313" max="13313" width="16.2857142857143" style="1" customWidth="1"/>
    <col min="13314" max="13314" width="7.42857142857143" style="1" customWidth="1"/>
    <col min="13315" max="13315" width="7.85714285714286" style="1" customWidth="1"/>
    <col min="13316" max="13316" width="37.8571428571429" style="1" customWidth="1"/>
    <col min="13317" max="13317" width="9.14285714285714" style="1"/>
    <col min="13318" max="13319" width="14.8571428571429" style="1" customWidth="1"/>
    <col min="13320" max="13320" width="21.8571428571429" style="1" customWidth="1"/>
    <col min="13321" max="13321" width="21.2857142857143" style="1" customWidth="1"/>
    <col min="13322" max="13322" width="4" style="1" customWidth="1"/>
    <col min="13323" max="13323" width="9.14285714285714" style="1"/>
    <col min="13324" max="13324" width="19.5714285714286" style="1" customWidth="1"/>
    <col min="13325" max="13568" width="9.14285714285714" style="1"/>
    <col min="13569" max="13569" width="16.2857142857143" style="1" customWidth="1"/>
    <col min="13570" max="13570" width="7.42857142857143" style="1" customWidth="1"/>
    <col min="13571" max="13571" width="7.85714285714286" style="1" customWidth="1"/>
    <col min="13572" max="13572" width="37.8571428571429" style="1" customWidth="1"/>
    <col min="13573" max="13573" width="9.14285714285714" style="1"/>
    <col min="13574" max="13575" width="14.8571428571429" style="1" customWidth="1"/>
    <col min="13576" max="13576" width="21.8571428571429" style="1" customWidth="1"/>
    <col min="13577" max="13577" width="21.2857142857143" style="1" customWidth="1"/>
    <col min="13578" max="13578" width="4" style="1" customWidth="1"/>
    <col min="13579" max="13579" width="9.14285714285714" style="1"/>
    <col min="13580" max="13580" width="19.5714285714286" style="1" customWidth="1"/>
    <col min="13581" max="13824" width="9.14285714285714" style="1"/>
    <col min="13825" max="13825" width="16.2857142857143" style="1" customWidth="1"/>
    <col min="13826" max="13826" width="7.42857142857143" style="1" customWidth="1"/>
    <col min="13827" max="13827" width="7.85714285714286" style="1" customWidth="1"/>
    <col min="13828" max="13828" width="37.8571428571429" style="1" customWidth="1"/>
    <col min="13829" max="13829" width="9.14285714285714" style="1"/>
    <col min="13830" max="13831" width="14.8571428571429" style="1" customWidth="1"/>
    <col min="13832" max="13832" width="21.8571428571429" style="1" customWidth="1"/>
    <col min="13833" max="13833" width="21.2857142857143" style="1" customWidth="1"/>
    <col min="13834" max="13834" width="4" style="1" customWidth="1"/>
    <col min="13835" max="13835" width="9.14285714285714" style="1"/>
    <col min="13836" max="13836" width="19.5714285714286" style="1" customWidth="1"/>
    <col min="13837" max="14080" width="9.14285714285714" style="1"/>
    <col min="14081" max="14081" width="16.2857142857143" style="1" customWidth="1"/>
    <col min="14082" max="14082" width="7.42857142857143" style="1" customWidth="1"/>
    <col min="14083" max="14083" width="7.85714285714286" style="1" customWidth="1"/>
    <col min="14084" max="14084" width="37.8571428571429" style="1" customWidth="1"/>
    <col min="14085" max="14085" width="9.14285714285714" style="1"/>
    <col min="14086" max="14087" width="14.8571428571429" style="1" customWidth="1"/>
    <col min="14088" max="14088" width="21.8571428571429" style="1" customWidth="1"/>
    <col min="14089" max="14089" width="21.2857142857143" style="1" customWidth="1"/>
    <col min="14090" max="14090" width="4" style="1" customWidth="1"/>
    <col min="14091" max="14091" width="9.14285714285714" style="1"/>
    <col min="14092" max="14092" width="19.5714285714286" style="1" customWidth="1"/>
    <col min="14093" max="14336" width="9.14285714285714" style="1"/>
    <col min="14337" max="14337" width="16.2857142857143" style="1" customWidth="1"/>
    <col min="14338" max="14338" width="7.42857142857143" style="1" customWidth="1"/>
    <col min="14339" max="14339" width="7.85714285714286" style="1" customWidth="1"/>
    <col min="14340" max="14340" width="37.8571428571429" style="1" customWidth="1"/>
    <col min="14341" max="14341" width="9.14285714285714" style="1"/>
    <col min="14342" max="14343" width="14.8571428571429" style="1" customWidth="1"/>
    <col min="14344" max="14344" width="21.8571428571429" style="1" customWidth="1"/>
    <col min="14345" max="14345" width="21.2857142857143" style="1" customWidth="1"/>
    <col min="14346" max="14346" width="4" style="1" customWidth="1"/>
    <col min="14347" max="14347" width="9.14285714285714" style="1"/>
    <col min="14348" max="14348" width="19.5714285714286" style="1" customWidth="1"/>
    <col min="14349" max="14592" width="9.14285714285714" style="1"/>
    <col min="14593" max="14593" width="16.2857142857143" style="1" customWidth="1"/>
    <col min="14594" max="14594" width="7.42857142857143" style="1" customWidth="1"/>
    <col min="14595" max="14595" width="7.85714285714286" style="1" customWidth="1"/>
    <col min="14596" max="14596" width="37.8571428571429" style="1" customWidth="1"/>
    <col min="14597" max="14597" width="9.14285714285714" style="1"/>
    <col min="14598" max="14599" width="14.8571428571429" style="1" customWidth="1"/>
    <col min="14600" max="14600" width="21.8571428571429" style="1" customWidth="1"/>
    <col min="14601" max="14601" width="21.2857142857143" style="1" customWidth="1"/>
    <col min="14602" max="14602" width="4" style="1" customWidth="1"/>
    <col min="14603" max="14603" width="9.14285714285714" style="1"/>
    <col min="14604" max="14604" width="19.5714285714286" style="1" customWidth="1"/>
    <col min="14605" max="14848" width="9.14285714285714" style="1"/>
    <col min="14849" max="14849" width="16.2857142857143" style="1" customWidth="1"/>
    <col min="14850" max="14850" width="7.42857142857143" style="1" customWidth="1"/>
    <col min="14851" max="14851" width="7.85714285714286" style="1" customWidth="1"/>
    <col min="14852" max="14852" width="37.8571428571429" style="1" customWidth="1"/>
    <col min="14853" max="14853" width="9.14285714285714" style="1"/>
    <col min="14854" max="14855" width="14.8571428571429" style="1" customWidth="1"/>
    <col min="14856" max="14856" width="21.8571428571429" style="1" customWidth="1"/>
    <col min="14857" max="14857" width="21.2857142857143" style="1" customWidth="1"/>
    <col min="14858" max="14858" width="4" style="1" customWidth="1"/>
    <col min="14859" max="14859" width="9.14285714285714" style="1"/>
    <col min="14860" max="14860" width="19.5714285714286" style="1" customWidth="1"/>
    <col min="14861" max="15104" width="9.14285714285714" style="1"/>
    <col min="15105" max="15105" width="16.2857142857143" style="1" customWidth="1"/>
    <col min="15106" max="15106" width="7.42857142857143" style="1" customWidth="1"/>
    <col min="15107" max="15107" width="7.85714285714286" style="1" customWidth="1"/>
    <col min="15108" max="15108" width="37.8571428571429" style="1" customWidth="1"/>
    <col min="15109" max="15109" width="9.14285714285714" style="1"/>
    <col min="15110" max="15111" width="14.8571428571429" style="1" customWidth="1"/>
    <col min="15112" max="15112" width="21.8571428571429" style="1" customWidth="1"/>
    <col min="15113" max="15113" width="21.2857142857143" style="1" customWidth="1"/>
    <col min="15114" max="15114" width="4" style="1" customWidth="1"/>
    <col min="15115" max="15115" width="9.14285714285714" style="1"/>
    <col min="15116" max="15116" width="19.5714285714286" style="1" customWidth="1"/>
    <col min="15117" max="15360" width="9.14285714285714" style="1"/>
    <col min="15361" max="15361" width="16.2857142857143" style="1" customWidth="1"/>
    <col min="15362" max="15362" width="7.42857142857143" style="1" customWidth="1"/>
    <col min="15363" max="15363" width="7.85714285714286" style="1" customWidth="1"/>
    <col min="15364" max="15364" width="37.8571428571429" style="1" customWidth="1"/>
    <col min="15365" max="15365" width="9.14285714285714" style="1"/>
    <col min="15366" max="15367" width="14.8571428571429" style="1" customWidth="1"/>
    <col min="15368" max="15368" width="21.8571428571429" style="1" customWidth="1"/>
    <col min="15369" max="15369" width="21.2857142857143" style="1" customWidth="1"/>
    <col min="15370" max="15370" width="4" style="1" customWidth="1"/>
    <col min="15371" max="15371" width="9.14285714285714" style="1"/>
    <col min="15372" max="15372" width="19.5714285714286" style="1" customWidth="1"/>
    <col min="15373" max="15616" width="9.14285714285714" style="1"/>
    <col min="15617" max="15617" width="16.2857142857143" style="1" customWidth="1"/>
    <col min="15618" max="15618" width="7.42857142857143" style="1" customWidth="1"/>
    <col min="15619" max="15619" width="7.85714285714286" style="1" customWidth="1"/>
    <col min="15620" max="15620" width="37.8571428571429" style="1" customWidth="1"/>
    <col min="15621" max="15621" width="9.14285714285714" style="1"/>
    <col min="15622" max="15623" width="14.8571428571429" style="1" customWidth="1"/>
    <col min="15624" max="15624" width="21.8571428571429" style="1" customWidth="1"/>
    <col min="15625" max="15625" width="21.2857142857143" style="1" customWidth="1"/>
    <col min="15626" max="15626" width="4" style="1" customWidth="1"/>
    <col min="15627" max="15627" width="9.14285714285714" style="1"/>
    <col min="15628" max="15628" width="19.5714285714286" style="1" customWidth="1"/>
    <col min="15629" max="15872" width="9.14285714285714" style="1"/>
    <col min="15873" max="15873" width="16.2857142857143" style="1" customWidth="1"/>
    <col min="15874" max="15874" width="7.42857142857143" style="1" customWidth="1"/>
    <col min="15875" max="15875" width="7.85714285714286" style="1" customWidth="1"/>
    <col min="15876" max="15876" width="37.8571428571429" style="1" customWidth="1"/>
    <col min="15877" max="15877" width="9.14285714285714" style="1"/>
    <col min="15878" max="15879" width="14.8571428571429" style="1" customWidth="1"/>
    <col min="15880" max="15880" width="21.8571428571429" style="1" customWidth="1"/>
    <col min="15881" max="15881" width="21.2857142857143" style="1" customWidth="1"/>
    <col min="15882" max="15882" width="4" style="1" customWidth="1"/>
    <col min="15883" max="15883" width="9.14285714285714" style="1"/>
    <col min="15884" max="15884" width="19.5714285714286" style="1" customWidth="1"/>
    <col min="15885" max="16128" width="9.14285714285714" style="1"/>
    <col min="16129" max="16129" width="16.2857142857143" style="1" customWidth="1"/>
    <col min="16130" max="16130" width="7.42857142857143" style="1" customWidth="1"/>
    <col min="16131" max="16131" width="7.85714285714286" style="1" customWidth="1"/>
    <col min="16132" max="16132" width="37.8571428571429" style="1" customWidth="1"/>
    <col min="16133" max="16133" width="9.14285714285714" style="1"/>
    <col min="16134" max="16135" width="14.8571428571429" style="1" customWidth="1"/>
    <col min="16136" max="16136" width="21.8571428571429" style="1" customWidth="1"/>
    <col min="16137" max="16137" width="21.2857142857143" style="1" customWidth="1"/>
    <col min="16138" max="16138" width="4" style="1" customWidth="1"/>
    <col min="16139" max="16139" width="9.14285714285714" style="1"/>
    <col min="16140" max="16140" width="19.5714285714286" style="1" customWidth="1"/>
    <col min="16141" max="16384" width="9.14285714285714" style="1"/>
  </cols>
  <sheetData>
    <row r="1" ht="15.75" spans="1:9">
      <c r="A1" s="109" t="s">
        <v>148</v>
      </c>
      <c r="B1" s="109"/>
      <c r="C1" s="109"/>
      <c r="D1" s="109"/>
      <c r="E1" s="109"/>
      <c r="F1" s="109"/>
      <c r="G1" s="109"/>
      <c r="H1" s="109"/>
      <c r="I1" s="109"/>
    </row>
    <row r="2" spans="1:4">
      <c r="A2" s="110"/>
      <c r="B2" s="2"/>
      <c r="C2" s="110"/>
      <c r="D2" s="2"/>
    </row>
    <row r="3" ht="18" customHeight="1" spans="1:9">
      <c r="A3" s="111" t="s">
        <v>15</v>
      </c>
      <c r="B3" s="112"/>
      <c r="C3" s="113"/>
      <c r="D3" s="111" t="s">
        <v>149</v>
      </c>
      <c r="E3" s="112"/>
      <c r="F3" s="112"/>
      <c r="G3" s="112"/>
      <c r="H3" s="112"/>
      <c r="I3" s="112"/>
    </row>
    <row r="4" spans="1:4">
      <c r="A4" s="114" t="s">
        <v>150</v>
      </c>
      <c r="B4" s="2"/>
      <c r="C4" s="110"/>
      <c r="D4" s="114" t="s">
        <v>151</v>
      </c>
    </row>
    <row r="5" spans="1:4">
      <c r="A5" s="114" t="s">
        <v>152</v>
      </c>
      <c r="B5" s="2"/>
      <c r="C5" s="110"/>
      <c r="D5" s="114" t="s">
        <v>153</v>
      </c>
    </row>
    <row r="6" spans="1:4">
      <c r="A6" s="114"/>
      <c r="B6" s="2"/>
      <c r="C6" s="110"/>
      <c r="D6" s="114"/>
    </row>
    <row r="7" spans="1:9">
      <c r="A7" s="115"/>
      <c r="B7" s="115"/>
      <c r="C7" s="116"/>
      <c r="D7" s="117"/>
      <c r="E7" s="118"/>
      <c r="F7" s="119"/>
      <c r="G7" s="119"/>
      <c r="H7" s="120"/>
      <c r="I7" s="164"/>
    </row>
    <row r="8" spans="1:9">
      <c r="A8" s="121" t="s">
        <v>154</v>
      </c>
      <c r="B8" s="2"/>
      <c r="C8" s="122" t="s">
        <v>155</v>
      </c>
      <c r="D8" s="2"/>
      <c r="E8" s="2"/>
      <c r="F8" s="2"/>
      <c r="G8" s="2"/>
      <c r="H8" s="2"/>
      <c r="I8" s="2"/>
    </row>
    <row r="9" spans="2:9">
      <c r="B9" s="2"/>
      <c r="C9" s="123" t="s">
        <v>108</v>
      </c>
      <c r="D9" s="124" t="s">
        <v>109</v>
      </c>
      <c r="E9" s="124" t="s">
        <v>156</v>
      </c>
      <c r="F9" s="125" t="s">
        <v>157</v>
      </c>
      <c r="G9" s="125" t="s">
        <v>158</v>
      </c>
      <c r="H9" s="126" t="s">
        <v>159</v>
      </c>
      <c r="I9" s="165" t="s">
        <v>160</v>
      </c>
    </row>
    <row r="10" spans="2:9">
      <c r="B10" s="2"/>
      <c r="C10" s="127">
        <v>1</v>
      </c>
      <c r="D10" s="127">
        <v>2</v>
      </c>
      <c r="E10" s="127">
        <v>3</v>
      </c>
      <c r="F10" s="127">
        <v>4</v>
      </c>
      <c r="G10" s="127">
        <v>5</v>
      </c>
      <c r="H10" s="128">
        <v>6</v>
      </c>
      <c r="I10" s="127">
        <v>7</v>
      </c>
    </row>
    <row r="11" spans="2:9">
      <c r="B11" s="2"/>
      <c r="C11" s="129" t="s">
        <v>4</v>
      </c>
      <c r="D11" s="130" t="s">
        <v>161</v>
      </c>
      <c r="E11" s="130"/>
      <c r="F11" s="131"/>
      <c r="G11" s="132"/>
      <c r="H11" s="133"/>
      <c r="I11" s="166"/>
    </row>
    <row r="12" spans="2:9">
      <c r="B12" s="2"/>
      <c r="C12" s="134">
        <v>1</v>
      </c>
      <c r="D12" s="135" t="s">
        <v>162</v>
      </c>
      <c r="E12" s="136" t="s">
        <v>163</v>
      </c>
      <c r="F12" s="137" t="s">
        <v>164</v>
      </c>
      <c r="G12" s="138">
        <v>0.1</v>
      </c>
      <c r="H12" s="139">
        <f>'DAFTAR HARGA'!I15</f>
        <v>80000</v>
      </c>
      <c r="I12" s="167">
        <f>G12*H12</f>
        <v>8000</v>
      </c>
    </row>
    <row r="13" spans="2:9">
      <c r="B13" s="2"/>
      <c r="C13" s="134">
        <v>2</v>
      </c>
      <c r="D13" s="135" t="s">
        <v>165</v>
      </c>
      <c r="E13" s="136" t="s">
        <v>166</v>
      </c>
      <c r="F13" s="137" t="s">
        <v>164</v>
      </c>
      <c r="G13" s="138">
        <v>0.1</v>
      </c>
      <c r="H13" s="139">
        <f>'DAFTAR HARGA'!I14</f>
        <v>120000</v>
      </c>
      <c r="I13" s="167">
        <f>G13*H13</f>
        <v>12000</v>
      </c>
    </row>
    <row r="14" spans="2:9">
      <c r="B14" s="2"/>
      <c r="C14" s="134">
        <v>3</v>
      </c>
      <c r="D14" s="135" t="s">
        <v>167</v>
      </c>
      <c r="E14" s="136" t="s">
        <v>168</v>
      </c>
      <c r="F14" s="137" t="s">
        <v>164</v>
      </c>
      <c r="G14" s="138">
        <v>0.01</v>
      </c>
      <c r="H14" s="139">
        <f>'DAFTAR HARGA'!I13</f>
        <v>157500</v>
      </c>
      <c r="I14" s="167">
        <f>G14*H14</f>
        <v>1575</v>
      </c>
    </row>
    <row r="15" spans="2:9">
      <c r="B15" s="2"/>
      <c r="C15" s="140">
        <v>4</v>
      </c>
      <c r="D15" s="141" t="s">
        <v>169</v>
      </c>
      <c r="E15" s="142" t="s">
        <v>170</v>
      </c>
      <c r="F15" s="137" t="s">
        <v>164</v>
      </c>
      <c r="G15" s="143">
        <v>0.005</v>
      </c>
      <c r="H15" s="144">
        <f>'DAFTAR HARGA'!I8</f>
        <v>215000</v>
      </c>
      <c r="I15" s="167">
        <f>G15*H15</f>
        <v>1075</v>
      </c>
    </row>
    <row r="16" spans="2:9">
      <c r="B16" s="2"/>
      <c r="C16" s="145" t="s">
        <v>171</v>
      </c>
      <c r="D16" s="146"/>
      <c r="E16" s="146"/>
      <c r="F16" s="146"/>
      <c r="G16" s="146"/>
      <c r="H16" s="146"/>
      <c r="I16" s="168">
        <f>SUM(I12:I15)</f>
        <v>22650</v>
      </c>
    </row>
    <row r="17" spans="2:9">
      <c r="B17" s="2"/>
      <c r="C17" s="147" t="s">
        <v>172</v>
      </c>
      <c r="D17" s="130" t="s">
        <v>173</v>
      </c>
      <c r="E17" s="148"/>
      <c r="F17" s="132"/>
      <c r="G17" s="132"/>
      <c r="H17" s="131"/>
      <c r="I17" s="166"/>
    </row>
    <row r="18" spans="2:9">
      <c r="B18" s="2"/>
      <c r="C18" s="134">
        <v>1</v>
      </c>
      <c r="D18" s="135" t="s">
        <v>174</v>
      </c>
      <c r="E18" s="136"/>
      <c r="F18" s="137" t="s">
        <v>121</v>
      </c>
      <c r="G18" s="138">
        <v>0.012</v>
      </c>
      <c r="H18" s="149">
        <f>'DAFTAR HARGA'!I43</f>
        <v>1000000</v>
      </c>
      <c r="I18" s="167">
        <f>G18*H18</f>
        <v>12000</v>
      </c>
    </row>
    <row r="19" spans="2:9">
      <c r="B19" s="2"/>
      <c r="C19" s="134">
        <v>2</v>
      </c>
      <c r="D19" s="135" t="s">
        <v>175</v>
      </c>
      <c r="E19" s="136"/>
      <c r="F19" s="137" t="s">
        <v>176</v>
      </c>
      <c r="G19" s="138">
        <v>0.02</v>
      </c>
      <c r="H19" s="149">
        <f>'DAFTAR HARGA'!I97</f>
        <v>12000</v>
      </c>
      <c r="I19" s="167">
        <f>G19*H19</f>
        <v>240</v>
      </c>
    </row>
    <row r="20" spans="2:9">
      <c r="B20" s="2"/>
      <c r="C20" s="140">
        <v>3</v>
      </c>
      <c r="D20" s="141" t="s">
        <v>177</v>
      </c>
      <c r="E20" s="142"/>
      <c r="F20" s="150" t="s">
        <v>121</v>
      </c>
      <c r="G20" s="143">
        <v>0.007</v>
      </c>
      <c r="H20" s="151">
        <f>'DAFTAR HARGA'!I107</f>
        <v>1400000</v>
      </c>
      <c r="I20" s="167">
        <f>G20*H20</f>
        <v>9800</v>
      </c>
    </row>
    <row r="21" spans="2:9">
      <c r="B21" s="2"/>
      <c r="C21" s="152" t="s">
        <v>178</v>
      </c>
      <c r="D21" s="153"/>
      <c r="E21" s="153"/>
      <c r="F21" s="153"/>
      <c r="G21" s="153"/>
      <c r="H21" s="153"/>
      <c r="I21" s="169">
        <f>SUM(I18:I20)</f>
        <v>22040</v>
      </c>
    </row>
    <row r="22" spans="2:9">
      <c r="B22" s="2"/>
      <c r="C22" s="147" t="s">
        <v>179</v>
      </c>
      <c r="D22" s="130" t="s">
        <v>180</v>
      </c>
      <c r="E22" s="148"/>
      <c r="F22" s="132"/>
      <c r="G22" s="132"/>
      <c r="H22" s="133"/>
      <c r="I22" s="166"/>
    </row>
    <row r="23" spans="2:9">
      <c r="B23" s="2"/>
      <c r="C23" s="140"/>
      <c r="D23" s="141"/>
      <c r="E23" s="142"/>
      <c r="F23" s="150"/>
      <c r="G23" s="154"/>
      <c r="H23" s="144"/>
      <c r="I23" s="170"/>
    </row>
    <row r="24" spans="2:9">
      <c r="B24" s="2"/>
      <c r="C24" s="152" t="s">
        <v>181</v>
      </c>
      <c r="D24" s="153"/>
      <c r="E24" s="153"/>
      <c r="F24" s="153"/>
      <c r="G24" s="153"/>
      <c r="H24" s="153"/>
      <c r="I24" s="171">
        <f>SUM(I23)</f>
        <v>0</v>
      </c>
    </row>
    <row r="25" spans="2:9">
      <c r="B25" s="2"/>
      <c r="C25" s="127" t="s">
        <v>182</v>
      </c>
      <c r="D25" s="155" t="s">
        <v>183</v>
      </c>
      <c r="E25" s="156"/>
      <c r="F25" s="157"/>
      <c r="G25" s="157"/>
      <c r="H25" s="158"/>
      <c r="I25" s="171">
        <f>SUM(I16,I21,I24)</f>
        <v>44690</v>
      </c>
    </row>
    <row r="26" spans="2:9">
      <c r="B26" s="2"/>
      <c r="C26" s="127" t="s">
        <v>184</v>
      </c>
      <c r="D26" s="155" t="s">
        <v>185</v>
      </c>
      <c r="E26" s="156"/>
      <c r="F26" s="159">
        <v>0.15</v>
      </c>
      <c r="G26" s="157" t="s">
        <v>186</v>
      </c>
      <c r="H26" s="158"/>
      <c r="I26" s="171">
        <f>I25*F26</f>
        <v>6703.5</v>
      </c>
    </row>
    <row r="27" spans="2:12">
      <c r="B27" s="2"/>
      <c r="C27" s="160" t="s">
        <v>187</v>
      </c>
      <c r="D27" s="161" t="s">
        <v>188</v>
      </c>
      <c r="E27" s="124"/>
      <c r="F27" s="125"/>
      <c r="G27" s="125"/>
      <c r="H27" s="162"/>
      <c r="I27" s="172">
        <f>SUM(I25:I26)</f>
        <v>51393.5</v>
      </c>
      <c r="L27" s="172">
        <v>136035.8</v>
      </c>
    </row>
    <row r="28" spans="1:4">
      <c r="A28" s="114"/>
      <c r="B28" s="2"/>
      <c r="C28" s="110"/>
      <c r="D28" s="114"/>
    </row>
    <row r="29" spans="1:9">
      <c r="A29" s="121" t="s">
        <v>189</v>
      </c>
      <c r="B29" s="2"/>
      <c r="C29" s="122" t="s">
        <v>190</v>
      </c>
      <c r="D29" s="2"/>
      <c r="E29" s="2"/>
      <c r="F29" s="2"/>
      <c r="G29" s="2"/>
      <c r="H29" s="2"/>
      <c r="I29" s="2"/>
    </row>
    <row r="30" spans="2:9">
      <c r="B30" s="2"/>
      <c r="C30" s="123" t="s">
        <v>108</v>
      </c>
      <c r="D30" s="124" t="s">
        <v>109</v>
      </c>
      <c r="E30" s="124" t="s">
        <v>156</v>
      </c>
      <c r="F30" s="125" t="s">
        <v>157</v>
      </c>
      <c r="G30" s="125" t="s">
        <v>158</v>
      </c>
      <c r="H30" s="126" t="s">
        <v>159</v>
      </c>
      <c r="I30" s="165" t="s">
        <v>160</v>
      </c>
    </row>
    <row r="31" spans="2:9">
      <c r="B31" s="2"/>
      <c r="C31" s="127">
        <v>1</v>
      </c>
      <c r="D31" s="127">
        <v>2</v>
      </c>
      <c r="E31" s="127">
        <v>3</v>
      </c>
      <c r="F31" s="127">
        <v>4</v>
      </c>
      <c r="G31" s="127">
        <v>5</v>
      </c>
      <c r="H31" s="128">
        <v>6</v>
      </c>
      <c r="I31" s="127">
        <v>7</v>
      </c>
    </row>
    <row r="32" spans="2:9">
      <c r="B32" s="2"/>
      <c r="C32" s="129" t="s">
        <v>4</v>
      </c>
      <c r="D32" s="130" t="s">
        <v>161</v>
      </c>
      <c r="E32" s="130"/>
      <c r="F32" s="131"/>
      <c r="G32" s="132"/>
      <c r="H32" s="133"/>
      <c r="I32" s="166"/>
    </row>
    <row r="33" spans="2:9">
      <c r="B33" s="2"/>
      <c r="C33" s="134">
        <v>1</v>
      </c>
      <c r="D33" s="135" t="s">
        <v>162</v>
      </c>
      <c r="E33" s="136" t="s">
        <v>163</v>
      </c>
      <c r="F33" s="137" t="s">
        <v>164</v>
      </c>
      <c r="G33" s="138">
        <v>0.75</v>
      </c>
      <c r="H33" s="139">
        <f>'DAFTAR HARGA'!I15</f>
        <v>80000</v>
      </c>
      <c r="I33" s="167">
        <f>G33*H33</f>
        <v>60000</v>
      </c>
    </row>
    <row r="34" spans="2:9">
      <c r="B34" s="2"/>
      <c r="C34" s="134">
        <v>2</v>
      </c>
      <c r="D34" s="135" t="s">
        <v>191</v>
      </c>
      <c r="E34" s="136" t="s">
        <v>166</v>
      </c>
      <c r="F34" s="137" t="s">
        <v>164</v>
      </c>
      <c r="G34" s="138">
        <v>0.025</v>
      </c>
      <c r="H34" s="139">
        <f>'DAFTAR HARGA'!I9</f>
        <v>120000</v>
      </c>
      <c r="I34" s="167">
        <f>G34*H34</f>
        <v>3000</v>
      </c>
    </row>
    <row r="35" spans="2:9">
      <c r="B35" s="2"/>
      <c r="C35" s="145" t="s">
        <v>171</v>
      </c>
      <c r="D35" s="146"/>
      <c r="E35" s="146"/>
      <c r="F35" s="146"/>
      <c r="G35" s="146"/>
      <c r="H35" s="146"/>
      <c r="I35" s="168">
        <f>SUM(I33:I34)</f>
        <v>63000</v>
      </c>
    </row>
    <row r="36" spans="2:9">
      <c r="B36" s="2"/>
      <c r="C36" s="147" t="s">
        <v>172</v>
      </c>
      <c r="D36" s="130" t="s">
        <v>173</v>
      </c>
      <c r="E36" s="148"/>
      <c r="F36" s="132"/>
      <c r="G36" s="132"/>
      <c r="H36" s="131"/>
      <c r="I36" s="166"/>
    </row>
    <row r="37" spans="2:9">
      <c r="B37" s="2"/>
      <c r="C37" s="152" t="s">
        <v>178</v>
      </c>
      <c r="D37" s="153"/>
      <c r="E37" s="153"/>
      <c r="F37" s="153"/>
      <c r="G37" s="153"/>
      <c r="H37" s="153"/>
      <c r="I37" s="171">
        <f>SUM(I36)</f>
        <v>0</v>
      </c>
    </row>
    <row r="38" spans="2:9">
      <c r="B38" s="2"/>
      <c r="C38" s="147" t="s">
        <v>179</v>
      </c>
      <c r="D38" s="130" t="s">
        <v>180</v>
      </c>
      <c r="E38" s="148"/>
      <c r="F38" s="132"/>
      <c r="G38" s="132"/>
      <c r="H38" s="133"/>
      <c r="I38" s="166"/>
    </row>
    <row r="39" spans="2:9">
      <c r="B39" s="2"/>
      <c r="C39" s="140"/>
      <c r="D39" s="141"/>
      <c r="E39" s="142"/>
      <c r="F39" s="150"/>
      <c r="G39" s="154"/>
      <c r="H39" s="144"/>
      <c r="I39" s="170"/>
    </row>
    <row r="40" spans="2:9">
      <c r="B40" s="2"/>
      <c r="C40" s="152" t="s">
        <v>181</v>
      </c>
      <c r="D40" s="153"/>
      <c r="E40" s="153"/>
      <c r="F40" s="153"/>
      <c r="G40" s="153"/>
      <c r="H40" s="153"/>
      <c r="I40" s="171">
        <f>SUM(I39)</f>
        <v>0</v>
      </c>
    </row>
    <row r="41" spans="2:9">
      <c r="B41" s="2"/>
      <c r="C41" s="127" t="s">
        <v>182</v>
      </c>
      <c r="D41" s="155" t="s">
        <v>183</v>
      </c>
      <c r="E41" s="156"/>
      <c r="F41" s="157"/>
      <c r="G41" s="157"/>
      <c r="H41" s="158"/>
      <c r="I41" s="171">
        <f>SUM(I35,I37,I40)</f>
        <v>63000</v>
      </c>
    </row>
    <row r="42" spans="2:9">
      <c r="B42" s="2"/>
      <c r="C42" s="127" t="s">
        <v>184</v>
      </c>
      <c r="D42" s="155" t="s">
        <v>185</v>
      </c>
      <c r="E42" s="156"/>
      <c r="F42" s="159">
        <v>0.15</v>
      </c>
      <c r="G42" s="157" t="s">
        <v>186</v>
      </c>
      <c r="H42" s="158"/>
      <c r="I42" s="171">
        <f>I41*F42</f>
        <v>9450</v>
      </c>
    </row>
    <row r="43" spans="2:9">
      <c r="B43" s="2"/>
      <c r="C43" s="160" t="s">
        <v>187</v>
      </c>
      <c r="D43" s="161" t="s">
        <v>188</v>
      </c>
      <c r="E43" s="124"/>
      <c r="F43" s="125"/>
      <c r="G43" s="125"/>
      <c r="H43" s="162"/>
      <c r="I43" s="172">
        <f>SUM(I41:I42)</f>
        <v>72450</v>
      </c>
    </row>
    <row r="44" spans="1:9">
      <c r="A44" s="121" t="s">
        <v>192</v>
      </c>
      <c r="B44" s="2"/>
      <c r="C44" s="122" t="s">
        <v>193</v>
      </c>
      <c r="D44" s="2"/>
      <c r="E44" s="2"/>
      <c r="F44" s="2"/>
      <c r="G44" s="2"/>
      <c r="H44" s="2"/>
      <c r="I44" s="2"/>
    </row>
    <row r="45" spans="1:9">
      <c r="A45" s="121"/>
      <c r="B45" s="2"/>
      <c r="C45" s="163" t="s">
        <v>194</v>
      </c>
      <c r="D45" s="2"/>
      <c r="E45" s="2"/>
      <c r="F45" s="2"/>
      <c r="G45" s="2"/>
      <c r="H45" s="2"/>
      <c r="I45" s="2"/>
    </row>
    <row r="46" spans="2:9">
      <c r="B46" s="2"/>
      <c r="C46" s="123" t="s">
        <v>108</v>
      </c>
      <c r="D46" s="124" t="s">
        <v>109</v>
      </c>
      <c r="E46" s="124" t="s">
        <v>156</v>
      </c>
      <c r="F46" s="125" t="s">
        <v>157</v>
      </c>
      <c r="G46" s="125" t="s">
        <v>158</v>
      </c>
      <c r="H46" s="126" t="s">
        <v>159</v>
      </c>
      <c r="I46" s="165" t="s">
        <v>160</v>
      </c>
    </row>
    <row r="47" spans="2:9">
      <c r="B47" s="2"/>
      <c r="C47" s="127">
        <v>1</v>
      </c>
      <c r="D47" s="127">
        <v>2</v>
      </c>
      <c r="E47" s="127">
        <v>3</v>
      </c>
      <c r="F47" s="127">
        <v>4</v>
      </c>
      <c r="G47" s="127">
        <v>5</v>
      </c>
      <c r="H47" s="128">
        <v>6</v>
      </c>
      <c r="I47" s="127">
        <v>7</v>
      </c>
    </row>
    <row r="48" spans="2:9">
      <c r="B48" s="2"/>
      <c r="C48" s="129" t="s">
        <v>4</v>
      </c>
      <c r="D48" s="130" t="s">
        <v>161</v>
      </c>
      <c r="E48" s="130"/>
      <c r="F48" s="131"/>
      <c r="G48" s="132"/>
      <c r="H48" s="133"/>
      <c r="I48" s="166"/>
    </row>
    <row r="49" spans="2:9">
      <c r="B49" s="2"/>
      <c r="C49" s="134">
        <v>1</v>
      </c>
      <c r="D49" s="135" t="s">
        <v>162</v>
      </c>
      <c r="E49" s="136" t="s">
        <v>163</v>
      </c>
      <c r="F49" s="137" t="s">
        <v>164</v>
      </c>
      <c r="G49" s="138">
        <v>0.5</v>
      </c>
      <c r="H49" s="139">
        <f>H33</f>
        <v>80000</v>
      </c>
      <c r="I49" s="167">
        <f>G49*H49</f>
        <v>40000</v>
      </c>
    </row>
    <row r="50" spans="2:9">
      <c r="B50" s="2"/>
      <c r="C50" s="134">
        <v>2</v>
      </c>
      <c r="D50" s="135" t="s">
        <v>191</v>
      </c>
      <c r="E50" s="136" t="s">
        <v>166</v>
      </c>
      <c r="F50" s="137" t="s">
        <v>164</v>
      </c>
      <c r="G50" s="138">
        <v>0.05</v>
      </c>
      <c r="H50" s="139">
        <f>H34</f>
        <v>120000</v>
      </c>
      <c r="I50" s="167">
        <f>G50*H50</f>
        <v>6000</v>
      </c>
    </row>
    <row r="51" spans="2:9">
      <c r="B51" s="2"/>
      <c r="C51" s="145" t="s">
        <v>171</v>
      </c>
      <c r="D51" s="146"/>
      <c r="E51" s="146"/>
      <c r="F51" s="146"/>
      <c r="G51" s="146"/>
      <c r="H51" s="146"/>
      <c r="I51" s="168">
        <f>SUM(I49:I50)</f>
        <v>46000</v>
      </c>
    </row>
    <row r="52" spans="2:9">
      <c r="B52" s="2"/>
      <c r="C52" s="147" t="s">
        <v>172</v>
      </c>
      <c r="D52" s="130" t="s">
        <v>173</v>
      </c>
      <c r="E52" s="148"/>
      <c r="F52" s="132"/>
      <c r="G52" s="132"/>
      <c r="H52" s="131"/>
      <c r="I52" s="166"/>
    </row>
    <row r="53" spans="2:9">
      <c r="B53" s="2"/>
      <c r="C53" s="152" t="s">
        <v>178</v>
      </c>
      <c r="D53" s="153"/>
      <c r="E53" s="153"/>
      <c r="F53" s="153"/>
      <c r="G53" s="153"/>
      <c r="H53" s="153"/>
      <c r="I53" s="171">
        <f>SUM(I52)</f>
        <v>0</v>
      </c>
    </row>
    <row r="54" spans="2:9">
      <c r="B54" s="2"/>
      <c r="C54" s="147" t="s">
        <v>179</v>
      </c>
      <c r="D54" s="130" t="s">
        <v>180</v>
      </c>
      <c r="E54" s="148"/>
      <c r="F54" s="132"/>
      <c r="G54" s="132"/>
      <c r="H54" s="133"/>
      <c r="I54" s="166"/>
    </row>
    <row r="55" spans="2:9">
      <c r="B55" s="2"/>
      <c r="C55" s="140"/>
      <c r="D55" s="141"/>
      <c r="E55" s="142"/>
      <c r="F55" s="150"/>
      <c r="G55" s="154"/>
      <c r="H55" s="144"/>
      <c r="I55" s="170"/>
    </row>
    <row r="56" spans="2:9">
      <c r="B56" s="2"/>
      <c r="C56" s="152" t="s">
        <v>181</v>
      </c>
      <c r="D56" s="153"/>
      <c r="E56" s="153"/>
      <c r="F56" s="153"/>
      <c r="G56" s="153"/>
      <c r="H56" s="153"/>
      <c r="I56" s="171">
        <f>SUM(I55)</f>
        <v>0</v>
      </c>
    </row>
    <row r="57" spans="2:9">
      <c r="B57" s="2"/>
      <c r="C57" s="127" t="s">
        <v>182</v>
      </c>
      <c r="D57" s="155" t="s">
        <v>183</v>
      </c>
      <c r="E57" s="156"/>
      <c r="F57" s="157"/>
      <c r="G57" s="157"/>
      <c r="H57" s="158"/>
      <c r="I57" s="171">
        <f>SUM(I51,I53,I56)</f>
        <v>46000</v>
      </c>
    </row>
    <row r="58" spans="2:9">
      <c r="B58" s="2"/>
      <c r="C58" s="127" t="s">
        <v>184</v>
      </c>
      <c r="D58" s="155" t="s">
        <v>185</v>
      </c>
      <c r="E58" s="156"/>
      <c r="F58" s="159">
        <v>0.15</v>
      </c>
      <c r="G58" s="157" t="s">
        <v>186</v>
      </c>
      <c r="H58" s="158"/>
      <c r="I58" s="171">
        <f>I57*F58</f>
        <v>6900</v>
      </c>
    </row>
    <row r="59" spans="2:9">
      <c r="B59" s="2"/>
      <c r="C59" s="160" t="s">
        <v>187</v>
      </c>
      <c r="D59" s="161" t="s">
        <v>188</v>
      </c>
      <c r="E59" s="124"/>
      <c r="F59" s="125"/>
      <c r="G59" s="125"/>
      <c r="H59" s="162"/>
      <c r="I59" s="172">
        <f>SUM(I57:I58)</f>
        <v>52900</v>
      </c>
    </row>
    <row r="60" spans="1:9">
      <c r="A60" s="110"/>
      <c r="B60" s="2"/>
      <c r="C60" s="2"/>
      <c r="D60" s="2"/>
      <c r="E60" s="2"/>
      <c r="F60" s="2"/>
      <c r="G60" s="2"/>
      <c r="H60" s="2"/>
      <c r="I60" s="173"/>
    </row>
    <row r="61" spans="1:9">
      <c r="A61" s="110"/>
      <c r="B61" s="2"/>
      <c r="C61" s="2"/>
      <c r="D61" s="2"/>
      <c r="E61" s="2"/>
      <c r="F61" s="2"/>
      <c r="G61" s="2"/>
      <c r="H61" s="2"/>
      <c r="I61" s="173"/>
    </row>
    <row r="62" spans="1:9">
      <c r="A62" s="121" t="s">
        <v>195</v>
      </c>
      <c r="B62" s="2"/>
      <c r="C62" s="122" t="s">
        <v>196</v>
      </c>
      <c r="D62" s="2"/>
      <c r="E62" s="2"/>
      <c r="F62" s="2"/>
      <c r="G62" s="2"/>
      <c r="H62" s="2"/>
      <c r="I62" s="2"/>
    </row>
    <row r="63" spans="2:9">
      <c r="B63" s="2"/>
      <c r="C63" s="123" t="s">
        <v>108</v>
      </c>
      <c r="D63" s="124" t="s">
        <v>109</v>
      </c>
      <c r="E63" s="124" t="s">
        <v>156</v>
      </c>
      <c r="F63" s="125" t="s">
        <v>157</v>
      </c>
      <c r="G63" s="125" t="s">
        <v>158</v>
      </c>
      <c r="H63" s="126" t="s">
        <v>159</v>
      </c>
      <c r="I63" s="165" t="s">
        <v>160</v>
      </c>
    </row>
    <row r="64" spans="2:9">
      <c r="B64" s="2"/>
      <c r="C64" s="127">
        <v>1</v>
      </c>
      <c r="D64" s="127">
        <v>2</v>
      </c>
      <c r="E64" s="127">
        <v>3</v>
      </c>
      <c r="F64" s="127">
        <v>4</v>
      </c>
      <c r="G64" s="127">
        <v>5</v>
      </c>
      <c r="H64" s="128">
        <v>6</v>
      </c>
      <c r="I64" s="127">
        <v>7</v>
      </c>
    </row>
    <row r="65" spans="2:9">
      <c r="B65" s="2"/>
      <c r="C65" s="129" t="s">
        <v>4</v>
      </c>
      <c r="D65" s="130" t="s">
        <v>161</v>
      </c>
      <c r="E65" s="130"/>
      <c r="F65" s="131"/>
      <c r="G65" s="132"/>
      <c r="H65" s="133"/>
      <c r="I65" s="166"/>
    </row>
    <row r="66" spans="2:9">
      <c r="B66" s="2"/>
      <c r="C66" s="134">
        <v>1</v>
      </c>
      <c r="D66" s="135" t="s">
        <v>162</v>
      </c>
      <c r="E66" s="136" t="s">
        <v>163</v>
      </c>
      <c r="F66" s="137" t="s">
        <v>164</v>
      </c>
      <c r="G66" s="138">
        <v>0.3</v>
      </c>
      <c r="H66" s="139">
        <f>H49</f>
        <v>80000</v>
      </c>
      <c r="I66" s="167">
        <f>G66*H66</f>
        <v>24000</v>
      </c>
    </row>
    <row r="67" spans="2:9">
      <c r="B67" s="2"/>
      <c r="C67" s="134">
        <v>2</v>
      </c>
      <c r="D67" s="135" t="s">
        <v>191</v>
      </c>
      <c r="E67" s="136" t="s">
        <v>166</v>
      </c>
      <c r="F67" s="137" t="s">
        <v>164</v>
      </c>
      <c r="G67" s="138">
        <v>0.01</v>
      </c>
      <c r="H67" s="139">
        <f>H50</f>
        <v>120000</v>
      </c>
      <c r="I67" s="167">
        <f>G67*H67</f>
        <v>1200</v>
      </c>
    </row>
    <row r="68" spans="2:9">
      <c r="B68" s="2"/>
      <c r="C68" s="145" t="s">
        <v>171</v>
      </c>
      <c r="D68" s="146"/>
      <c r="E68" s="146"/>
      <c r="F68" s="146"/>
      <c r="G68" s="146"/>
      <c r="H68" s="146"/>
      <c r="I68" s="168">
        <f>SUM(I66:I67)</f>
        <v>25200</v>
      </c>
    </row>
    <row r="69" spans="2:9">
      <c r="B69" s="2"/>
      <c r="C69" s="147" t="s">
        <v>172</v>
      </c>
      <c r="D69" s="130" t="s">
        <v>173</v>
      </c>
      <c r="E69" s="148"/>
      <c r="F69" s="132"/>
      <c r="G69" s="132"/>
      <c r="H69" s="131"/>
      <c r="I69" s="166"/>
    </row>
    <row r="70" spans="2:9">
      <c r="B70" s="2"/>
      <c r="C70" s="140">
        <v>1</v>
      </c>
      <c r="D70" s="141" t="s">
        <v>197</v>
      </c>
      <c r="E70" s="142"/>
      <c r="F70" s="150" t="s">
        <v>121</v>
      </c>
      <c r="G70" s="143">
        <v>1.2</v>
      </c>
      <c r="H70" s="151">
        <f>'DAFTAR HARGA'!I90</f>
        <v>66700</v>
      </c>
      <c r="I70" s="167">
        <f>G70*H70</f>
        <v>80040</v>
      </c>
    </row>
    <row r="71" spans="2:9">
      <c r="B71" s="2"/>
      <c r="C71" s="152" t="s">
        <v>178</v>
      </c>
      <c r="D71" s="153"/>
      <c r="E71" s="153"/>
      <c r="F71" s="153"/>
      <c r="G71" s="153"/>
      <c r="H71" s="153"/>
      <c r="I71" s="171">
        <f>SUM(I70)</f>
        <v>80040</v>
      </c>
    </row>
    <row r="72" spans="2:9">
      <c r="B72" s="2"/>
      <c r="C72" s="147" t="s">
        <v>179</v>
      </c>
      <c r="D72" s="130" t="s">
        <v>180</v>
      </c>
      <c r="E72" s="148"/>
      <c r="F72" s="132"/>
      <c r="G72" s="132"/>
      <c r="H72" s="133"/>
      <c r="I72" s="166"/>
    </row>
    <row r="73" spans="2:9">
      <c r="B73" s="2"/>
      <c r="C73" s="140"/>
      <c r="D73" s="141"/>
      <c r="E73" s="142"/>
      <c r="F73" s="150"/>
      <c r="G73" s="154"/>
      <c r="H73" s="144"/>
      <c r="I73" s="170"/>
    </row>
    <row r="74" spans="2:9">
      <c r="B74" s="2"/>
      <c r="C74" s="152" t="s">
        <v>181</v>
      </c>
      <c r="D74" s="153"/>
      <c r="E74" s="153"/>
      <c r="F74" s="153"/>
      <c r="G74" s="153"/>
      <c r="H74" s="153"/>
      <c r="I74" s="171">
        <f>SUM(I73)</f>
        <v>0</v>
      </c>
    </row>
    <row r="75" spans="2:9">
      <c r="B75" s="2"/>
      <c r="C75" s="127" t="s">
        <v>182</v>
      </c>
      <c r="D75" s="155" t="s">
        <v>183</v>
      </c>
      <c r="E75" s="156"/>
      <c r="F75" s="157"/>
      <c r="G75" s="157"/>
      <c r="H75" s="158"/>
      <c r="I75" s="171">
        <f>SUM(I68,I71,I74)</f>
        <v>105240</v>
      </c>
    </row>
    <row r="76" spans="2:9">
      <c r="B76" s="2"/>
      <c r="C76" s="127" t="s">
        <v>184</v>
      </c>
      <c r="D76" s="155" t="s">
        <v>185</v>
      </c>
      <c r="E76" s="156"/>
      <c r="F76" s="159">
        <v>0.15</v>
      </c>
      <c r="G76" s="157" t="s">
        <v>186</v>
      </c>
      <c r="H76" s="158"/>
      <c r="I76" s="171">
        <f>I75*F76</f>
        <v>15786</v>
      </c>
    </row>
    <row r="77" spans="2:9">
      <c r="B77" s="2"/>
      <c r="C77" s="160" t="s">
        <v>187</v>
      </c>
      <c r="D77" s="161" t="s">
        <v>188</v>
      </c>
      <c r="E77" s="124"/>
      <c r="F77" s="125"/>
      <c r="G77" s="125"/>
      <c r="H77" s="162"/>
      <c r="I77" s="172">
        <f>SUM(I75:I76)</f>
        <v>121026</v>
      </c>
    </row>
    <row r="78" spans="2:9">
      <c r="B78" s="2"/>
      <c r="C78" s="116"/>
      <c r="D78" s="117"/>
      <c r="E78" s="118"/>
      <c r="F78" s="119"/>
      <c r="G78" s="119"/>
      <c r="H78" s="120"/>
      <c r="I78" s="164"/>
    </row>
    <row r="79" spans="1:9">
      <c r="A79" s="121" t="s">
        <v>198</v>
      </c>
      <c r="B79" s="2"/>
      <c r="C79" s="122" t="s">
        <v>199</v>
      </c>
      <c r="D79" s="2"/>
      <c r="E79" s="2"/>
      <c r="F79" s="2"/>
      <c r="G79" s="2"/>
      <c r="H79" s="2"/>
      <c r="I79" s="2"/>
    </row>
    <row r="80" spans="2:9">
      <c r="B80" s="2"/>
      <c r="C80" s="123" t="s">
        <v>108</v>
      </c>
      <c r="D80" s="124" t="s">
        <v>109</v>
      </c>
      <c r="E80" s="124" t="s">
        <v>156</v>
      </c>
      <c r="F80" s="125" t="s">
        <v>157</v>
      </c>
      <c r="G80" s="125" t="s">
        <v>158</v>
      </c>
      <c r="H80" s="126" t="s">
        <v>159</v>
      </c>
      <c r="I80" s="165" t="s">
        <v>160</v>
      </c>
    </row>
    <row r="81" spans="2:9">
      <c r="B81" s="2"/>
      <c r="C81" s="127">
        <v>1</v>
      </c>
      <c r="D81" s="127">
        <v>2</v>
      </c>
      <c r="E81" s="127">
        <v>3</v>
      </c>
      <c r="F81" s="127">
        <v>4</v>
      </c>
      <c r="G81" s="127">
        <v>5</v>
      </c>
      <c r="H81" s="128">
        <v>6</v>
      </c>
      <c r="I81" s="127">
        <v>7</v>
      </c>
    </row>
    <row r="82" spans="2:9">
      <c r="B82" s="2"/>
      <c r="C82" s="129" t="s">
        <v>4</v>
      </c>
      <c r="D82" s="130" t="s">
        <v>161</v>
      </c>
      <c r="E82" s="130"/>
      <c r="F82" s="131"/>
      <c r="G82" s="132"/>
      <c r="H82" s="133"/>
      <c r="I82" s="166"/>
    </row>
    <row r="83" spans="2:9">
      <c r="B83" s="2"/>
      <c r="C83" s="134">
        <v>1</v>
      </c>
      <c r="D83" s="135" t="s">
        <v>162</v>
      </c>
      <c r="E83" s="136" t="s">
        <v>163</v>
      </c>
      <c r="F83" s="137" t="s">
        <v>164</v>
      </c>
      <c r="G83" s="138">
        <v>0.3</v>
      </c>
      <c r="H83" s="139">
        <f>H66</f>
        <v>80000</v>
      </c>
      <c r="I83" s="167">
        <f>G83*H83</f>
        <v>24000</v>
      </c>
    </row>
    <row r="84" spans="2:9">
      <c r="B84" s="2"/>
      <c r="C84" s="134">
        <v>2</v>
      </c>
      <c r="D84" s="135" t="s">
        <v>191</v>
      </c>
      <c r="E84" s="136" t="s">
        <v>166</v>
      </c>
      <c r="F84" s="137" t="s">
        <v>164</v>
      </c>
      <c r="G84" s="138">
        <v>0.01</v>
      </c>
      <c r="H84" s="139">
        <f>H67</f>
        <v>120000</v>
      </c>
      <c r="I84" s="167">
        <f>G84*H84</f>
        <v>1200</v>
      </c>
    </row>
    <row r="85" spans="2:9">
      <c r="B85" s="2"/>
      <c r="C85" s="145" t="s">
        <v>171</v>
      </c>
      <c r="D85" s="146"/>
      <c r="E85" s="146"/>
      <c r="F85" s="146"/>
      <c r="G85" s="146"/>
      <c r="H85" s="146"/>
      <c r="I85" s="168">
        <f>SUM(I83:I84)</f>
        <v>25200</v>
      </c>
    </row>
    <row r="86" spans="2:9">
      <c r="B86" s="2"/>
      <c r="C86" s="147" t="s">
        <v>172</v>
      </c>
      <c r="D86" s="130" t="s">
        <v>173</v>
      </c>
      <c r="E86" s="148"/>
      <c r="F86" s="132"/>
      <c r="G86" s="132"/>
      <c r="H86" s="131"/>
      <c r="I86" s="166"/>
    </row>
    <row r="87" spans="2:9">
      <c r="B87" s="2"/>
      <c r="C87" s="140">
        <v>1</v>
      </c>
      <c r="D87" s="141" t="s">
        <v>200</v>
      </c>
      <c r="E87" s="142"/>
      <c r="F87" s="150" t="s">
        <v>121</v>
      </c>
      <c r="G87" s="143">
        <v>1.2</v>
      </c>
      <c r="H87" s="151">
        <f>'DAFTAR HARGA'!I124</f>
        <v>102800</v>
      </c>
      <c r="I87" s="167">
        <f>G87*H87</f>
        <v>123360</v>
      </c>
    </row>
    <row r="88" spans="2:9">
      <c r="B88" s="2"/>
      <c r="C88" s="152" t="s">
        <v>178</v>
      </c>
      <c r="D88" s="153"/>
      <c r="E88" s="153"/>
      <c r="F88" s="153"/>
      <c r="G88" s="153"/>
      <c r="H88" s="153"/>
      <c r="I88" s="171">
        <f>SUM(I87)</f>
        <v>123360</v>
      </c>
    </row>
    <row r="89" spans="2:9">
      <c r="B89" s="2"/>
      <c r="C89" s="147" t="s">
        <v>179</v>
      </c>
      <c r="D89" s="130" t="s">
        <v>180</v>
      </c>
      <c r="E89" s="148"/>
      <c r="F89" s="132"/>
      <c r="G89" s="132"/>
      <c r="H89" s="133"/>
      <c r="I89" s="166"/>
    </row>
    <row r="90" spans="2:9">
      <c r="B90" s="2"/>
      <c r="C90" s="140"/>
      <c r="D90" s="141"/>
      <c r="E90" s="142"/>
      <c r="F90" s="150"/>
      <c r="G90" s="154"/>
      <c r="H90" s="144"/>
      <c r="I90" s="170"/>
    </row>
    <row r="91" spans="2:9">
      <c r="B91" s="2"/>
      <c r="C91" s="152" t="s">
        <v>181</v>
      </c>
      <c r="D91" s="153"/>
      <c r="E91" s="153"/>
      <c r="F91" s="153"/>
      <c r="G91" s="153"/>
      <c r="H91" s="153"/>
      <c r="I91" s="171">
        <f>SUM(I90)</f>
        <v>0</v>
      </c>
    </row>
    <row r="92" spans="2:9">
      <c r="B92" s="2"/>
      <c r="C92" s="127" t="s">
        <v>182</v>
      </c>
      <c r="D92" s="155" t="s">
        <v>183</v>
      </c>
      <c r="E92" s="156"/>
      <c r="F92" s="157"/>
      <c r="G92" s="157"/>
      <c r="H92" s="158"/>
      <c r="I92" s="171">
        <f>SUM(I85,I88,I91)</f>
        <v>148560</v>
      </c>
    </row>
    <row r="93" spans="2:9">
      <c r="B93" s="2"/>
      <c r="C93" s="127" t="s">
        <v>184</v>
      </c>
      <c r="D93" s="155" t="s">
        <v>185</v>
      </c>
      <c r="E93" s="156"/>
      <c r="F93" s="159">
        <v>0.15</v>
      </c>
      <c r="G93" s="157" t="s">
        <v>186</v>
      </c>
      <c r="H93" s="158"/>
      <c r="I93" s="171">
        <f>I92*F93</f>
        <v>22284</v>
      </c>
    </row>
    <row r="94" spans="2:9">
      <c r="B94" s="2"/>
      <c r="C94" s="160" t="s">
        <v>187</v>
      </c>
      <c r="D94" s="161" t="s">
        <v>188</v>
      </c>
      <c r="E94" s="124"/>
      <c r="F94" s="125"/>
      <c r="G94" s="125"/>
      <c r="H94" s="162"/>
      <c r="I94" s="172">
        <f>SUM(I92:I93)</f>
        <v>170844</v>
      </c>
    </row>
    <row r="95" spans="2:9">
      <c r="B95" s="2"/>
      <c r="C95" s="116"/>
      <c r="D95" s="117"/>
      <c r="E95" s="118"/>
      <c r="F95" s="119"/>
      <c r="G95" s="119"/>
      <c r="H95" s="120"/>
      <c r="I95" s="164"/>
    </row>
    <row r="96" spans="1:9">
      <c r="A96" s="118" t="s">
        <v>201</v>
      </c>
      <c r="B96" s="118"/>
      <c r="C96" s="174" t="s">
        <v>202</v>
      </c>
      <c r="D96" s="175"/>
      <c r="E96" s="175"/>
      <c r="F96" s="175"/>
      <c r="G96" s="175"/>
      <c r="H96" s="175"/>
      <c r="I96" s="178"/>
    </row>
    <row r="97" spans="1:9">
      <c r="A97" s="118"/>
      <c r="B97" s="118"/>
      <c r="C97" s="123" t="s">
        <v>108</v>
      </c>
      <c r="D97" s="124" t="s">
        <v>109</v>
      </c>
      <c r="E97" s="124" t="s">
        <v>156</v>
      </c>
      <c r="F97" s="125" t="s">
        <v>157</v>
      </c>
      <c r="G97" s="125" t="s">
        <v>158</v>
      </c>
      <c r="H97" s="126" t="s">
        <v>159</v>
      </c>
      <c r="I97" s="165" t="s">
        <v>160</v>
      </c>
    </row>
    <row r="98" spans="1:9">
      <c r="A98" s="118"/>
      <c r="B98" s="118"/>
      <c r="C98" s="127">
        <v>1</v>
      </c>
      <c r="D98" s="127">
        <v>2</v>
      </c>
      <c r="E98" s="127">
        <v>3</v>
      </c>
      <c r="F98" s="127">
        <v>4</v>
      </c>
      <c r="G98" s="127">
        <v>5</v>
      </c>
      <c r="H98" s="128">
        <v>6</v>
      </c>
      <c r="I98" s="127">
        <v>7</v>
      </c>
    </row>
    <row r="99" spans="1:9">
      <c r="A99" s="118"/>
      <c r="B99" s="118"/>
      <c r="C99" s="129" t="s">
        <v>4</v>
      </c>
      <c r="D99" s="130" t="s">
        <v>161</v>
      </c>
      <c r="E99" s="130"/>
      <c r="F99" s="131"/>
      <c r="G99" s="132"/>
      <c r="H99" s="133"/>
      <c r="I99" s="166"/>
    </row>
    <row r="100" spans="1:9">
      <c r="A100" s="118"/>
      <c r="B100" s="118"/>
      <c r="C100" s="134">
        <v>1</v>
      </c>
      <c r="D100" s="135" t="s">
        <v>162</v>
      </c>
      <c r="E100" s="136" t="s">
        <v>163</v>
      </c>
      <c r="F100" s="137" t="s">
        <v>164</v>
      </c>
      <c r="G100" s="138">
        <v>1.5</v>
      </c>
      <c r="H100" s="139">
        <f>'DAFTAR HARGA'!I12</f>
        <v>90000</v>
      </c>
      <c r="I100" s="167">
        <f>G100*H100</f>
        <v>135000</v>
      </c>
    </row>
    <row r="101" spans="1:9">
      <c r="A101" s="118"/>
      <c r="B101" s="118"/>
      <c r="C101" s="134">
        <v>2</v>
      </c>
      <c r="D101" s="135" t="s">
        <v>203</v>
      </c>
      <c r="E101" s="136" t="s">
        <v>166</v>
      </c>
      <c r="F101" s="137" t="s">
        <v>164</v>
      </c>
      <c r="G101" s="138">
        <v>0.75</v>
      </c>
      <c r="H101" s="139">
        <f>'DAFTAR HARGA'!I11</f>
        <v>120000</v>
      </c>
      <c r="I101" s="167">
        <f>G101*H101</f>
        <v>90000</v>
      </c>
    </row>
    <row r="102" spans="1:9">
      <c r="A102" s="118"/>
      <c r="B102" s="118"/>
      <c r="C102" s="134">
        <v>3</v>
      </c>
      <c r="D102" s="135" t="s">
        <v>204</v>
      </c>
      <c r="E102" s="136" t="s">
        <v>168</v>
      </c>
      <c r="F102" s="137" t="s">
        <v>164</v>
      </c>
      <c r="G102" s="138">
        <v>0.075</v>
      </c>
      <c r="H102" s="139">
        <f>'DAFTAR HARGA'!I10</f>
        <v>170000</v>
      </c>
      <c r="I102" s="167">
        <f>G102*H102</f>
        <v>12750</v>
      </c>
    </row>
    <row r="103" spans="1:9">
      <c r="A103" s="118"/>
      <c r="B103" s="118"/>
      <c r="C103" s="140">
        <v>4</v>
      </c>
      <c r="D103" s="141" t="s">
        <v>169</v>
      </c>
      <c r="E103" s="142" t="s">
        <v>170</v>
      </c>
      <c r="F103" s="137" t="s">
        <v>164</v>
      </c>
      <c r="G103" s="143">
        <v>0.075</v>
      </c>
      <c r="H103" s="144">
        <f>'DAFTAR HARGA'!I8</f>
        <v>215000</v>
      </c>
      <c r="I103" s="167">
        <f>G103*H103</f>
        <v>16125</v>
      </c>
    </row>
    <row r="104" spans="1:9">
      <c r="A104" s="118"/>
      <c r="B104" s="118"/>
      <c r="C104" s="145" t="s">
        <v>171</v>
      </c>
      <c r="D104" s="146"/>
      <c r="E104" s="146"/>
      <c r="F104" s="146"/>
      <c r="G104" s="146"/>
      <c r="H104" s="146"/>
      <c r="I104" s="168">
        <f>SUM(I100:I103)</f>
        <v>253875</v>
      </c>
    </row>
    <row r="105" spans="1:9">
      <c r="A105" s="118"/>
      <c r="B105" s="118"/>
      <c r="C105" s="147" t="s">
        <v>172</v>
      </c>
      <c r="D105" s="130" t="s">
        <v>173</v>
      </c>
      <c r="E105" s="148"/>
      <c r="F105" s="132"/>
      <c r="G105" s="132"/>
      <c r="H105" s="131"/>
      <c r="I105" s="166"/>
    </row>
    <row r="106" spans="1:9">
      <c r="A106" s="118"/>
      <c r="B106" s="118"/>
      <c r="C106" s="134">
        <v>1</v>
      </c>
      <c r="D106" s="135" t="s">
        <v>205</v>
      </c>
      <c r="E106" s="136"/>
      <c r="F106" s="137" t="s">
        <v>121</v>
      </c>
      <c r="G106" s="138">
        <v>1.2</v>
      </c>
      <c r="H106" s="149">
        <f>'DAFTAR HARGA'!I46</f>
        <v>380000</v>
      </c>
      <c r="I106" s="167">
        <f>G106*H106</f>
        <v>456000</v>
      </c>
    </row>
    <row r="107" spans="1:9">
      <c r="A107" s="118"/>
      <c r="B107" s="118"/>
      <c r="C107" s="134">
        <v>2</v>
      </c>
      <c r="D107" s="135" t="s">
        <v>206</v>
      </c>
      <c r="E107" s="136"/>
      <c r="F107" s="137" t="s">
        <v>176</v>
      </c>
      <c r="G107" s="138">
        <v>136</v>
      </c>
      <c r="H107" s="149">
        <f>'DAFTAR HARGA'!I128</f>
        <v>1200</v>
      </c>
      <c r="I107" s="167">
        <f>G107*H107</f>
        <v>163200</v>
      </c>
    </row>
    <row r="108" spans="1:9">
      <c r="A108" s="118"/>
      <c r="B108" s="118"/>
      <c r="C108" s="140">
        <v>3</v>
      </c>
      <c r="D108" s="141" t="s">
        <v>207</v>
      </c>
      <c r="E108" s="142"/>
      <c r="F108" s="150" t="s">
        <v>121</v>
      </c>
      <c r="G108" s="143">
        <v>0.544</v>
      </c>
      <c r="H108" s="151">
        <f>'DAFTAR HARGA'!I108</f>
        <v>84400</v>
      </c>
      <c r="I108" s="167">
        <f>G108*H108</f>
        <v>45913.6</v>
      </c>
    </row>
    <row r="109" spans="1:9">
      <c r="A109" s="118"/>
      <c r="B109" s="118"/>
      <c r="C109" s="152" t="s">
        <v>178</v>
      </c>
      <c r="D109" s="153"/>
      <c r="E109" s="153"/>
      <c r="F109" s="153"/>
      <c r="G109" s="153"/>
      <c r="H109" s="153"/>
      <c r="I109" s="169">
        <f>SUM(I106:I108)</f>
        <v>665113.6</v>
      </c>
    </row>
    <row r="110" spans="1:9">
      <c r="A110" s="115"/>
      <c r="B110" s="115"/>
      <c r="C110" s="147" t="s">
        <v>179</v>
      </c>
      <c r="D110" s="130" t="s">
        <v>180</v>
      </c>
      <c r="E110" s="148"/>
      <c r="F110" s="132"/>
      <c r="G110" s="132"/>
      <c r="H110" s="133"/>
      <c r="I110" s="166"/>
    </row>
    <row r="111" spans="1:9">
      <c r="A111" s="115"/>
      <c r="B111" s="115"/>
      <c r="C111" s="140"/>
      <c r="D111" s="141"/>
      <c r="E111" s="142"/>
      <c r="F111" s="150"/>
      <c r="G111" s="154"/>
      <c r="H111" s="144"/>
      <c r="I111" s="170"/>
    </row>
    <row r="112" spans="1:9">
      <c r="A112" s="115"/>
      <c r="B112" s="115"/>
      <c r="C112" s="152" t="s">
        <v>181</v>
      </c>
      <c r="D112" s="153"/>
      <c r="E112" s="153"/>
      <c r="F112" s="153"/>
      <c r="G112" s="153"/>
      <c r="H112" s="153"/>
      <c r="I112" s="171">
        <f>SUM(I111)</f>
        <v>0</v>
      </c>
    </row>
    <row r="113" spans="1:9">
      <c r="A113" s="115"/>
      <c r="B113" s="115"/>
      <c r="C113" s="127" t="s">
        <v>182</v>
      </c>
      <c r="D113" s="155" t="s">
        <v>183</v>
      </c>
      <c r="E113" s="156"/>
      <c r="F113" s="157"/>
      <c r="G113" s="157"/>
      <c r="H113" s="158"/>
      <c r="I113" s="171">
        <f>SUM(I104,I109,I112)</f>
        <v>918988.6</v>
      </c>
    </row>
    <row r="114" spans="1:9">
      <c r="A114" s="115"/>
      <c r="B114" s="115"/>
      <c r="C114" s="127" t="s">
        <v>184</v>
      </c>
      <c r="D114" s="155" t="s">
        <v>185</v>
      </c>
      <c r="E114" s="156"/>
      <c r="F114" s="159">
        <v>0.15</v>
      </c>
      <c r="G114" s="157" t="s">
        <v>186</v>
      </c>
      <c r="H114" s="158"/>
      <c r="I114" s="171">
        <f>I113*F114</f>
        <v>137848.29</v>
      </c>
    </row>
    <row r="115" spans="1:9">
      <c r="A115" s="115"/>
      <c r="B115" s="115"/>
      <c r="C115" s="160" t="s">
        <v>187</v>
      </c>
      <c r="D115" s="161" t="s">
        <v>188</v>
      </c>
      <c r="E115" s="124"/>
      <c r="F115" s="125"/>
      <c r="G115" s="125"/>
      <c r="H115" s="162"/>
      <c r="I115" s="172">
        <f>SUM(I113:I114)</f>
        <v>1056836.89</v>
      </c>
    </row>
    <row r="116" spans="1:9">
      <c r="A116" s="115"/>
      <c r="B116" s="115"/>
      <c r="C116" s="116"/>
      <c r="D116" s="117"/>
      <c r="E116" s="118"/>
      <c r="F116" s="119"/>
      <c r="G116" s="119"/>
      <c r="H116" s="120"/>
      <c r="I116" s="164"/>
    </row>
    <row r="117" spans="1:9">
      <c r="A117" s="110"/>
      <c r="B117" s="2"/>
      <c r="C117" s="176"/>
      <c r="D117" s="118"/>
      <c r="E117" s="118"/>
      <c r="F117" s="119"/>
      <c r="G117" s="119"/>
      <c r="H117" s="119"/>
      <c r="I117" s="179"/>
    </row>
    <row r="118" spans="1:9">
      <c r="A118" s="118" t="s">
        <v>208</v>
      </c>
      <c r="B118" s="2"/>
      <c r="C118" s="122" t="s">
        <v>209</v>
      </c>
      <c r="D118" s="2"/>
      <c r="E118" s="2"/>
      <c r="F118" s="2"/>
      <c r="G118" s="2"/>
      <c r="H118" s="2"/>
      <c r="I118" s="2"/>
    </row>
    <row r="119" spans="1:9">
      <c r="A119" s="110"/>
      <c r="B119" s="2"/>
      <c r="C119" s="123" t="s">
        <v>108</v>
      </c>
      <c r="D119" s="124" t="s">
        <v>109</v>
      </c>
      <c r="E119" s="124" t="s">
        <v>156</v>
      </c>
      <c r="F119" s="125" t="s">
        <v>157</v>
      </c>
      <c r="G119" s="125" t="s">
        <v>158</v>
      </c>
      <c r="H119" s="126" t="s">
        <v>159</v>
      </c>
      <c r="I119" s="165" t="s">
        <v>160</v>
      </c>
    </row>
    <row r="120" spans="1:9">
      <c r="A120" s="110"/>
      <c r="B120" s="2"/>
      <c r="C120" s="127">
        <v>1</v>
      </c>
      <c r="D120" s="127">
        <v>2</v>
      </c>
      <c r="E120" s="127">
        <v>3</v>
      </c>
      <c r="F120" s="127">
        <v>4</v>
      </c>
      <c r="G120" s="127">
        <v>5</v>
      </c>
      <c r="H120" s="128">
        <v>6</v>
      </c>
      <c r="I120" s="127">
        <v>7</v>
      </c>
    </row>
    <row r="121" spans="1:9">
      <c r="A121" s="110"/>
      <c r="B121" s="2"/>
      <c r="C121" s="129" t="s">
        <v>4</v>
      </c>
      <c r="D121" s="130" t="s">
        <v>161</v>
      </c>
      <c r="E121" s="130"/>
      <c r="F121" s="131"/>
      <c r="G121" s="132"/>
      <c r="H121" s="133"/>
      <c r="I121" s="166"/>
    </row>
    <row r="122" spans="1:9">
      <c r="A122" s="110"/>
      <c r="B122" s="2"/>
      <c r="C122" s="134">
        <v>1</v>
      </c>
      <c r="D122" s="135" t="s">
        <v>162</v>
      </c>
      <c r="E122" s="136" t="s">
        <v>163</v>
      </c>
      <c r="F122" s="137" t="s">
        <v>164</v>
      </c>
      <c r="G122" s="177">
        <v>0.018</v>
      </c>
      <c r="H122" s="139">
        <f>'DAFTAR HARGA'!I15</f>
        <v>80000</v>
      </c>
      <c r="I122" s="167">
        <f>G122*H122</f>
        <v>1440</v>
      </c>
    </row>
    <row r="123" spans="1:9">
      <c r="A123" s="110"/>
      <c r="B123" s="2"/>
      <c r="C123" s="134">
        <v>2</v>
      </c>
      <c r="D123" s="135" t="s">
        <v>165</v>
      </c>
      <c r="E123" s="136" t="s">
        <v>166</v>
      </c>
      <c r="F123" s="137" t="s">
        <v>164</v>
      </c>
      <c r="G123" s="177">
        <v>0.004</v>
      </c>
      <c r="H123" s="139">
        <f>'DAFTAR HARGA'!I14</f>
        <v>120000</v>
      </c>
      <c r="I123" s="167">
        <f>G123*H123</f>
        <v>480</v>
      </c>
    </row>
    <row r="124" spans="1:9">
      <c r="A124" s="110"/>
      <c r="B124" s="2"/>
      <c r="C124" s="134">
        <v>3</v>
      </c>
      <c r="D124" s="135" t="s">
        <v>167</v>
      </c>
      <c r="E124" s="136" t="s">
        <v>168</v>
      </c>
      <c r="F124" s="137" t="s">
        <v>164</v>
      </c>
      <c r="G124" s="177">
        <v>0.0001</v>
      </c>
      <c r="H124" s="139">
        <f>'DAFTAR HARGA'!I13</f>
        <v>157500</v>
      </c>
      <c r="I124" s="167">
        <f>G124*H124</f>
        <v>15.75</v>
      </c>
    </row>
    <row r="125" spans="1:9">
      <c r="A125" s="110"/>
      <c r="B125" s="2"/>
      <c r="C125" s="140">
        <v>4</v>
      </c>
      <c r="D125" s="141" t="s">
        <v>169</v>
      </c>
      <c r="E125" s="142" t="s">
        <v>170</v>
      </c>
      <c r="F125" s="137" t="s">
        <v>164</v>
      </c>
      <c r="G125" s="177">
        <v>0.005</v>
      </c>
      <c r="H125" s="144">
        <f>'DAFTAR HARGA'!I8</f>
        <v>215000</v>
      </c>
      <c r="I125" s="167">
        <f>G125*H125</f>
        <v>1075</v>
      </c>
    </row>
    <row r="126" spans="1:9">
      <c r="A126" s="110"/>
      <c r="B126" s="2"/>
      <c r="C126" s="145" t="s">
        <v>171</v>
      </c>
      <c r="D126" s="146"/>
      <c r="E126" s="146"/>
      <c r="F126" s="146"/>
      <c r="G126" s="146"/>
      <c r="H126" s="146"/>
      <c r="I126" s="168">
        <f>SUM(I122:I125)</f>
        <v>3010.75</v>
      </c>
    </row>
    <row r="127" spans="1:9">
      <c r="A127" s="110"/>
      <c r="B127" s="2"/>
      <c r="C127" s="147" t="s">
        <v>172</v>
      </c>
      <c r="D127" s="130" t="s">
        <v>173</v>
      </c>
      <c r="E127" s="148"/>
      <c r="F127" s="132"/>
      <c r="G127" s="132"/>
      <c r="H127" s="131"/>
      <c r="I127" s="166"/>
    </row>
    <row r="128" spans="1:9">
      <c r="A128" s="110"/>
      <c r="B128" s="2"/>
      <c r="C128" s="134">
        <v>1</v>
      </c>
      <c r="D128" s="135" t="s">
        <v>210</v>
      </c>
      <c r="E128" s="136"/>
      <c r="F128" s="137" t="s">
        <v>211</v>
      </c>
      <c r="G128" s="177">
        <v>0.25</v>
      </c>
      <c r="H128" s="149">
        <f>'DAFTAR HARGA'!I63</f>
        <v>15000</v>
      </c>
      <c r="I128" s="167">
        <f>G128*H128</f>
        <v>3750</v>
      </c>
    </row>
    <row r="129" spans="1:9">
      <c r="A129" s="110"/>
      <c r="B129" s="2"/>
      <c r="C129" s="152" t="s">
        <v>178</v>
      </c>
      <c r="D129" s="153"/>
      <c r="E129" s="153"/>
      <c r="F129" s="153"/>
      <c r="G129" s="153"/>
      <c r="H129" s="153"/>
      <c r="I129" s="169">
        <f>SUM(I128:I128)</f>
        <v>3750</v>
      </c>
    </row>
    <row r="130" spans="1:9">
      <c r="A130" s="110"/>
      <c r="B130" s="2"/>
      <c r="C130" s="147" t="s">
        <v>179</v>
      </c>
      <c r="D130" s="130" t="s">
        <v>180</v>
      </c>
      <c r="E130" s="148"/>
      <c r="F130" s="132"/>
      <c r="G130" s="132"/>
      <c r="H130" s="133"/>
      <c r="I130" s="166"/>
    </row>
    <row r="131" spans="1:9">
      <c r="A131" s="110"/>
      <c r="B131" s="2"/>
      <c r="C131" s="140"/>
      <c r="D131" s="141"/>
      <c r="E131" s="142"/>
      <c r="F131" s="150"/>
      <c r="G131" s="154"/>
      <c r="H131" s="144"/>
      <c r="I131" s="170"/>
    </row>
    <row r="132" spans="1:9">
      <c r="A132" s="110"/>
      <c r="B132" s="2"/>
      <c r="C132" s="152" t="s">
        <v>181</v>
      </c>
      <c r="D132" s="153"/>
      <c r="E132" s="153"/>
      <c r="F132" s="153"/>
      <c r="G132" s="153"/>
      <c r="H132" s="153"/>
      <c r="I132" s="171">
        <f>SUM(I131)</f>
        <v>0</v>
      </c>
    </row>
    <row r="133" spans="1:9">
      <c r="A133" s="110"/>
      <c r="B133" s="2"/>
      <c r="C133" s="127" t="s">
        <v>182</v>
      </c>
      <c r="D133" s="155" t="s">
        <v>183</v>
      </c>
      <c r="E133" s="156"/>
      <c r="F133" s="157"/>
      <c r="G133" s="157"/>
      <c r="H133" s="158"/>
      <c r="I133" s="171">
        <f>SUM(I126,I129,I132)</f>
        <v>6760.75</v>
      </c>
    </row>
    <row r="134" spans="1:9">
      <c r="A134" s="110"/>
      <c r="B134" s="2"/>
      <c r="C134" s="127" t="s">
        <v>184</v>
      </c>
      <c r="D134" s="155" t="s">
        <v>185</v>
      </c>
      <c r="E134" s="156"/>
      <c r="F134" s="159">
        <v>0.15</v>
      </c>
      <c r="G134" s="157" t="s">
        <v>186</v>
      </c>
      <c r="H134" s="158"/>
      <c r="I134" s="171">
        <f>I133*F134</f>
        <v>1014.1125</v>
      </c>
    </row>
    <row r="135" spans="1:9">
      <c r="A135" s="110"/>
      <c r="B135" s="2"/>
      <c r="C135" s="160" t="s">
        <v>187</v>
      </c>
      <c r="D135" s="161" t="s">
        <v>188</v>
      </c>
      <c r="E135" s="124"/>
      <c r="F135" s="125"/>
      <c r="G135" s="125"/>
      <c r="H135" s="162"/>
      <c r="I135" s="172">
        <f>SUM(I133:I134)</f>
        <v>7774.8625</v>
      </c>
    </row>
    <row r="136" spans="1:9">
      <c r="A136" s="110"/>
      <c r="B136" s="2"/>
      <c r="C136" s="180"/>
      <c r="D136" s="180"/>
      <c r="E136" s="180"/>
      <c r="F136" s="180"/>
      <c r="G136" s="180"/>
      <c r="H136" s="180"/>
      <c r="I136" s="185"/>
    </row>
    <row r="137" spans="1:9">
      <c r="A137" s="110"/>
      <c r="B137" s="2"/>
      <c r="C137" s="180"/>
      <c r="D137" s="180"/>
      <c r="E137" s="180"/>
      <c r="F137" s="180"/>
      <c r="G137" s="180"/>
      <c r="H137" s="180"/>
      <c r="I137" s="185"/>
    </row>
    <row r="138" spans="1:9">
      <c r="A138" s="118" t="s">
        <v>53</v>
      </c>
      <c r="B138" s="118"/>
      <c r="C138" s="174" t="s">
        <v>212</v>
      </c>
      <c r="D138" s="175"/>
      <c r="E138" s="175"/>
      <c r="F138" s="175"/>
      <c r="G138" s="175"/>
      <c r="H138" s="175"/>
      <c r="I138" s="178"/>
    </row>
    <row r="139" spans="1:9">
      <c r="A139" s="118"/>
      <c r="B139" s="118"/>
      <c r="C139" s="123" t="s">
        <v>108</v>
      </c>
      <c r="D139" s="124" t="s">
        <v>109</v>
      </c>
      <c r="E139" s="124" t="s">
        <v>156</v>
      </c>
      <c r="F139" s="125" t="s">
        <v>157</v>
      </c>
      <c r="G139" s="125" t="s">
        <v>158</v>
      </c>
      <c r="H139" s="126" t="s">
        <v>159</v>
      </c>
      <c r="I139" s="165" t="s">
        <v>160</v>
      </c>
    </row>
    <row r="140" spans="1:9">
      <c r="A140" s="118"/>
      <c r="B140" s="118"/>
      <c r="C140" s="127">
        <v>1</v>
      </c>
      <c r="D140" s="127">
        <v>2</v>
      </c>
      <c r="E140" s="127">
        <v>3</v>
      </c>
      <c r="F140" s="127">
        <v>4</v>
      </c>
      <c r="G140" s="127">
        <v>5</v>
      </c>
      <c r="H140" s="128">
        <v>6</v>
      </c>
      <c r="I140" s="127">
        <v>7</v>
      </c>
    </row>
    <row r="141" spans="1:9">
      <c r="A141" s="118"/>
      <c r="B141" s="118"/>
      <c r="C141" s="129" t="s">
        <v>4</v>
      </c>
      <c r="D141" s="130" t="s">
        <v>161</v>
      </c>
      <c r="E141" s="130"/>
      <c r="F141" s="131"/>
      <c r="G141" s="132"/>
      <c r="H141" s="133"/>
      <c r="I141" s="166"/>
    </row>
    <row r="142" spans="1:9">
      <c r="A142" s="118"/>
      <c r="B142" s="118"/>
      <c r="C142" s="134">
        <v>1</v>
      </c>
      <c r="D142" s="135" t="s">
        <v>162</v>
      </c>
      <c r="E142" s="136" t="s">
        <v>163</v>
      </c>
      <c r="F142" s="137" t="s">
        <v>164</v>
      </c>
      <c r="G142" s="138">
        <v>1.65</v>
      </c>
      <c r="H142" s="139">
        <f>'DAFTAR HARGA'!I12</f>
        <v>90000</v>
      </c>
      <c r="I142" s="167">
        <f>G142*H142</f>
        <v>148500</v>
      </c>
    </row>
    <row r="143" spans="1:9">
      <c r="A143" s="118"/>
      <c r="B143" s="118"/>
      <c r="C143" s="134">
        <v>2</v>
      </c>
      <c r="D143" s="135" t="s">
        <v>203</v>
      </c>
      <c r="E143" s="136" t="s">
        <v>166</v>
      </c>
      <c r="F143" s="137" t="s">
        <v>164</v>
      </c>
      <c r="G143" s="138">
        <v>0.275</v>
      </c>
      <c r="H143" s="139">
        <f>'DAFTAR HARGA'!I11</f>
        <v>120000</v>
      </c>
      <c r="I143" s="167">
        <f>G143*H143</f>
        <v>33000</v>
      </c>
    </row>
    <row r="144" spans="1:9">
      <c r="A144" s="118"/>
      <c r="B144" s="118"/>
      <c r="C144" s="134">
        <v>3</v>
      </c>
      <c r="D144" s="135" t="s">
        <v>204</v>
      </c>
      <c r="E144" s="136" t="s">
        <v>168</v>
      </c>
      <c r="F144" s="137" t="s">
        <v>164</v>
      </c>
      <c r="G144" s="138">
        <v>0.028</v>
      </c>
      <c r="H144" s="139">
        <f>'DAFTAR HARGA'!I10</f>
        <v>170000</v>
      </c>
      <c r="I144" s="167">
        <f>G144*H144</f>
        <v>4760</v>
      </c>
    </row>
    <row r="145" spans="1:9">
      <c r="A145" s="118"/>
      <c r="B145" s="118"/>
      <c r="C145" s="140">
        <v>4</v>
      </c>
      <c r="D145" s="141" t="s">
        <v>169</v>
      </c>
      <c r="E145" s="142" t="s">
        <v>170</v>
      </c>
      <c r="F145" s="137" t="s">
        <v>164</v>
      </c>
      <c r="G145" s="143">
        <v>0.083</v>
      </c>
      <c r="H145" s="144">
        <f>'DAFTAR HARGA'!I8</f>
        <v>215000</v>
      </c>
      <c r="I145" s="167">
        <f>G145*H145</f>
        <v>17845</v>
      </c>
    </row>
    <row r="146" spans="1:9">
      <c r="A146" s="118"/>
      <c r="B146" s="118"/>
      <c r="C146" s="145" t="s">
        <v>171</v>
      </c>
      <c r="D146" s="146"/>
      <c r="E146" s="146"/>
      <c r="F146" s="146"/>
      <c r="G146" s="146"/>
      <c r="H146" s="146"/>
      <c r="I146" s="168">
        <f>SUM(I142:I145)</f>
        <v>204105</v>
      </c>
    </row>
    <row r="147" spans="1:9">
      <c r="A147" s="118"/>
      <c r="B147" s="118"/>
      <c r="C147" s="147" t="s">
        <v>172</v>
      </c>
      <c r="D147" s="130" t="s">
        <v>173</v>
      </c>
      <c r="E147" s="148"/>
      <c r="F147" s="132"/>
      <c r="G147" s="132"/>
      <c r="H147" s="131"/>
      <c r="I147" s="166"/>
    </row>
    <row r="148" spans="1:9">
      <c r="A148" s="115"/>
      <c r="B148" s="115"/>
      <c r="C148" s="134">
        <v>1</v>
      </c>
      <c r="D148" s="135" t="s">
        <v>213</v>
      </c>
      <c r="E148" s="136"/>
      <c r="F148" s="137" t="s">
        <v>176</v>
      </c>
      <c r="G148" s="137">
        <v>247</v>
      </c>
      <c r="H148" s="149">
        <f>'DAFTAR HARGA'!I128</f>
        <v>1200</v>
      </c>
      <c r="I148" s="167">
        <f>G148*H148</f>
        <v>296400</v>
      </c>
    </row>
    <row r="149" spans="1:9">
      <c r="A149" s="115"/>
      <c r="B149" s="115"/>
      <c r="C149" s="134">
        <v>2</v>
      </c>
      <c r="D149" s="135" t="s">
        <v>207</v>
      </c>
      <c r="E149" s="136"/>
      <c r="F149" s="137" t="s">
        <v>176</v>
      </c>
      <c r="G149" s="177">
        <f>869/1400</f>
        <v>0.620714285714286</v>
      </c>
      <c r="H149" s="149">
        <f>'DAFTAR HARGA'!I108</f>
        <v>84400</v>
      </c>
      <c r="I149" s="167">
        <f>G149*H149</f>
        <v>52388.2857142857</v>
      </c>
    </row>
    <row r="150" spans="1:9">
      <c r="A150" s="115"/>
      <c r="B150" s="115"/>
      <c r="C150" s="134">
        <v>3</v>
      </c>
      <c r="D150" s="135" t="s">
        <v>214</v>
      </c>
      <c r="E150" s="136"/>
      <c r="F150" s="137" t="s">
        <v>176</v>
      </c>
      <c r="G150" s="177">
        <f>999/1350</f>
        <v>0.74</v>
      </c>
      <c r="H150" s="149">
        <f>'DAFTAR HARGA'!I40</f>
        <v>466700</v>
      </c>
      <c r="I150" s="167">
        <f>G150*H150</f>
        <v>345358</v>
      </c>
    </row>
    <row r="151" spans="1:9">
      <c r="A151" s="115"/>
      <c r="B151" s="115"/>
      <c r="C151" s="140">
        <v>4</v>
      </c>
      <c r="D151" s="141" t="s">
        <v>215</v>
      </c>
      <c r="E151" s="142"/>
      <c r="F151" s="150" t="s">
        <v>216</v>
      </c>
      <c r="G151" s="150">
        <v>215</v>
      </c>
      <c r="H151" s="151">
        <f>'DAFTAR HARGA'!I33</f>
        <v>250</v>
      </c>
      <c r="I151" s="167">
        <f>G151*H151</f>
        <v>53750</v>
      </c>
    </row>
    <row r="152" spans="1:9">
      <c r="A152" s="115"/>
      <c r="B152" s="115"/>
      <c r="C152" s="152" t="s">
        <v>178</v>
      </c>
      <c r="D152" s="153"/>
      <c r="E152" s="153"/>
      <c r="F152" s="153"/>
      <c r="G152" s="153"/>
      <c r="H152" s="153"/>
      <c r="I152" s="169">
        <f>SUM(I148:I151)</f>
        <v>747896.285714286</v>
      </c>
    </row>
    <row r="153" spans="1:9">
      <c r="A153" s="115"/>
      <c r="B153" s="115"/>
      <c r="C153" s="147" t="s">
        <v>179</v>
      </c>
      <c r="D153" s="130" t="s">
        <v>180</v>
      </c>
      <c r="E153" s="148"/>
      <c r="F153" s="132" t="s">
        <v>217</v>
      </c>
      <c r="G153" s="132"/>
      <c r="H153" s="133"/>
      <c r="I153" s="166"/>
    </row>
    <row r="154" spans="1:9">
      <c r="A154" s="115"/>
      <c r="B154" s="115"/>
      <c r="C154" s="140"/>
      <c r="D154" s="141"/>
      <c r="E154" s="142"/>
      <c r="F154" s="150"/>
      <c r="G154" s="154"/>
      <c r="H154" s="144"/>
      <c r="I154" s="170"/>
    </row>
    <row r="155" spans="1:9">
      <c r="A155" s="115"/>
      <c r="B155" s="115"/>
      <c r="C155" s="152" t="s">
        <v>181</v>
      </c>
      <c r="D155" s="153"/>
      <c r="E155" s="153"/>
      <c r="F155" s="153"/>
      <c r="G155" s="153"/>
      <c r="H155" s="153"/>
      <c r="I155" s="171">
        <f>SUM(I154)</f>
        <v>0</v>
      </c>
    </row>
    <row r="156" spans="1:9">
      <c r="A156" s="115"/>
      <c r="B156" s="115"/>
      <c r="C156" s="127" t="s">
        <v>182</v>
      </c>
      <c r="D156" s="155" t="s">
        <v>183</v>
      </c>
      <c r="E156" s="156"/>
      <c r="F156" s="157"/>
      <c r="G156" s="157"/>
      <c r="H156" s="158"/>
      <c r="I156" s="171">
        <f>SUM(I146,I152,I155)</f>
        <v>952001.285714286</v>
      </c>
    </row>
    <row r="157" spans="1:9">
      <c r="A157" s="115"/>
      <c r="B157" s="115"/>
      <c r="C157" s="127" t="s">
        <v>184</v>
      </c>
      <c r="D157" s="155" t="s">
        <v>185</v>
      </c>
      <c r="E157" s="156"/>
      <c r="F157" s="159">
        <v>0.15</v>
      </c>
      <c r="G157" s="157" t="s">
        <v>186</v>
      </c>
      <c r="H157" s="158"/>
      <c r="I157" s="171">
        <f>I156*F157</f>
        <v>142800.192857143</v>
      </c>
    </row>
    <row r="158" spans="1:9">
      <c r="A158" s="115"/>
      <c r="B158" s="115"/>
      <c r="C158" s="160" t="s">
        <v>187</v>
      </c>
      <c r="D158" s="161" t="s">
        <v>188</v>
      </c>
      <c r="E158" s="124"/>
      <c r="F158" s="125"/>
      <c r="G158" s="125"/>
      <c r="H158" s="162"/>
      <c r="I158" s="172">
        <f>SUM(I156:I157)</f>
        <v>1094801.47857143</v>
      </c>
    </row>
    <row r="159" spans="1:9">
      <c r="A159" s="115"/>
      <c r="B159" s="115"/>
      <c r="C159" s="116"/>
      <c r="D159" s="117"/>
      <c r="E159" s="118"/>
      <c r="F159" s="119"/>
      <c r="G159" s="119"/>
      <c r="H159" s="120"/>
      <c r="I159" s="164"/>
    </row>
    <row r="160" spans="1:9">
      <c r="A160" s="118" t="s">
        <v>218</v>
      </c>
      <c r="B160" s="118"/>
      <c r="C160" s="181" t="s">
        <v>219</v>
      </c>
      <c r="D160" s="175"/>
      <c r="E160" s="175"/>
      <c r="F160" s="175"/>
      <c r="G160" s="175"/>
      <c r="H160" s="175"/>
      <c r="I160" s="178"/>
    </row>
    <row r="161" spans="1:9">
      <c r="A161" s="118"/>
      <c r="B161" s="118"/>
      <c r="C161" s="123" t="s">
        <v>108</v>
      </c>
      <c r="D161" s="124" t="s">
        <v>109</v>
      </c>
      <c r="E161" s="124" t="s">
        <v>156</v>
      </c>
      <c r="F161" s="125" t="s">
        <v>157</v>
      </c>
      <c r="G161" s="125" t="s">
        <v>158</v>
      </c>
      <c r="H161" s="126" t="s">
        <v>159</v>
      </c>
      <c r="I161" s="165" t="s">
        <v>160</v>
      </c>
    </row>
    <row r="162" spans="1:9">
      <c r="A162" s="118"/>
      <c r="B162" s="118"/>
      <c r="C162" s="127">
        <v>1</v>
      </c>
      <c r="D162" s="127">
        <v>2</v>
      </c>
      <c r="E162" s="127">
        <v>3</v>
      </c>
      <c r="F162" s="127">
        <v>4</v>
      </c>
      <c r="G162" s="127">
        <v>5</v>
      </c>
      <c r="H162" s="128">
        <v>6</v>
      </c>
      <c r="I162" s="127">
        <v>7</v>
      </c>
    </row>
    <row r="163" spans="1:9">
      <c r="A163" s="118"/>
      <c r="B163" s="118"/>
      <c r="C163" s="129" t="s">
        <v>4</v>
      </c>
      <c r="D163" s="130" t="s">
        <v>161</v>
      </c>
      <c r="E163" s="130"/>
      <c r="F163" s="131"/>
      <c r="G163" s="132"/>
      <c r="H163" s="133"/>
      <c r="I163" s="166"/>
    </row>
    <row r="164" spans="1:9">
      <c r="A164" s="118"/>
      <c r="B164" s="118"/>
      <c r="C164" s="134">
        <v>1</v>
      </c>
      <c r="D164" s="135" t="s">
        <v>162</v>
      </c>
      <c r="E164" s="136" t="s">
        <v>163</v>
      </c>
      <c r="F164" s="137" t="s">
        <v>164</v>
      </c>
      <c r="G164" s="138">
        <v>1.65</v>
      </c>
      <c r="H164" s="139">
        <f>H142</f>
        <v>90000</v>
      </c>
      <c r="I164" s="167">
        <f>G164*H164</f>
        <v>148500</v>
      </c>
    </row>
    <row r="165" spans="1:9">
      <c r="A165" s="118"/>
      <c r="B165" s="118"/>
      <c r="C165" s="134">
        <v>2</v>
      </c>
      <c r="D165" s="135" t="s">
        <v>203</v>
      </c>
      <c r="E165" s="136" t="s">
        <v>166</v>
      </c>
      <c r="F165" s="137" t="s">
        <v>164</v>
      </c>
      <c r="G165" s="138">
        <v>0.275</v>
      </c>
      <c r="H165" s="139">
        <f>H143</f>
        <v>120000</v>
      </c>
      <c r="I165" s="167">
        <f>G165*H165</f>
        <v>33000</v>
      </c>
    </row>
    <row r="166" spans="1:9">
      <c r="A166" s="118"/>
      <c r="B166" s="118"/>
      <c r="C166" s="134">
        <v>3</v>
      </c>
      <c r="D166" s="135" t="s">
        <v>204</v>
      </c>
      <c r="E166" s="136" t="s">
        <v>168</v>
      </c>
      <c r="F166" s="137" t="s">
        <v>164</v>
      </c>
      <c r="G166" s="138">
        <v>0.028</v>
      </c>
      <c r="H166" s="139">
        <f>H144</f>
        <v>170000</v>
      </c>
      <c r="I166" s="167">
        <f>G166*H166</f>
        <v>4760</v>
      </c>
    </row>
    <row r="167" spans="1:9">
      <c r="A167" s="118"/>
      <c r="B167" s="118"/>
      <c r="C167" s="140">
        <v>4</v>
      </c>
      <c r="D167" s="141" t="s">
        <v>169</v>
      </c>
      <c r="E167" s="142" t="s">
        <v>170</v>
      </c>
      <c r="F167" s="137" t="s">
        <v>164</v>
      </c>
      <c r="G167" s="143">
        <v>0.083</v>
      </c>
      <c r="H167" s="139">
        <f>H145</f>
        <v>215000</v>
      </c>
      <c r="I167" s="167">
        <f>G167*H167</f>
        <v>17845</v>
      </c>
    </row>
    <row r="168" spans="1:9">
      <c r="A168" s="118"/>
      <c r="B168" s="118"/>
      <c r="C168" s="145" t="s">
        <v>171</v>
      </c>
      <c r="D168" s="146"/>
      <c r="E168" s="146"/>
      <c r="F168" s="146"/>
      <c r="G168" s="146"/>
      <c r="H168" s="146"/>
      <c r="I168" s="168">
        <f>SUM(I164:I167)</f>
        <v>204105</v>
      </c>
    </row>
    <row r="169" spans="1:9">
      <c r="A169" s="118"/>
      <c r="B169" s="118"/>
      <c r="C169" s="147" t="s">
        <v>172</v>
      </c>
      <c r="D169" s="130" t="s">
        <v>173</v>
      </c>
      <c r="E169" s="148"/>
      <c r="F169" s="132"/>
      <c r="G169" s="132"/>
      <c r="H169" s="131"/>
      <c r="I169" s="166"/>
    </row>
    <row r="170" spans="1:9">
      <c r="A170" s="115"/>
      <c r="B170" s="115"/>
      <c r="C170" s="134">
        <v>1</v>
      </c>
      <c r="D170" s="135" t="s">
        <v>213</v>
      </c>
      <c r="E170" s="136"/>
      <c r="F170" s="137" t="s">
        <v>176</v>
      </c>
      <c r="G170" s="138">
        <v>371</v>
      </c>
      <c r="H170" s="149">
        <f>H148</f>
        <v>1200</v>
      </c>
      <c r="I170" s="167">
        <f>G170*H170</f>
        <v>445200</v>
      </c>
    </row>
    <row r="171" spans="1:9">
      <c r="A171" s="115"/>
      <c r="B171" s="115"/>
      <c r="C171" s="134">
        <v>2</v>
      </c>
      <c r="D171" s="135" t="s">
        <v>207</v>
      </c>
      <c r="E171" s="136"/>
      <c r="F171" s="137" t="s">
        <v>176</v>
      </c>
      <c r="G171" s="177">
        <f>698/1400</f>
        <v>0.498571428571429</v>
      </c>
      <c r="H171" s="149">
        <f>H149</f>
        <v>84400</v>
      </c>
      <c r="I171" s="167">
        <f>G171*H171</f>
        <v>42079.4285714286</v>
      </c>
    </row>
    <row r="172" spans="1:9">
      <c r="A172" s="115"/>
      <c r="B172" s="115"/>
      <c r="C172" s="134">
        <v>3</v>
      </c>
      <c r="D172" s="135" t="s">
        <v>214</v>
      </c>
      <c r="E172" s="136"/>
      <c r="F172" s="137" t="s">
        <v>176</v>
      </c>
      <c r="G172" s="177">
        <f>1047/1350</f>
        <v>0.775555555555556</v>
      </c>
      <c r="H172" s="149">
        <f>H150</f>
        <v>466700</v>
      </c>
      <c r="I172" s="167">
        <f>G172*H172</f>
        <v>361951.777777778</v>
      </c>
    </row>
    <row r="173" spans="1:9">
      <c r="A173" s="115"/>
      <c r="B173" s="115"/>
      <c r="C173" s="134">
        <v>4</v>
      </c>
      <c r="D173" s="135" t="str">
        <f>'DAFTAR HARGA'!C52</f>
        <v>Besi beton polos</v>
      </c>
      <c r="E173" s="136"/>
      <c r="F173" s="137"/>
      <c r="G173" s="177">
        <v>3.6</v>
      </c>
      <c r="H173" s="149">
        <f>'DAFTAR HARGA'!I52</f>
        <v>17500</v>
      </c>
      <c r="I173" s="167">
        <f>G173*H173</f>
        <v>63000</v>
      </c>
    </row>
    <row r="174" spans="1:9">
      <c r="A174" s="115"/>
      <c r="B174" s="115"/>
      <c r="C174" s="140">
        <v>4</v>
      </c>
      <c r="D174" s="141" t="s">
        <v>215</v>
      </c>
      <c r="E174" s="142"/>
      <c r="F174" s="150" t="s">
        <v>216</v>
      </c>
      <c r="G174" s="138">
        <v>215</v>
      </c>
      <c r="H174" s="149">
        <f>H151</f>
        <v>250</v>
      </c>
      <c r="I174" s="167">
        <f>G174*H174</f>
        <v>53750</v>
      </c>
    </row>
    <row r="175" spans="1:9">
      <c r="A175" s="115"/>
      <c r="B175" s="115"/>
      <c r="C175" s="152" t="s">
        <v>178</v>
      </c>
      <c r="D175" s="153"/>
      <c r="E175" s="153"/>
      <c r="F175" s="153"/>
      <c r="G175" s="153"/>
      <c r="H175" s="153"/>
      <c r="I175" s="169">
        <f>SUM(I170:I174)</f>
        <v>965981.206349207</v>
      </c>
    </row>
    <row r="176" spans="1:9">
      <c r="A176" s="115"/>
      <c r="B176" s="115"/>
      <c r="C176" s="147" t="s">
        <v>179</v>
      </c>
      <c r="D176" s="130" t="s">
        <v>180</v>
      </c>
      <c r="E176" s="148"/>
      <c r="F176" s="132" t="s">
        <v>217</v>
      </c>
      <c r="G176" s="132"/>
      <c r="H176" s="133"/>
      <c r="I176" s="166"/>
    </row>
    <row r="177" spans="1:9">
      <c r="A177" s="115"/>
      <c r="B177" s="115"/>
      <c r="C177" s="140"/>
      <c r="D177" s="141"/>
      <c r="E177" s="142"/>
      <c r="F177" s="150"/>
      <c r="G177" s="154"/>
      <c r="H177" s="144"/>
      <c r="I177" s="170"/>
    </row>
    <row r="178" spans="1:9">
      <c r="A178" s="115"/>
      <c r="B178" s="115"/>
      <c r="C178" s="152" t="s">
        <v>181</v>
      </c>
      <c r="D178" s="153"/>
      <c r="E178" s="153"/>
      <c r="F178" s="153"/>
      <c r="G178" s="153"/>
      <c r="H178" s="153"/>
      <c r="I178" s="171">
        <f>SUM(I177)</f>
        <v>0</v>
      </c>
    </row>
    <row r="179" spans="1:9">
      <c r="A179" s="115"/>
      <c r="B179" s="115"/>
      <c r="C179" s="127" t="s">
        <v>182</v>
      </c>
      <c r="D179" s="155" t="s">
        <v>183</v>
      </c>
      <c r="E179" s="156"/>
      <c r="F179" s="157"/>
      <c r="G179" s="157"/>
      <c r="H179" s="158"/>
      <c r="I179" s="171">
        <f>SUM(I168,I175,I178)</f>
        <v>1170086.20634921</v>
      </c>
    </row>
    <row r="180" spans="1:9">
      <c r="A180" s="115"/>
      <c r="B180" s="115"/>
      <c r="C180" s="127" t="s">
        <v>184</v>
      </c>
      <c r="D180" s="155" t="s">
        <v>185</v>
      </c>
      <c r="E180" s="156"/>
      <c r="F180" s="159">
        <v>0.15</v>
      </c>
      <c r="G180" s="157" t="s">
        <v>186</v>
      </c>
      <c r="H180" s="158"/>
      <c r="I180" s="171">
        <f>I179*F180</f>
        <v>175512.930952381</v>
      </c>
    </row>
    <row r="181" spans="1:9">
      <c r="A181" s="115"/>
      <c r="B181" s="115"/>
      <c r="C181" s="160" t="s">
        <v>187</v>
      </c>
      <c r="D181" s="161" t="s">
        <v>188</v>
      </c>
      <c r="E181" s="124"/>
      <c r="F181" s="125"/>
      <c r="G181" s="125"/>
      <c r="H181" s="162"/>
      <c r="I181" s="172">
        <f>SUM(I179:I180)</f>
        <v>1345599.13730159</v>
      </c>
    </row>
    <row r="182" spans="1:9">
      <c r="A182" s="110"/>
      <c r="B182" s="2"/>
      <c r="C182" s="182"/>
      <c r="D182" s="175"/>
      <c r="E182" s="175"/>
      <c r="F182" s="183"/>
      <c r="G182" s="184"/>
      <c r="H182" s="183"/>
      <c r="I182" s="186"/>
    </row>
    <row r="183" spans="1:9">
      <c r="A183" s="115"/>
      <c r="B183" s="115"/>
      <c r="C183" s="116"/>
      <c r="D183" s="117"/>
      <c r="E183" s="118"/>
      <c r="F183" s="119"/>
      <c r="G183" s="119"/>
      <c r="H183" s="120"/>
      <c r="I183" s="164"/>
    </row>
    <row r="184" spans="1:9">
      <c r="A184" s="118" t="s">
        <v>220</v>
      </c>
      <c r="B184" s="118"/>
      <c r="C184" s="174" t="s">
        <v>221</v>
      </c>
      <c r="D184" s="175"/>
      <c r="E184" s="175"/>
      <c r="F184" s="175"/>
      <c r="G184" s="175"/>
      <c r="H184" s="175"/>
      <c r="I184" s="178"/>
    </row>
    <row r="185" spans="1:9">
      <c r="A185" s="118"/>
      <c r="B185" s="118"/>
      <c r="C185" s="123" t="s">
        <v>108</v>
      </c>
      <c r="D185" s="124" t="s">
        <v>109</v>
      </c>
      <c r="E185" s="124" t="s">
        <v>156</v>
      </c>
      <c r="F185" s="125" t="s">
        <v>157</v>
      </c>
      <c r="G185" s="125" t="s">
        <v>158</v>
      </c>
      <c r="H185" s="126" t="s">
        <v>159</v>
      </c>
      <c r="I185" s="165" t="s">
        <v>160</v>
      </c>
    </row>
    <row r="186" spans="1:9">
      <c r="A186" s="118"/>
      <c r="B186" s="118"/>
      <c r="C186" s="127">
        <v>1</v>
      </c>
      <c r="D186" s="127">
        <v>2</v>
      </c>
      <c r="E186" s="127">
        <v>3</v>
      </c>
      <c r="F186" s="127">
        <v>4</v>
      </c>
      <c r="G186" s="127">
        <v>5</v>
      </c>
      <c r="H186" s="128">
        <v>6</v>
      </c>
      <c r="I186" s="127">
        <v>7</v>
      </c>
    </row>
    <row r="187" spans="1:9">
      <c r="A187" s="118"/>
      <c r="B187" s="118"/>
      <c r="C187" s="129" t="s">
        <v>4</v>
      </c>
      <c r="D187" s="130" t="s">
        <v>161</v>
      </c>
      <c r="E187" s="130"/>
      <c r="F187" s="131"/>
      <c r="G187" s="132"/>
      <c r="H187" s="133"/>
      <c r="I187" s="166"/>
    </row>
    <row r="188" spans="1:9">
      <c r="A188" s="118"/>
      <c r="B188" s="118"/>
      <c r="C188" s="134">
        <v>1</v>
      </c>
      <c r="D188" s="135" t="s">
        <v>162</v>
      </c>
      <c r="E188" s="136" t="s">
        <v>163</v>
      </c>
      <c r="F188" s="137" t="s">
        <v>164</v>
      </c>
      <c r="G188" s="138">
        <v>5.3</v>
      </c>
      <c r="H188" s="139">
        <f>H164</f>
        <v>90000</v>
      </c>
      <c r="I188" s="167">
        <f t="shared" ref="I188:I193" si="0">G188*H188</f>
        <v>477000</v>
      </c>
    </row>
    <row r="189" spans="1:9">
      <c r="A189" s="118"/>
      <c r="B189" s="118"/>
      <c r="C189" s="134">
        <v>2</v>
      </c>
      <c r="D189" s="135" t="s">
        <v>203</v>
      </c>
      <c r="E189" s="136" t="s">
        <v>166</v>
      </c>
      <c r="F189" s="137" t="s">
        <v>164</v>
      </c>
      <c r="G189" s="138">
        <v>0.275</v>
      </c>
      <c r="H189" s="139">
        <f>H165</f>
        <v>120000</v>
      </c>
      <c r="I189" s="167">
        <f t="shared" si="0"/>
        <v>33000</v>
      </c>
    </row>
    <row r="190" spans="1:9">
      <c r="A190" s="118"/>
      <c r="B190" s="118"/>
      <c r="C190" s="134">
        <v>3</v>
      </c>
      <c r="D190" s="135" t="s">
        <v>165</v>
      </c>
      <c r="E190" s="136" t="s">
        <v>168</v>
      </c>
      <c r="F190" s="137" t="s">
        <v>164</v>
      </c>
      <c r="G190" s="138">
        <v>1.3</v>
      </c>
      <c r="H190" s="139">
        <f>'DAFTAR HARGA'!I14</f>
        <v>120000</v>
      </c>
      <c r="I190" s="167">
        <f t="shared" si="0"/>
        <v>156000</v>
      </c>
    </row>
    <row r="191" spans="1:9">
      <c r="A191" s="118"/>
      <c r="B191" s="118"/>
      <c r="C191" s="134">
        <v>4</v>
      </c>
      <c r="D191" s="135" t="s">
        <v>222</v>
      </c>
      <c r="E191" s="136" t="s">
        <v>170</v>
      </c>
      <c r="F191" s="137" t="s">
        <v>164</v>
      </c>
      <c r="G191" s="138">
        <v>1.05</v>
      </c>
      <c r="H191" s="139">
        <f>'DAFTAR HARGA'!I20</f>
        <v>100000</v>
      </c>
      <c r="I191" s="167">
        <f t="shared" si="0"/>
        <v>105000</v>
      </c>
    </row>
    <row r="192" spans="1:9">
      <c r="A192" s="118"/>
      <c r="B192" s="118"/>
      <c r="C192" s="134">
        <v>5</v>
      </c>
      <c r="D192" s="135" t="s">
        <v>204</v>
      </c>
      <c r="E192" s="136" t="s">
        <v>223</v>
      </c>
      <c r="F192" s="137" t="s">
        <v>164</v>
      </c>
      <c r="G192" s="138">
        <v>0.262</v>
      </c>
      <c r="H192" s="139">
        <f>'DAFTAR HARGA'!I10</f>
        <v>170000</v>
      </c>
      <c r="I192" s="167">
        <f t="shared" si="0"/>
        <v>44540</v>
      </c>
    </row>
    <row r="193" spans="1:9">
      <c r="A193" s="118"/>
      <c r="B193" s="118"/>
      <c r="C193" s="134">
        <v>6</v>
      </c>
      <c r="D193" s="141" t="s">
        <v>169</v>
      </c>
      <c r="E193" s="136" t="s">
        <v>224</v>
      </c>
      <c r="F193" s="137" t="s">
        <v>164</v>
      </c>
      <c r="G193" s="143">
        <v>0.265</v>
      </c>
      <c r="H193" s="139">
        <f>'DAFTAR HARGA'!I8</f>
        <v>215000</v>
      </c>
      <c r="I193" s="167">
        <f t="shared" si="0"/>
        <v>56975</v>
      </c>
    </row>
    <row r="194" spans="1:12">
      <c r="A194" s="118"/>
      <c r="B194" s="118"/>
      <c r="C194" s="145" t="s">
        <v>171</v>
      </c>
      <c r="D194" s="146"/>
      <c r="E194" s="146"/>
      <c r="F194" s="146"/>
      <c r="G194" s="146"/>
      <c r="H194" s="146"/>
      <c r="I194" s="168">
        <f>SUM(I188:I193)</f>
        <v>872515</v>
      </c>
      <c r="L194" s="188"/>
    </row>
    <row r="195" spans="1:9">
      <c r="A195" s="118"/>
      <c r="B195" s="118"/>
      <c r="C195" s="147" t="s">
        <v>172</v>
      </c>
      <c r="D195" s="130" t="s">
        <v>173</v>
      </c>
      <c r="E195" s="148"/>
      <c r="F195" s="132"/>
      <c r="G195" s="132"/>
      <c r="H195" s="131"/>
      <c r="I195" s="166"/>
    </row>
    <row r="196" spans="1:9">
      <c r="A196" s="118"/>
      <c r="B196" s="118"/>
      <c r="C196" s="134">
        <v>1</v>
      </c>
      <c r="D196" s="135" t="s">
        <v>225</v>
      </c>
      <c r="E196" s="136"/>
      <c r="F196" s="137" t="s">
        <v>121</v>
      </c>
      <c r="G196" s="138">
        <v>0.24</v>
      </c>
      <c r="H196" s="149">
        <f>'DAFTAR HARGA'!I43</f>
        <v>1000000</v>
      </c>
      <c r="I196" s="167">
        <f>G196*H196</f>
        <v>240000</v>
      </c>
    </row>
    <row r="197" spans="1:9">
      <c r="A197" s="118"/>
      <c r="B197" s="118"/>
      <c r="C197" s="134">
        <v>2</v>
      </c>
      <c r="D197" s="135" t="s">
        <v>226</v>
      </c>
      <c r="E197" s="136"/>
      <c r="F197" s="137" t="s">
        <v>176</v>
      </c>
      <c r="G197" s="138">
        <v>3.2</v>
      </c>
      <c r="H197" s="149">
        <f>'DAFTAR HARGA'!I95</f>
        <v>17100</v>
      </c>
      <c r="I197" s="167">
        <f t="shared" ref="I197:I207" si="1">G197*H197</f>
        <v>54720</v>
      </c>
    </row>
    <row r="198" spans="1:9">
      <c r="A198" s="118"/>
      <c r="B198" s="118"/>
      <c r="C198" s="134">
        <v>3</v>
      </c>
      <c r="D198" s="135" t="s">
        <v>227</v>
      </c>
      <c r="E198" s="136"/>
      <c r="F198" s="137" t="s">
        <v>228</v>
      </c>
      <c r="G198" s="138">
        <v>1.6</v>
      </c>
      <c r="H198" s="149">
        <f>'DAFTAR HARGA'!I82</f>
        <v>30000</v>
      </c>
      <c r="I198" s="167">
        <f t="shared" si="1"/>
        <v>48000</v>
      </c>
    </row>
    <row r="199" spans="1:9">
      <c r="A199" s="118"/>
      <c r="B199" s="118"/>
      <c r="C199" s="134">
        <v>4</v>
      </c>
      <c r="D199" s="135" t="s">
        <v>229</v>
      </c>
      <c r="E199" s="136"/>
      <c r="F199" s="137" t="s">
        <v>176</v>
      </c>
      <c r="G199" s="138">
        <v>157.5</v>
      </c>
      <c r="H199" s="149">
        <f>'DAFTAR HARGA'!I52</f>
        <v>17500</v>
      </c>
      <c r="I199" s="167">
        <f t="shared" si="1"/>
        <v>2756250</v>
      </c>
    </row>
    <row r="200" spans="1:9">
      <c r="A200" s="118"/>
      <c r="B200" s="118"/>
      <c r="C200" s="134">
        <v>5</v>
      </c>
      <c r="D200" s="135" t="s">
        <v>230</v>
      </c>
      <c r="E200" s="136"/>
      <c r="F200" s="137" t="s">
        <v>176</v>
      </c>
      <c r="G200" s="138">
        <v>2.25</v>
      </c>
      <c r="H200" s="149">
        <f>'DAFTAR HARGA'!I69</f>
        <v>57960</v>
      </c>
      <c r="I200" s="167">
        <f t="shared" si="1"/>
        <v>130410</v>
      </c>
    </row>
    <row r="201" spans="1:9">
      <c r="A201" s="118"/>
      <c r="B201" s="118"/>
      <c r="C201" s="134">
        <v>6</v>
      </c>
      <c r="D201" s="135" t="s">
        <v>231</v>
      </c>
      <c r="E201" s="136"/>
      <c r="F201" s="137" t="s">
        <v>176</v>
      </c>
      <c r="G201" s="138">
        <v>336</v>
      </c>
      <c r="H201" s="149">
        <f>'DAFTAR HARGA'!I128</f>
        <v>1200</v>
      </c>
      <c r="I201" s="167">
        <f t="shared" si="1"/>
        <v>403200</v>
      </c>
    </row>
    <row r="202" spans="1:9">
      <c r="A202" s="118"/>
      <c r="B202" s="118"/>
      <c r="C202" s="134">
        <v>7</v>
      </c>
      <c r="D202" s="135" t="s">
        <v>207</v>
      </c>
      <c r="E202" s="136"/>
      <c r="F202" s="137" t="s">
        <v>121</v>
      </c>
      <c r="G202" s="138">
        <v>0.54</v>
      </c>
      <c r="H202" s="149">
        <f>'DAFTAR HARGA'!I108</f>
        <v>84400</v>
      </c>
      <c r="I202" s="167">
        <f t="shared" si="1"/>
        <v>45576</v>
      </c>
    </row>
    <row r="203" spans="1:9">
      <c r="A203" s="118"/>
      <c r="B203" s="118"/>
      <c r="C203" s="134">
        <v>8</v>
      </c>
      <c r="D203" s="135" t="s">
        <v>232</v>
      </c>
      <c r="E203" s="136"/>
      <c r="F203" s="137" t="s">
        <v>121</v>
      </c>
      <c r="G203" s="138">
        <v>0.81</v>
      </c>
      <c r="H203" s="149">
        <f>'DAFTAR HARGA'!I40</f>
        <v>466700</v>
      </c>
      <c r="I203" s="167">
        <f t="shared" si="1"/>
        <v>378027</v>
      </c>
    </row>
    <row r="204" spans="1:9">
      <c r="A204" s="115"/>
      <c r="B204" s="115"/>
      <c r="C204" s="134">
        <v>9</v>
      </c>
      <c r="D204" s="135" t="s">
        <v>233</v>
      </c>
      <c r="E204" s="136"/>
      <c r="F204" s="137" t="s">
        <v>121</v>
      </c>
      <c r="G204" s="138">
        <v>0.16</v>
      </c>
      <c r="H204" s="149">
        <f>'DAFTAR HARGA'!I98</f>
        <v>2500000</v>
      </c>
      <c r="I204" s="167">
        <f t="shared" si="1"/>
        <v>400000</v>
      </c>
    </row>
    <row r="205" spans="1:9">
      <c r="A205" s="115"/>
      <c r="B205" s="115"/>
      <c r="C205" s="134">
        <v>10</v>
      </c>
      <c r="D205" s="135" t="s">
        <v>234</v>
      </c>
      <c r="E205" s="136"/>
      <c r="F205" s="137" t="s">
        <v>235</v>
      </c>
      <c r="G205" s="138">
        <v>2.8</v>
      </c>
      <c r="H205" s="149">
        <f>'DAFTAR HARGA'!I91</f>
        <v>72000</v>
      </c>
      <c r="I205" s="167">
        <f t="shared" si="1"/>
        <v>201600</v>
      </c>
    </row>
    <row r="206" spans="1:9">
      <c r="A206" s="115"/>
      <c r="B206" s="115"/>
      <c r="C206" s="134">
        <v>11</v>
      </c>
      <c r="D206" s="135" t="s">
        <v>236</v>
      </c>
      <c r="E206" s="136"/>
      <c r="F206" s="137">
        <v>24</v>
      </c>
      <c r="G206" s="138">
        <v>24</v>
      </c>
      <c r="H206" s="149">
        <f>'DAFTAR HARGA'!I63</f>
        <v>15000</v>
      </c>
      <c r="I206" s="167">
        <f t="shared" si="1"/>
        <v>360000</v>
      </c>
    </row>
    <row r="207" spans="1:9">
      <c r="A207" s="115"/>
      <c r="B207" s="115"/>
      <c r="C207" s="134">
        <v>12</v>
      </c>
      <c r="D207" s="141" t="s">
        <v>215</v>
      </c>
      <c r="E207" s="142"/>
      <c r="F207" s="150" t="s">
        <v>228</v>
      </c>
      <c r="G207" s="143">
        <v>215</v>
      </c>
      <c r="H207" s="149">
        <f>H174</f>
        <v>250</v>
      </c>
      <c r="I207" s="167">
        <f t="shared" si="1"/>
        <v>53750</v>
      </c>
    </row>
    <row r="208" spans="1:9">
      <c r="A208" s="115"/>
      <c r="B208" s="115"/>
      <c r="C208" s="152" t="s">
        <v>178</v>
      </c>
      <c r="D208" s="153"/>
      <c r="E208" s="153"/>
      <c r="F208" s="153"/>
      <c r="G208" s="153"/>
      <c r="H208" s="153"/>
      <c r="I208" s="169">
        <f>SUM(I196:I207)</f>
        <v>5071533</v>
      </c>
    </row>
    <row r="209" spans="1:9">
      <c r="A209" s="115"/>
      <c r="B209" s="115"/>
      <c r="C209" s="147" t="s">
        <v>179</v>
      </c>
      <c r="D209" s="130" t="s">
        <v>180</v>
      </c>
      <c r="E209" s="148"/>
      <c r="F209" s="132" t="s">
        <v>217</v>
      </c>
      <c r="G209" s="132"/>
      <c r="H209" s="133"/>
      <c r="I209" s="166"/>
    </row>
    <row r="210" spans="1:9">
      <c r="A210" s="115"/>
      <c r="B210" s="115"/>
      <c r="C210" s="140"/>
      <c r="D210" s="141"/>
      <c r="E210" s="142"/>
      <c r="F210" s="150"/>
      <c r="G210" s="154"/>
      <c r="H210" s="144"/>
      <c r="I210" s="170"/>
    </row>
    <row r="211" spans="1:9">
      <c r="A211" s="115"/>
      <c r="B211" s="115"/>
      <c r="C211" s="152" t="s">
        <v>181</v>
      </c>
      <c r="D211" s="153"/>
      <c r="E211" s="153"/>
      <c r="F211" s="153"/>
      <c r="G211" s="153"/>
      <c r="H211" s="153"/>
      <c r="I211" s="171">
        <f>SUM(I210)</f>
        <v>0</v>
      </c>
    </row>
    <row r="212" spans="1:9">
      <c r="A212" s="115"/>
      <c r="B212" s="115"/>
      <c r="C212" s="127" t="s">
        <v>182</v>
      </c>
      <c r="D212" s="155" t="s">
        <v>183</v>
      </c>
      <c r="E212" s="156"/>
      <c r="F212" s="157"/>
      <c r="G212" s="157"/>
      <c r="H212" s="158"/>
      <c r="I212" s="171">
        <f>SUM(I194,I208,I211)</f>
        <v>5944048</v>
      </c>
    </row>
    <row r="213" spans="1:9">
      <c r="A213" s="115"/>
      <c r="B213" s="115"/>
      <c r="C213" s="127" t="s">
        <v>184</v>
      </c>
      <c r="D213" s="155" t="s">
        <v>185</v>
      </c>
      <c r="E213" s="156"/>
      <c r="F213" s="159">
        <v>0.15</v>
      </c>
      <c r="G213" s="157" t="s">
        <v>186</v>
      </c>
      <c r="H213" s="158"/>
      <c r="I213" s="171">
        <f>I212*F213</f>
        <v>891607.2</v>
      </c>
    </row>
    <row r="214" spans="1:9">
      <c r="A214" s="115"/>
      <c r="B214" s="115"/>
      <c r="C214" s="160" t="s">
        <v>187</v>
      </c>
      <c r="D214" s="161" t="s">
        <v>188</v>
      </c>
      <c r="E214" s="124"/>
      <c r="F214" s="125"/>
      <c r="G214" s="125"/>
      <c r="H214" s="162"/>
      <c r="I214" s="172">
        <f>SUM(I212:I213)</f>
        <v>6835655.2</v>
      </c>
    </row>
    <row r="215" spans="1:9">
      <c r="A215" s="115"/>
      <c r="B215" s="115"/>
      <c r="C215" s="116"/>
      <c r="D215" s="117"/>
      <c r="E215" s="118"/>
      <c r="F215" s="119"/>
      <c r="G215" s="119"/>
      <c r="H215" s="120"/>
      <c r="I215" s="164"/>
    </row>
    <row r="216" spans="1:9">
      <c r="A216" s="110"/>
      <c r="B216" s="2"/>
      <c r="C216" s="180"/>
      <c r="D216" s="175"/>
      <c r="E216" s="115"/>
      <c r="F216" s="184"/>
      <c r="G216" s="187"/>
      <c r="H216" s="183"/>
      <c r="I216" s="186"/>
    </row>
    <row r="217" spans="1:9">
      <c r="A217" s="110"/>
      <c r="B217" s="2"/>
      <c r="C217" s="180"/>
      <c r="D217" s="175"/>
      <c r="E217" s="115"/>
      <c r="F217" s="184"/>
      <c r="G217" s="187"/>
      <c r="H217" s="183"/>
      <c r="I217" s="186"/>
    </row>
    <row r="218" spans="1:9">
      <c r="A218" s="118" t="s">
        <v>237</v>
      </c>
      <c r="B218" s="118"/>
      <c r="C218" s="174" t="s">
        <v>238</v>
      </c>
      <c r="D218" s="175"/>
      <c r="E218" s="175"/>
      <c r="F218" s="175"/>
      <c r="G218" s="175"/>
      <c r="H218" s="175"/>
      <c r="I218" s="178"/>
    </row>
    <row r="219" spans="1:9">
      <c r="A219" s="118"/>
      <c r="B219" s="118"/>
      <c r="C219" s="123" t="s">
        <v>108</v>
      </c>
      <c r="D219" s="124" t="s">
        <v>109</v>
      </c>
      <c r="E219" s="124" t="s">
        <v>156</v>
      </c>
      <c r="F219" s="125" t="s">
        <v>157</v>
      </c>
      <c r="G219" s="125" t="s">
        <v>158</v>
      </c>
      <c r="H219" s="126" t="s">
        <v>159</v>
      </c>
      <c r="I219" s="165" t="s">
        <v>160</v>
      </c>
    </row>
    <row r="220" spans="1:9">
      <c r="A220" s="118"/>
      <c r="B220" s="118"/>
      <c r="C220" s="127">
        <v>1</v>
      </c>
      <c r="D220" s="127">
        <v>2</v>
      </c>
      <c r="E220" s="127">
        <v>3</v>
      </c>
      <c r="F220" s="127">
        <v>4</v>
      </c>
      <c r="G220" s="127">
        <v>5</v>
      </c>
      <c r="H220" s="128">
        <v>6</v>
      </c>
      <c r="I220" s="127">
        <v>7</v>
      </c>
    </row>
    <row r="221" spans="1:9">
      <c r="A221" s="118"/>
      <c r="B221" s="118"/>
      <c r="C221" s="129" t="s">
        <v>4</v>
      </c>
      <c r="D221" s="130" t="s">
        <v>161</v>
      </c>
      <c r="E221" s="130"/>
      <c r="F221" s="131"/>
      <c r="G221" s="132"/>
      <c r="H221" s="133"/>
      <c r="I221" s="166"/>
    </row>
    <row r="222" spans="1:9">
      <c r="A222" s="118"/>
      <c r="B222" s="118"/>
      <c r="C222" s="134">
        <v>1</v>
      </c>
      <c r="D222" s="135" t="s">
        <v>162</v>
      </c>
      <c r="E222" s="136" t="s">
        <v>163</v>
      </c>
      <c r="F222" s="137" t="s">
        <v>164</v>
      </c>
      <c r="G222" s="138">
        <v>0.3</v>
      </c>
      <c r="H222" s="139">
        <f>'DAFTAR HARGA'!I12</f>
        <v>90000</v>
      </c>
      <c r="I222" s="167">
        <f>G222*H222</f>
        <v>27000</v>
      </c>
    </row>
    <row r="223" spans="1:9">
      <c r="A223" s="118"/>
      <c r="B223" s="118"/>
      <c r="C223" s="134">
        <v>2</v>
      </c>
      <c r="D223" s="135" t="s">
        <v>203</v>
      </c>
      <c r="E223" s="136" t="s">
        <v>166</v>
      </c>
      <c r="F223" s="137" t="s">
        <v>164</v>
      </c>
      <c r="G223" s="138">
        <v>0.1</v>
      </c>
      <c r="H223" s="139">
        <f>'DAFTAR HARGA'!I11</f>
        <v>120000</v>
      </c>
      <c r="I223" s="167">
        <f>G223*H223</f>
        <v>12000</v>
      </c>
    </row>
    <row r="224" spans="1:9">
      <c r="A224" s="118"/>
      <c r="B224" s="118"/>
      <c r="C224" s="134">
        <v>3</v>
      </c>
      <c r="D224" s="135" t="s">
        <v>204</v>
      </c>
      <c r="E224" s="136" t="s">
        <v>168</v>
      </c>
      <c r="F224" s="137" t="s">
        <v>164</v>
      </c>
      <c r="G224" s="138">
        <v>0.01</v>
      </c>
      <c r="H224" s="139">
        <f>'DAFTAR HARGA'!I10</f>
        <v>170000</v>
      </c>
      <c r="I224" s="167">
        <f>G224*H224</f>
        <v>1700</v>
      </c>
    </row>
    <row r="225" spans="1:9">
      <c r="A225" s="118"/>
      <c r="B225" s="118"/>
      <c r="C225" s="140">
        <v>4</v>
      </c>
      <c r="D225" s="141" t="s">
        <v>169</v>
      </c>
      <c r="E225" s="142" t="s">
        <v>170</v>
      </c>
      <c r="F225" s="137" t="s">
        <v>164</v>
      </c>
      <c r="G225" s="143">
        <v>0.015</v>
      </c>
      <c r="H225" s="139">
        <f>'DAFTAR HARGA'!I8</f>
        <v>215000</v>
      </c>
      <c r="I225" s="167">
        <f>G225*H225</f>
        <v>3225</v>
      </c>
    </row>
    <row r="226" spans="1:9">
      <c r="A226" s="118"/>
      <c r="B226" s="118"/>
      <c r="C226" s="145" t="s">
        <v>171</v>
      </c>
      <c r="D226" s="146"/>
      <c r="E226" s="146"/>
      <c r="F226" s="146"/>
      <c r="G226" s="146"/>
      <c r="H226" s="146"/>
      <c r="I226" s="168">
        <f>SUM(I222:I225)</f>
        <v>43925</v>
      </c>
    </row>
    <row r="227" spans="1:9">
      <c r="A227" s="118"/>
      <c r="B227" s="118"/>
      <c r="C227" s="147" t="s">
        <v>172</v>
      </c>
      <c r="D227" s="130" t="s">
        <v>173</v>
      </c>
      <c r="E227" s="148"/>
      <c r="F227" s="132"/>
      <c r="G227" s="132"/>
      <c r="H227" s="131"/>
      <c r="I227" s="166"/>
    </row>
    <row r="228" spans="1:9">
      <c r="A228" s="118"/>
      <c r="B228" s="118"/>
      <c r="C228" s="134">
        <v>1</v>
      </c>
      <c r="D228" s="135" t="s">
        <v>239</v>
      </c>
      <c r="E228" s="136"/>
      <c r="F228" s="137" t="s">
        <v>34</v>
      </c>
      <c r="G228" s="138">
        <v>70</v>
      </c>
      <c r="H228" s="149">
        <f>'DAFTAR HARGA'!I39</f>
        <v>825</v>
      </c>
      <c r="I228" s="167">
        <f>G228*H228</f>
        <v>57750</v>
      </c>
    </row>
    <row r="229" spans="1:9">
      <c r="A229" s="118"/>
      <c r="B229" s="118"/>
      <c r="C229" s="134">
        <v>2</v>
      </c>
      <c r="D229" s="135" t="s">
        <v>240</v>
      </c>
      <c r="E229" s="136"/>
      <c r="F229" s="137" t="s">
        <v>176</v>
      </c>
      <c r="G229" s="138">
        <v>11.5</v>
      </c>
      <c r="H229" s="149">
        <f>'DAFTAR HARGA'!I128</f>
        <v>1200</v>
      </c>
      <c r="I229" s="167">
        <f>G229*H229</f>
        <v>13800</v>
      </c>
    </row>
    <row r="230" spans="1:9">
      <c r="A230" s="118"/>
      <c r="B230" s="118"/>
      <c r="C230" s="134">
        <v>3</v>
      </c>
      <c r="D230" s="135" t="s">
        <v>207</v>
      </c>
      <c r="E230" s="136"/>
      <c r="F230" s="137" t="s">
        <v>121</v>
      </c>
      <c r="G230" s="138">
        <v>0.043</v>
      </c>
      <c r="H230" s="149">
        <f>'DAFTAR HARGA'!I108</f>
        <v>84400</v>
      </c>
      <c r="I230" s="167">
        <f>G230*H230</f>
        <v>3629.2</v>
      </c>
    </row>
    <row r="231" spans="1:9">
      <c r="A231" s="118"/>
      <c r="B231" s="118"/>
      <c r="C231" s="152" t="s">
        <v>178</v>
      </c>
      <c r="D231" s="153"/>
      <c r="E231" s="153"/>
      <c r="F231" s="153"/>
      <c r="G231" s="153"/>
      <c r="H231" s="153"/>
      <c r="I231" s="169">
        <f>SUM(I228:I230)</f>
        <v>75179.2</v>
      </c>
    </row>
    <row r="232" spans="1:9">
      <c r="A232" s="115"/>
      <c r="B232" s="115"/>
      <c r="C232" s="147" t="s">
        <v>179</v>
      </c>
      <c r="D232" s="130" t="s">
        <v>180</v>
      </c>
      <c r="E232" s="148"/>
      <c r="F232" s="132"/>
      <c r="G232" s="132"/>
      <c r="H232" s="133"/>
      <c r="I232" s="166"/>
    </row>
    <row r="233" spans="1:9">
      <c r="A233" s="115"/>
      <c r="B233" s="115"/>
      <c r="C233" s="140"/>
      <c r="D233" s="141"/>
      <c r="E233" s="142"/>
      <c r="F233" s="150"/>
      <c r="G233" s="154"/>
      <c r="H233" s="144"/>
      <c r="I233" s="170"/>
    </row>
    <row r="234" spans="1:9">
      <c r="A234" s="115"/>
      <c r="B234" s="115"/>
      <c r="C234" s="152" t="s">
        <v>181</v>
      </c>
      <c r="D234" s="153"/>
      <c r="E234" s="153"/>
      <c r="F234" s="153"/>
      <c r="G234" s="153"/>
      <c r="H234" s="153"/>
      <c r="I234" s="171">
        <f>SUM(I233)</f>
        <v>0</v>
      </c>
    </row>
    <row r="235" spans="1:9">
      <c r="A235" s="115"/>
      <c r="B235" s="115"/>
      <c r="C235" s="127" t="s">
        <v>182</v>
      </c>
      <c r="D235" s="155" t="s">
        <v>183</v>
      </c>
      <c r="E235" s="156"/>
      <c r="F235" s="157"/>
      <c r="G235" s="157"/>
      <c r="H235" s="158"/>
      <c r="I235" s="171">
        <f>SUM(I226,I231,I234)</f>
        <v>119104.2</v>
      </c>
    </row>
    <row r="236" spans="1:9">
      <c r="A236" s="115"/>
      <c r="B236" s="115"/>
      <c r="C236" s="127" t="s">
        <v>184</v>
      </c>
      <c r="D236" s="155" t="s">
        <v>185</v>
      </c>
      <c r="E236" s="156"/>
      <c r="F236" s="159">
        <v>0.15</v>
      </c>
      <c r="G236" s="157" t="s">
        <v>186</v>
      </c>
      <c r="H236" s="158"/>
      <c r="I236" s="171">
        <f>I235*F236</f>
        <v>17865.63</v>
      </c>
    </row>
    <row r="237" spans="1:9">
      <c r="A237" s="115"/>
      <c r="B237" s="115"/>
      <c r="C237" s="160" t="s">
        <v>187</v>
      </c>
      <c r="D237" s="161" t="s">
        <v>188</v>
      </c>
      <c r="E237" s="124"/>
      <c r="F237" s="125"/>
      <c r="G237" s="125"/>
      <c r="H237" s="162"/>
      <c r="I237" s="172">
        <f>SUM(I235:I236)</f>
        <v>136969.83</v>
      </c>
    </row>
    <row r="238" spans="1:9">
      <c r="A238" s="110"/>
      <c r="B238" s="2"/>
      <c r="C238" s="180"/>
      <c r="D238" s="175"/>
      <c r="E238" s="115"/>
      <c r="F238" s="184"/>
      <c r="G238" s="187"/>
      <c r="H238" s="183"/>
      <c r="I238" s="186"/>
    </row>
    <row r="239" spans="1:9">
      <c r="A239" s="118" t="s">
        <v>241</v>
      </c>
      <c r="B239" s="118"/>
      <c r="C239" s="174" t="s">
        <v>242</v>
      </c>
      <c r="D239" s="175"/>
      <c r="E239" s="175"/>
      <c r="F239" s="175"/>
      <c r="G239" s="175"/>
      <c r="H239" s="175"/>
      <c r="I239" s="178"/>
    </row>
    <row r="240" spans="1:9">
      <c r="A240" s="118"/>
      <c r="B240" s="118"/>
      <c r="C240" s="123" t="s">
        <v>108</v>
      </c>
      <c r="D240" s="124" t="s">
        <v>109</v>
      </c>
      <c r="E240" s="124" t="s">
        <v>156</v>
      </c>
      <c r="F240" s="125" t="s">
        <v>157</v>
      </c>
      <c r="G240" s="125" t="s">
        <v>158</v>
      </c>
      <c r="H240" s="126" t="s">
        <v>159</v>
      </c>
      <c r="I240" s="165" t="s">
        <v>160</v>
      </c>
    </row>
    <row r="241" spans="1:9">
      <c r="A241" s="118"/>
      <c r="B241" s="118"/>
      <c r="C241" s="127">
        <v>1</v>
      </c>
      <c r="D241" s="127">
        <v>2</v>
      </c>
      <c r="E241" s="127">
        <v>3</v>
      </c>
      <c r="F241" s="127">
        <v>4</v>
      </c>
      <c r="G241" s="127">
        <v>5</v>
      </c>
      <c r="H241" s="128">
        <v>6</v>
      </c>
      <c r="I241" s="127">
        <v>7</v>
      </c>
    </row>
    <row r="242" spans="1:9">
      <c r="A242" s="118"/>
      <c r="B242" s="118"/>
      <c r="C242" s="129" t="s">
        <v>4</v>
      </c>
      <c r="D242" s="130" t="s">
        <v>161</v>
      </c>
      <c r="E242" s="130"/>
      <c r="F242" s="131"/>
      <c r="G242" s="132"/>
      <c r="H242" s="133"/>
      <c r="I242" s="166"/>
    </row>
    <row r="243" spans="1:9">
      <c r="A243" s="118"/>
      <c r="B243" s="118"/>
      <c r="C243" s="134">
        <v>1</v>
      </c>
      <c r="D243" s="135" t="s">
        <v>162</v>
      </c>
      <c r="E243" s="136" t="s">
        <v>163</v>
      </c>
      <c r="F243" s="137" t="s">
        <v>164</v>
      </c>
      <c r="G243" s="138">
        <v>0.3</v>
      </c>
      <c r="H243" s="139">
        <f>H222</f>
        <v>90000</v>
      </c>
      <c r="I243" s="167">
        <f>G243*H243</f>
        <v>27000</v>
      </c>
    </row>
    <row r="244" spans="1:9">
      <c r="A244" s="118"/>
      <c r="B244" s="118"/>
      <c r="C244" s="134">
        <v>2</v>
      </c>
      <c r="D244" s="135" t="s">
        <v>203</v>
      </c>
      <c r="E244" s="136" t="s">
        <v>166</v>
      </c>
      <c r="F244" s="137" t="s">
        <v>164</v>
      </c>
      <c r="G244" s="138">
        <v>0.15</v>
      </c>
      <c r="H244" s="139">
        <f>H223</f>
        <v>120000</v>
      </c>
      <c r="I244" s="167">
        <f>G244*H244</f>
        <v>18000</v>
      </c>
    </row>
    <row r="245" spans="1:9">
      <c r="A245" s="118"/>
      <c r="B245" s="118"/>
      <c r="C245" s="134">
        <v>3</v>
      </c>
      <c r="D245" s="135" t="s">
        <v>204</v>
      </c>
      <c r="E245" s="136" t="s">
        <v>168</v>
      </c>
      <c r="F245" s="137" t="s">
        <v>164</v>
      </c>
      <c r="G245" s="138">
        <v>0.015</v>
      </c>
      <c r="H245" s="139">
        <f>H224</f>
        <v>170000</v>
      </c>
      <c r="I245" s="167">
        <f>G245*H245</f>
        <v>2550</v>
      </c>
    </row>
    <row r="246" spans="1:9">
      <c r="A246" s="118"/>
      <c r="B246" s="118"/>
      <c r="C246" s="140">
        <v>4</v>
      </c>
      <c r="D246" s="141" t="s">
        <v>169</v>
      </c>
      <c r="E246" s="142" t="s">
        <v>170</v>
      </c>
      <c r="F246" s="137" t="s">
        <v>164</v>
      </c>
      <c r="G246" s="143">
        <v>0.015</v>
      </c>
      <c r="H246" s="139">
        <f>H225</f>
        <v>215000</v>
      </c>
      <c r="I246" s="167">
        <f>G246*H246</f>
        <v>3225</v>
      </c>
    </row>
    <row r="247" spans="1:9">
      <c r="A247" s="118"/>
      <c r="B247" s="118"/>
      <c r="C247" s="145" t="s">
        <v>171</v>
      </c>
      <c r="D247" s="146"/>
      <c r="E247" s="146"/>
      <c r="F247" s="146"/>
      <c r="G247" s="146"/>
      <c r="H247" s="146"/>
      <c r="I247" s="168">
        <f>SUM(I243:I246)</f>
        <v>50775</v>
      </c>
    </row>
    <row r="248" spans="1:9">
      <c r="A248" s="118"/>
      <c r="B248" s="118"/>
      <c r="C248" s="147" t="s">
        <v>172</v>
      </c>
      <c r="D248" s="130" t="s">
        <v>173</v>
      </c>
      <c r="E248" s="148"/>
      <c r="F248" s="132"/>
      <c r="G248" s="132"/>
      <c r="H248" s="131"/>
      <c r="I248" s="166"/>
    </row>
    <row r="249" spans="1:9">
      <c r="A249" s="118"/>
      <c r="B249" s="118"/>
      <c r="C249" s="134">
        <v>1</v>
      </c>
      <c r="D249" s="135" t="s">
        <v>243</v>
      </c>
      <c r="E249" s="136"/>
      <c r="F249" s="137" t="s">
        <v>244</v>
      </c>
      <c r="G249" s="138">
        <v>3.456</v>
      </c>
      <c r="H249" s="149">
        <f>'DAFTAR HARGA'!I128</f>
        <v>1200</v>
      </c>
      <c r="I249" s="167">
        <f>G249*H249</f>
        <v>4147.2</v>
      </c>
    </row>
    <row r="250" spans="1:9">
      <c r="A250" s="118"/>
      <c r="B250" s="118"/>
      <c r="C250" s="134">
        <v>2</v>
      </c>
      <c r="D250" s="135" t="s">
        <v>245</v>
      </c>
      <c r="E250" s="136"/>
      <c r="F250" s="137" t="s">
        <v>121</v>
      </c>
      <c r="G250" s="138">
        <v>0.029</v>
      </c>
      <c r="H250" s="149">
        <f>'DAFTAR HARGA'!I108</f>
        <v>84400</v>
      </c>
      <c r="I250" s="167">
        <f>G250*H250</f>
        <v>2447.6</v>
      </c>
    </row>
    <row r="251" spans="1:9">
      <c r="A251" s="118"/>
      <c r="B251" s="118"/>
      <c r="C251" s="152" t="s">
        <v>178</v>
      </c>
      <c r="D251" s="153"/>
      <c r="E251" s="153"/>
      <c r="F251" s="153"/>
      <c r="G251" s="153"/>
      <c r="H251" s="153"/>
      <c r="I251" s="169">
        <f>SUM(I249:I250)</f>
        <v>6594.8</v>
      </c>
    </row>
    <row r="252" spans="1:9">
      <c r="A252" s="115"/>
      <c r="B252" s="115"/>
      <c r="C252" s="147" t="s">
        <v>179</v>
      </c>
      <c r="D252" s="130" t="s">
        <v>180</v>
      </c>
      <c r="E252" s="148"/>
      <c r="F252" s="132"/>
      <c r="G252" s="132"/>
      <c r="H252" s="133"/>
      <c r="I252" s="166"/>
    </row>
    <row r="253" ht="18" customHeight="1" spans="1:9">
      <c r="A253" s="115"/>
      <c r="B253" s="115"/>
      <c r="C253" s="140"/>
      <c r="D253" s="141"/>
      <c r="E253" s="142"/>
      <c r="F253" s="150"/>
      <c r="G253" s="154"/>
      <c r="H253" s="144"/>
      <c r="I253" s="170"/>
    </row>
    <row r="254" spans="1:9">
      <c r="A254" s="115"/>
      <c r="B254" s="115"/>
      <c r="C254" s="152" t="s">
        <v>181</v>
      </c>
      <c r="D254" s="153"/>
      <c r="E254" s="153"/>
      <c r="F254" s="153"/>
      <c r="G254" s="153"/>
      <c r="H254" s="153"/>
      <c r="I254" s="171">
        <f>SUM(I253)</f>
        <v>0</v>
      </c>
    </row>
    <row r="255" spans="1:9">
      <c r="A255" s="115"/>
      <c r="B255" s="115"/>
      <c r="C255" s="127" t="s">
        <v>182</v>
      </c>
      <c r="D255" s="155" t="s">
        <v>183</v>
      </c>
      <c r="E255" s="156"/>
      <c r="F255" s="157"/>
      <c r="G255" s="157"/>
      <c r="H255" s="158"/>
      <c r="I255" s="171">
        <f>SUM(I247,I251,I254)</f>
        <v>57369.8</v>
      </c>
    </row>
    <row r="256" spans="1:9">
      <c r="A256" s="115"/>
      <c r="B256" s="115"/>
      <c r="C256" s="127" t="s">
        <v>184</v>
      </c>
      <c r="D256" s="155" t="s">
        <v>185</v>
      </c>
      <c r="E256" s="156"/>
      <c r="F256" s="159">
        <v>0.15</v>
      </c>
      <c r="G256" s="157" t="s">
        <v>186</v>
      </c>
      <c r="H256" s="158"/>
      <c r="I256" s="171">
        <f>I255*F256</f>
        <v>8605.47</v>
      </c>
    </row>
    <row r="257" spans="1:9">
      <c r="A257" s="115"/>
      <c r="B257" s="115"/>
      <c r="C257" s="160" t="s">
        <v>187</v>
      </c>
      <c r="D257" s="161" t="s">
        <v>188</v>
      </c>
      <c r="E257" s="124"/>
      <c r="F257" s="125"/>
      <c r="G257" s="125"/>
      <c r="H257" s="162"/>
      <c r="I257" s="172">
        <f>SUM(I255:I256)</f>
        <v>65975.27</v>
      </c>
    </row>
    <row r="258" spans="1:9">
      <c r="A258" s="110"/>
      <c r="B258" s="2"/>
      <c r="C258" s="180"/>
      <c r="D258" s="175"/>
      <c r="E258" s="115"/>
      <c r="F258" s="184"/>
      <c r="G258" s="187"/>
      <c r="H258" s="183"/>
      <c r="I258" s="186"/>
    </row>
    <row r="259" spans="1:9">
      <c r="A259" s="118" t="s">
        <v>246</v>
      </c>
      <c r="B259" s="118"/>
      <c r="C259" s="174" t="s">
        <v>247</v>
      </c>
      <c r="D259" s="175"/>
      <c r="E259" s="175"/>
      <c r="F259" s="175"/>
      <c r="G259" s="175"/>
      <c r="H259" s="175"/>
      <c r="I259" s="178"/>
    </row>
    <row r="260" spans="1:9">
      <c r="A260" s="118"/>
      <c r="B260" s="118"/>
      <c r="C260" s="123" t="s">
        <v>108</v>
      </c>
      <c r="D260" s="124" t="s">
        <v>109</v>
      </c>
      <c r="E260" s="124" t="s">
        <v>156</v>
      </c>
      <c r="F260" s="125" t="s">
        <v>157</v>
      </c>
      <c r="G260" s="125" t="s">
        <v>158</v>
      </c>
      <c r="H260" s="126" t="s">
        <v>159</v>
      </c>
      <c r="I260" s="165" t="s">
        <v>160</v>
      </c>
    </row>
    <row r="261" ht="18" customHeight="1" spans="1:9">
      <c r="A261" s="118"/>
      <c r="B261" s="118"/>
      <c r="C261" s="127">
        <v>1</v>
      </c>
      <c r="D261" s="127">
        <v>2</v>
      </c>
      <c r="E261" s="127">
        <v>3</v>
      </c>
      <c r="F261" s="127">
        <v>4</v>
      </c>
      <c r="G261" s="127">
        <v>5</v>
      </c>
      <c r="H261" s="128">
        <v>6</v>
      </c>
      <c r="I261" s="127">
        <v>7</v>
      </c>
    </row>
    <row r="262" spans="1:9">
      <c r="A262" s="118"/>
      <c r="B262" s="118"/>
      <c r="C262" s="129" t="s">
        <v>4</v>
      </c>
      <c r="D262" s="130" t="s">
        <v>161</v>
      </c>
      <c r="E262" s="130"/>
      <c r="F262" s="131"/>
      <c r="G262" s="132"/>
      <c r="H262" s="133"/>
      <c r="I262" s="166"/>
    </row>
    <row r="263" spans="1:9">
      <c r="A263" s="118"/>
      <c r="B263" s="118"/>
      <c r="C263" s="134">
        <v>1</v>
      </c>
      <c r="D263" s="135" t="s">
        <v>162</v>
      </c>
      <c r="E263" s="136" t="s">
        <v>163</v>
      </c>
      <c r="F263" s="137" t="s">
        <v>164</v>
      </c>
      <c r="G263" s="138">
        <v>0.2</v>
      </c>
      <c r="H263" s="139">
        <f>H243</f>
        <v>90000</v>
      </c>
      <c r="I263" s="167">
        <f>G263*H263</f>
        <v>18000</v>
      </c>
    </row>
    <row r="264" spans="1:9">
      <c r="A264" s="118"/>
      <c r="B264" s="118"/>
      <c r="C264" s="134">
        <v>2</v>
      </c>
      <c r="D264" s="135" t="s">
        <v>203</v>
      </c>
      <c r="E264" s="136" t="s">
        <v>166</v>
      </c>
      <c r="F264" s="137" t="s">
        <v>164</v>
      </c>
      <c r="G264" s="138">
        <v>0.1</v>
      </c>
      <c r="H264" s="139">
        <f>H244</f>
        <v>120000</v>
      </c>
      <c r="I264" s="167">
        <f>G264*H264</f>
        <v>12000</v>
      </c>
    </row>
    <row r="265" spans="1:9">
      <c r="A265" s="118"/>
      <c r="B265" s="118"/>
      <c r="C265" s="134">
        <v>3</v>
      </c>
      <c r="D265" s="135" t="s">
        <v>204</v>
      </c>
      <c r="E265" s="136" t="s">
        <v>168</v>
      </c>
      <c r="F265" s="137" t="s">
        <v>164</v>
      </c>
      <c r="G265" s="138">
        <v>0.01</v>
      </c>
      <c r="H265" s="139">
        <f>H245</f>
        <v>170000</v>
      </c>
      <c r="I265" s="167">
        <f>G265*H265</f>
        <v>1700</v>
      </c>
    </row>
    <row r="266" ht="18" customHeight="1" spans="1:9">
      <c r="A266" s="118"/>
      <c r="B266" s="118"/>
      <c r="C266" s="140">
        <v>4</v>
      </c>
      <c r="D266" s="141" t="s">
        <v>169</v>
      </c>
      <c r="E266" s="142" t="s">
        <v>170</v>
      </c>
      <c r="F266" s="137" t="s">
        <v>164</v>
      </c>
      <c r="G266" s="143">
        <v>0.01</v>
      </c>
      <c r="H266" s="139">
        <f>H246</f>
        <v>215000</v>
      </c>
      <c r="I266" s="167">
        <f>G266*H266</f>
        <v>2150</v>
      </c>
    </row>
    <row r="267" spans="1:9">
      <c r="A267" s="118"/>
      <c r="B267" s="118"/>
      <c r="C267" s="145" t="s">
        <v>171</v>
      </c>
      <c r="D267" s="146"/>
      <c r="E267" s="146"/>
      <c r="F267" s="146"/>
      <c r="G267" s="146"/>
      <c r="H267" s="146"/>
      <c r="I267" s="168">
        <f>SUM(I263:I266)</f>
        <v>33850</v>
      </c>
    </row>
    <row r="268" ht="18" customHeight="1" spans="1:9">
      <c r="A268" s="118"/>
      <c r="B268" s="118"/>
      <c r="C268" s="147" t="s">
        <v>172</v>
      </c>
      <c r="D268" s="130" t="s">
        <v>173</v>
      </c>
      <c r="E268" s="148"/>
      <c r="F268" s="132"/>
      <c r="G268" s="132"/>
      <c r="H268" s="131"/>
      <c r="I268" s="166"/>
    </row>
    <row r="269" ht="18" customHeight="1" spans="1:9">
      <c r="A269" s="118"/>
      <c r="B269" s="118"/>
      <c r="C269" s="134">
        <v>1</v>
      </c>
      <c r="D269" s="135" t="s">
        <v>243</v>
      </c>
      <c r="E269" s="136"/>
      <c r="F269" s="137" t="s">
        <v>244</v>
      </c>
      <c r="G269" s="138">
        <v>3.25</v>
      </c>
      <c r="H269" s="149">
        <f>H249</f>
        <v>1200</v>
      </c>
      <c r="I269" s="167">
        <f>G269*H269</f>
        <v>3900</v>
      </c>
    </row>
    <row r="270" spans="1:9">
      <c r="A270" s="118"/>
      <c r="B270" s="118"/>
      <c r="C270" s="152" t="s">
        <v>178</v>
      </c>
      <c r="D270" s="153"/>
      <c r="E270" s="153"/>
      <c r="F270" s="153"/>
      <c r="G270" s="153"/>
      <c r="H270" s="153"/>
      <c r="I270" s="169">
        <f>SUM(I269:I269)</f>
        <v>3900</v>
      </c>
    </row>
    <row r="271" spans="1:9">
      <c r="A271" s="115"/>
      <c r="B271" s="115"/>
      <c r="C271" s="147" t="s">
        <v>179</v>
      </c>
      <c r="D271" s="130" t="s">
        <v>180</v>
      </c>
      <c r="E271" s="148"/>
      <c r="F271" s="132"/>
      <c r="G271" s="132"/>
      <c r="H271" s="133"/>
      <c r="I271" s="166"/>
    </row>
    <row r="272" spans="1:9">
      <c r="A272" s="115"/>
      <c r="B272" s="115"/>
      <c r="C272" s="140"/>
      <c r="D272" s="141"/>
      <c r="E272" s="142"/>
      <c r="F272" s="150"/>
      <c r="G272" s="154"/>
      <c r="H272" s="144"/>
      <c r="I272" s="170"/>
    </row>
    <row r="273" spans="1:9">
      <c r="A273" s="115"/>
      <c r="B273" s="115"/>
      <c r="C273" s="152" t="s">
        <v>181</v>
      </c>
      <c r="D273" s="153"/>
      <c r="E273" s="153"/>
      <c r="F273" s="153"/>
      <c r="G273" s="153"/>
      <c r="H273" s="153"/>
      <c r="I273" s="171">
        <f>SUM(I272)</f>
        <v>0</v>
      </c>
    </row>
    <row r="274" spans="1:9">
      <c r="A274" s="115"/>
      <c r="B274" s="115"/>
      <c r="C274" s="127" t="s">
        <v>182</v>
      </c>
      <c r="D274" s="155" t="s">
        <v>183</v>
      </c>
      <c r="E274" s="156"/>
      <c r="F274" s="157"/>
      <c r="G274" s="157"/>
      <c r="H274" s="158"/>
      <c r="I274" s="171">
        <f>SUM(I267,I270,I273)</f>
        <v>37750</v>
      </c>
    </row>
    <row r="275" spans="1:9">
      <c r="A275" s="115"/>
      <c r="B275" s="115"/>
      <c r="C275" s="127" t="s">
        <v>184</v>
      </c>
      <c r="D275" s="155" t="s">
        <v>185</v>
      </c>
      <c r="E275" s="156"/>
      <c r="F275" s="159">
        <v>0.15</v>
      </c>
      <c r="G275" s="157" t="s">
        <v>186</v>
      </c>
      <c r="H275" s="158"/>
      <c r="I275" s="171">
        <f>I274*F275</f>
        <v>5662.5</v>
      </c>
    </row>
    <row r="276" spans="1:9">
      <c r="A276" s="115"/>
      <c r="B276" s="115"/>
      <c r="C276" s="160" t="s">
        <v>187</v>
      </c>
      <c r="D276" s="161" t="s">
        <v>188</v>
      </c>
      <c r="E276" s="124"/>
      <c r="F276" s="125"/>
      <c r="G276" s="125"/>
      <c r="H276" s="162"/>
      <c r="I276" s="172">
        <f>SUM(I274:I275)</f>
        <v>43412.5</v>
      </c>
    </row>
    <row r="277" spans="1:9">
      <c r="A277" s="115"/>
      <c r="B277" s="115"/>
      <c r="C277" s="116"/>
      <c r="D277" s="117"/>
      <c r="E277" s="118"/>
      <c r="F277" s="119"/>
      <c r="G277" s="119"/>
      <c r="H277" s="120"/>
      <c r="I277" s="164"/>
    </row>
    <row r="278" spans="1:9">
      <c r="A278" s="118" t="s">
        <v>248</v>
      </c>
      <c r="B278" s="118"/>
      <c r="C278" s="174" t="s">
        <v>249</v>
      </c>
      <c r="D278" s="175"/>
      <c r="E278" s="175"/>
      <c r="F278" s="175"/>
      <c r="G278" s="175"/>
      <c r="H278" s="175"/>
      <c r="I278" s="178"/>
    </row>
    <row r="279" spans="1:9">
      <c r="A279" s="118"/>
      <c r="B279" s="118"/>
      <c r="C279" s="123" t="s">
        <v>108</v>
      </c>
      <c r="D279" s="124" t="s">
        <v>109</v>
      </c>
      <c r="E279" s="124" t="s">
        <v>156</v>
      </c>
      <c r="F279" s="125" t="s">
        <v>157</v>
      </c>
      <c r="G279" s="125" t="s">
        <v>158</v>
      </c>
      <c r="H279" s="126" t="s">
        <v>159</v>
      </c>
      <c r="I279" s="165" t="s">
        <v>160</v>
      </c>
    </row>
    <row r="280" spans="1:9">
      <c r="A280" s="118"/>
      <c r="B280" s="118"/>
      <c r="C280" s="127">
        <v>1</v>
      </c>
      <c r="D280" s="127">
        <v>2</v>
      </c>
      <c r="E280" s="127">
        <v>3</v>
      </c>
      <c r="F280" s="127">
        <v>4</v>
      </c>
      <c r="G280" s="127">
        <v>5</v>
      </c>
      <c r="H280" s="128">
        <v>6</v>
      </c>
      <c r="I280" s="127">
        <v>7</v>
      </c>
    </row>
    <row r="281" spans="1:9">
      <c r="A281" s="118"/>
      <c r="B281" s="118"/>
      <c r="C281" s="129" t="s">
        <v>4</v>
      </c>
      <c r="D281" s="130" t="s">
        <v>161</v>
      </c>
      <c r="E281" s="130"/>
      <c r="F281" s="131"/>
      <c r="G281" s="132"/>
      <c r="H281" s="133"/>
      <c r="I281" s="166"/>
    </row>
    <row r="282" spans="1:9">
      <c r="A282" s="118"/>
      <c r="B282" s="118"/>
      <c r="C282" s="134">
        <v>1</v>
      </c>
      <c r="D282" s="135" t="s">
        <v>162</v>
      </c>
      <c r="E282" s="136" t="s">
        <v>163</v>
      </c>
      <c r="F282" s="137" t="s">
        <v>164</v>
      </c>
      <c r="G282" s="138">
        <v>0.7</v>
      </c>
      <c r="H282" s="139">
        <f>H263</f>
        <v>90000</v>
      </c>
      <c r="I282" s="167">
        <f>G282*H282</f>
        <v>63000</v>
      </c>
    </row>
    <row r="283" spans="1:9">
      <c r="A283" s="118"/>
      <c r="B283" s="118"/>
      <c r="C283" s="134">
        <v>2</v>
      </c>
      <c r="D283" s="135" t="s">
        <v>203</v>
      </c>
      <c r="E283" s="136" t="s">
        <v>166</v>
      </c>
      <c r="F283" s="137" t="s">
        <v>164</v>
      </c>
      <c r="G283" s="138">
        <v>0.35</v>
      </c>
      <c r="H283" s="139">
        <f>H264</f>
        <v>120000</v>
      </c>
      <c r="I283" s="167">
        <f>G283*H283</f>
        <v>42000</v>
      </c>
    </row>
    <row r="284" spans="1:9">
      <c r="A284" s="118"/>
      <c r="B284" s="118"/>
      <c r="C284" s="134">
        <v>3</v>
      </c>
      <c r="D284" s="135" t="s">
        <v>204</v>
      </c>
      <c r="E284" s="136" t="s">
        <v>168</v>
      </c>
      <c r="F284" s="137" t="s">
        <v>164</v>
      </c>
      <c r="G284" s="138">
        <v>0.035</v>
      </c>
      <c r="H284" s="139">
        <f>H265</f>
        <v>170000</v>
      </c>
      <c r="I284" s="167">
        <f>G284*H284</f>
        <v>5950</v>
      </c>
    </row>
    <row r="285" spans="1:9">
      <c r="A285" s="118"/>
      <c r="B285" s="118"/>
      <c r="C285" s="140">
        <v>4</v>
      </c>
      <c r="D285" s="141" t="s">
        <v>169</v>
      </c>
      <c r="E285" s="142" t="s">
        <v>170</v>
      </c>
      <c r="F285" s="137" t="s">
        <v>164</v>
      </c>
      <c r="G285" s="143">
        <v>0.035</v>
      </c>
      <c r="H285" s="139">
        <f>H266</f>
        <v>215000</v>
      </c>
      <c r="I285" s="167">
        <f>G285*H285</f>
        <v>7525</v>
      </c>
    </row>
    <row r="286" spans="1:9">
      <c r="A286" s="118"/>
      <c r="B286" s="118"/>
      <c r="C286" s="152" t="s">
        <v>171</v>
      </c>
      <c r="D286" s="153"/>
      <c r="E286" s="153"/>
      <c r="F286" s="153"/>
      <c r="G286" s="153"/>
      <c r="H286" s="189"/>
      <c r="I286" s="168">
        <f>SUM(I282:I285)</f>
        <v>118475</v>
      </c>
    </row>
    <row r="287" spans="1:9">
      <c r="A287" s="118"/>
      <c r="B287" s="118"/>
      <c r="C287" s="147" t="s">
        <v>172</v>
      </c>
      <c r="D287" s="130" t="s">
        <v>173</v>
      </c>
      <c r="E287" s="148"/>
      <c r="F287" s="132"/>
      <c r="G287" s="132"/>
      <c r="H287" s="131"/>
      <c r="I287" s="166"/>
    </row>
    <row r="288" spans="1:9">
      <c r="A288" s="118"/>
      <c r="B288" s="118"/>
      <c r="C288" s="134">
        <v>1</v>
      </c>
      <c r="D288" s="135" t="s">
        <v>250</v>
      </c>
      <c r="E288" s="136"/>
      <c r="F288" s="137" t="s">
        <v>126</v>
      </c>
      <c r="G288" s="138">
        <v>1.1</v>
      </c>
      <c r="H288" s="149">
        <f>'DAFTAR HARGA'!I79</f>
        <v>185000</v>
      </c>
      <c r="I288" s="167">
        <f>G288*H288</f>
        <v>203500</v>
      </c>
    </row>
    <row r="289" spans="1:9">
      <c r="A289" s="118"/>
      <c r="B289" s="118"/>
      <c r="C289" s="134">
        <v>2</v>
      </c>
      <c r="D289" s="135" t="s">
        <v>240</v>
      </c>
      <c r="E289" s="136"/>
      <c r="F289" s="137" t="s">
        <v>176</v>
      </c>
      <c r="G289" s="138">
        <v>10</v>
      </c>
      <c r="H289" s="149">
        <f>'DAFTAR HARGA'!I128</f>
        <v>1200</v>
      </c>
      <c r="I289" s="167">
        <f>G289*H289</f>
        <v>12000</v>
      </c>
    </row>
    <row r="290" spans="1:9">
      <c r="A290" s="118"/>
      <c r="B290" s="118"/>
      <c r="C290" s="134">
        <v>3</v>
      </c>
      <c r="D290" s="135" t="s">
        <v>207</v>
      </c>
      <c r="E290" s="136"/>
      <c r="F290" s="137" t="s">
        <v>121</v>
      </c>
      <c r="G290" s="138">
        <v>0.045</v>
      </c>
      <c r="H290" s="149">
        <f>'DAFTAR HARGA'!I108</f>
        <v>84400</v>
      </c>
      <c r="I290" s="167">
        <f>G290*H290</f>
        <v>3798</v>
      </c>
    </row>
    <row r="291" spans="1:9">
      <c r="A291" s="118"/>
      <c r="B291" s="118"/>
      <c r="C291" s="140">
        <v>4</v>
      </c>
      <c r="D291" s="141" t="s">
        <v>251</v>
      </c>
      <c r="E291" s="142"/>
      <c r="F291" s="150" t="s">
        <v>176</v>
      </c>
      <c r="G291" s="143">
        <v>1.5</v>
      </c>
      <c r="H291" s="151">
        <f>'DAFTAR HARGA'!I129</f>
        <v>13320</v>
      </c>
      <c r="I291" s="167">
        <f>G291*H291</f>
        <v>19980</v>
      </c>
    </row>
    <row r="292" spans="1:9">
      <c r="A292" s="118"/>
      <c r="B292" s="118"/>
      <c r="C292" s="152" t="s">
        <v>178</v>
      </c>
      <c r="D292" s="153"/>
      <c r="E292" s="153"/>
      <c r="F292" s="153"/>
      <c r="G292" s="153"/>
      <c r="H292" s="189"/>
      <c r="I292" s="169">
        <f>SUM(I288:I291)</f>
        <v>239278</v>
      </c>
    </row>
    <row r="293" spans="1:9">
      <c r="A293" s="115"/>
      <c r="B293" s="115"/>
      <c r="C293" s="147" t="s">
        <v>179</v>
      </c>
      <c r="D293" s="130" t="s">
        <v>180</v>
      </c>
      <c r="E293" s="148"/>
      <c r="F293" s="132"/>
      <c r="G293" s="132"/>
      <c r="H293" s="133"/>
      <c r="I293" s="166"/>
    </row>
    <row r="294" spans="1:9">
      <c r="A294" s="115"/>
      <c r="B294" s="115"/>
      <c r="C294" s="140"/>
      <c r="D294" s="141"/>
      <c r="E294" s="142"/>
      <c r="F294" s="150"/>
      <c r="G294" s="154"/>
      <c r="H294" s="144"/>
      <c r="I294" s="170"/>
    </row>
    <row r="295" spans="1:9">
      <c r="A295" s="115"/>
      <c r="B295" s="115"/>
      <c r="C295" s="152" t="s">
        <v>181</v>
      </c>
      <c r="D295" s="153"/>
      <c r="E295" s="153"/>
      <c r="F295" s="153"/>
      <c r="G295" s="153"/>
      <c r="H295" s="189"/>
      <c r="I295" s="171">
        <f>SUM(I294)</f>
        <v>0</v>
      </c>
    </row>
    <row r="296" spans="1:9">
      <c r="A296" s="115"/>
      <c r="B296" s="115"/>
      <c r="C296" s="127" t="s">
        <v>182</v>
      </c>
      <c r="D296" s="155" t="s">
        <v>183</v>
      </c>
      <c r="E296" s="156"/>
      <c r="F296" s="157"/>
      <c r="G296" s="157"/>
      <c r="H296" s="158"/>
      <c r="I296" s="171">
        <f>SUM(I286,I292,I295)</f>
        <v>357753</v>
      </c>
    </row>
    <row r="297" spans="1:9">
      <c r="A297" s="115"/>
      <c r="B297" s="115"/>
      <c r="C297" s="127" t="s">
        <v>184</v>
      </c>
      <c r="D297" s="155" t="s">
        <v>185</v>
      </c>
      <c r="E297" s="156"/>
      <c r="F297" s="159">
        <v>0.15</v>
      </c>
      <c r="G297" s="157" t="s">
        <v>186</v>
      </c>
      <c r="H297" s="158"/>
      <c r="I297" s="171">
        <f>I296*F297</f>
        <v>53662.95</v>
      </c>
    </row>
    <row r="298" spans="1:9">
      <c r="A298" s="115"/>
      <c r="B298" s="115"/>
      <c r="C298" s="160" t="s">
        <v>187</v>
      </c>
      <c r="D298" s="161" t="s">
        <v>188</v>
      </c>
      <c r="E298" s="124"/>
      <c r="F298" s="125"/>
      <c r="G298" s="125"/>
      <c r="H298" s="162"/>
      <c r="I298" s="172">
        <f>SUM(I296:I297)</f>
        <v>411415.95</v>
      </c>
    </row>
    <row r="299" spans="1:9">
      <c r="A299" s="115"/>
      <c r="B299" s="115"/>
      <c r="C299" s="116"/>
      <c r="D299" s="117"/>
      <c r="E299" s="118"/>
      <c r="F299" s="119"/>
      <c r="G299" s="119"/>
      <c r="H299" s="120"/>
      <c r="I299" s="164"/>
    </row>
    <row r="300" spans="1:9">
      <c r="A300" s="118" t="s">
        <v>252</v>
      </c>
      <c r="B300" s="118"/>
      <c r="C300" s="174" t="s">
        <v>253</v>
      </c>
      <c r="D300" s="175"/>
      <c r="E300" s="175"/>
      <c r="F300" s="175"/>
      <c r="G300" s="175"/>
      <c r="H300" s="175"/>
      <c r="I300" s="178"/>
    </row>
    <row r="301" spans="1:9">
      <c r="A301" s="118"/>
      <c r="B301" s="118"/>
      <c r="C301" s="123" t="s">
        <v>108</v>
      </c>
      <c r="D301" s="124" t="s">
        <v>109</v>
      </c>
      <c r="E301" s="124" t="s">
        <v>156</v>
      </c>
      <c r="F301" s="125" t="s">
        <v>157</v>
      </c>
      <c r="G301" s="125" t="s">
        <v>158</v>
      </c>
      <c r="H301" s="126" t="s">
        <v>159</v>
      </c>
      <c r="I301" s="165" t="s">
        <v>160</v>
      </c>
    </row>
    <row r="302" spans="1:9">
      <c r="A302" s="118"/>
      <c r="B302" s="118"/>
      <c r="C302" s="127">
        <v>1</v>
      </c>
      <c r="D302" s="127">
        <v>2</v>
      </c>
      <c r="E302" s="127">
        <v>3</v>
      </c>
      <c r="F302" s="127">
        <v>4</v>
      </c>
      <c r="G302" s="127">
        <v>5</v>
      </c>
      <c r="H302" s="128">
        <v>6</v>
      </c>
      <c r="I302" s="127">
        <v>7</v>
      </c>
    </row>
    <row r="303" spans="1:9">
      <c r="A303" s="118"/>
      <c r="B303" s="118"/>
      <c r="C303" s="129" t="s">
        <v>4</v>
      </c>
      <c r="D303" s="130" t="s">
        <v>161</v>
      </c>
      <c r="E303" s="130"/>
      <c r="F303" s="131"/>
      <c r="G303" s="132"/>
      <c r="H303" s="133"/>
      <c r="I303" s="166"/>
    </row>
    <row r="304" spans="1:9">
      <c r="A304" s="118"/>
      <c r="B304" s="118"/>
      <c r="C304" s="134">
        <v>1</v>
      </c>
      <c r="D304" s="135" t="s">
        <v>162</v>
      </c>
      <c r="E304" s="136" t="s">
        <v>163</v>
      </c>
      <c r="F304" s="137" t="s">
        <v>164</v>
      </c>
      <c r="G304" s="138">
        <v>0.7</v>
      </c>
      <c r="H304" s="139">
        <f>H282</f>
        <v>90000</v>
      </c>
      <c r="I304" s="167">
        <f>G304*H304</f>
        <v>63000</v>
      </c>
    </row>
    <row r="305" spans="1:9">
      <c r="A305" s="118"/>
      <c r="B305" s="118"/>
      <c r="C305" s="134">
        <v>2</v>
      </c>
      <c r="D305" s="135" t="s">
        <v>203</v>
      </c>
      <c r="E305" s="136" t="s">
        <v>166</v>
      </c>
      <c r="F305" s="137" t="s">
        <v>164</v>
      </c>
      <c r="G305" s="138">
        <v>0.35</v>
      </c>
      <c r="H305" s="139">
        <f>H283</f>
        <v>120000</v>
      </c>
      <c r="I305" s="167">
        <f>G305*H305</f>
        <v>42000</v>
      </c>
    </row>
    <row r="306" spans="1:9">
      <c r="A306" s="118"/>
      <c r="B306" s="118"/>
      <c r="C306" s="134">
        <v>3</v>
      </c>
      <c r="D306" s="135" t="s">
        <v>204</v>
      </c>
      <c r="E306" s="136" t="s">
        <v>168</v>
      </c>
      <c r="F306" s="137" t="s">
        <v>164</v>
      </c>
      <c r="G306" s="138">
        <v>0.035</v>
      </c>
      <c r="H306" s="139">
        <f>H284</f>
        <v>170000</v>
      </c>
      <c r="I306" s="167">
        <f>G306*H306</f>
        <v>5950</v>
      </c>
    </row>
    <row r="307" spans="1:9">
      <c r="A307" s="118"/>
      <c r="B307" s="118"/>
      <c r="C307" s="140">
        <v>4</v>
      </c>
      <c r="D307" s="141" t="s">
        <v>169</v>
      </c>
      <c r="E307" s="142" t="s">
        <v>170</v>
      </c>
      <c r="F307" s="137" t="s">
        <v>164</v>
      </c>
      <c r="G307" s="143">
        <v>0.035</v>
      </c>
      <c r="H307" s="139">
        <f>H285</f>
        <v>215000</v>
      </c>
      <c r="I307" s="167">
        <f>G307*H307</f>
        <v>7525</v>
      </c>
    </row>
    <row r="308" spans="1:9">
      <c r="A308" s="118"/>
      <c r="B308" s="118"/>
      <c r="C308" s="145" t="s">
        <v>171</v>
      </c>
      <c r="D308" s="146"/>
      <c r="E308" s="146"/>
      <c r="F308" s="146"/>
      <c r="G308" s="146"/>
      <c r="H308" s="146"/>
      <c r="I308" s="168">
        <f>SUM(I304:I307)</f>
        <v>118475</v>
      </c>
    </row>
    <row r="309" spans="1:9">
      <c r="A309" s="118"/>
      <c r="B309" s="118"/>
      <c r="C309" s="147" t="s">
        <v>172</v>
      </c>
      <c r="D309" s="130" t="s">
        <v>173</v>
      </c>
      <c r="E309" s="148"/>
      <c r="F309" s="132"/>
      <c r="G309" s="132"/>
      <c r="H309" s="131"/>
      <c r="I309" s="166"/>
    </row>
    <row r="310" spans="1:9">
      <c r="A310" s="118"/>
      <c r="B310" s="118"/>
      <c r="C310" s="134">
        <v>1</v>
      </c>
      <c r="D310" s="135" t="s">
        <v>254</v>
      </c>
      <c r="E310" s="136"/>
      <c r="F310" s="137" t="s">
        <v>126</v>
      </c>
      <c r="G310" s="138">
        <v>1.1</v>
      </c>
      <c r="H310" s="149">
        <f>'DAFTAR HARGA'!I78</f>
        <v>60500</v>
      </c>
      <c r="I310" s="167">
        <f>G310*H310</f>
        <v>66550</v>
      </c>
    </row>
    <row r="311" spans="1:9">
      <c r="A311" s="118"/>
      <c r="B311" s="118"/>
      <c r="C311" s="134">
        <v>2</v>
      </c>
      <c r="D311" s="135" t="s">
        <v>240</v>
      </c>
      <c r="E311" s="136"/>
      <c r="F311" s="137" t="s">
        <v>176</v>
      </c>
      <c r="G311" s="138">
        <v>10</v>
      </c>
      <c r="H311" s="149">
        <f>H289</f>
        <v>1200</v>
      </c>
      <c r="I311" s="167">
        <f>G311*H311</f>
        <v>12000</v>
      </c>
    </row>
    <row r="312" spans="1:9">
      <c r="A312" s="118"/>
      <c r="B312" s="118"/>
      <c r="C312" s="134">
        <v>3</v>
      </c>
      <c r="D312" s="135" t="s">
        <v>207</v>
      </c>
      <c r="E312" s="136"/>
      <c r="F312" s="137" t="s">
        <v>121</v>
      </c>
      <c r="G312" s="138">
        <v>0.045</v>
      </c>
      <c r="H312" s="149">
        <f>H290</f>
        <v>84400</v>
      </c>
      <c r="I312" s="167">
        <f>G312*H312</f>
        <v>3798</v>
      </c>
    </row>
    <row r="313" spans="1:9">
      <c r="A313" s="118"/>
      <c r="B313" s="118"/>
      <c r="C313" s="140">
        <v>4</v>
      </c>
      <c r="D313" s="141" t="s">
        <v>251</v>
      </c>
      <c r="E313" s="142"/>
      <c r="F313" s="150" t="s">
        <v>176</v>
      </c>
      <c r="G313" s="143">
        <v>1.5</v>
      </c>
      <c r="H313" s="149">
        <f>H291</f>
        <v>13320</v>
      </c>
      <c r="I313" s="167">
        <f>G313*H313</f>
        <v>19980</v>
      </c>
    </row>
    <row r="314" spans="1:9">
      <c r="A314" s="118"/>
      <c r="B314" s="118"/>
      <c r="C314" s="152" t="s">
        <v>178</v>
      </c>
      <c r="D314" s="153"/>
      <c r="E314" s="153"/>
      <c r="F314" s="153"/>
      <c r="G314" s="153"/>
      <c r="H314" s="153"/>
      <c r="I314" s="169">
        <f>SUM(I310:I313)</f>
        <v>102328</v>
      </c>
    </row>
    <row r="315" spans="1:9">
      <c r="A315" s="115"/>
      <c r="B315" s="115"/>
      <c r="C315" s="147" t="s">
        <v>179</v>
      </c>
      <c r="D315" s="130" t="s">
        <v>180</v>
      </c>
      <c r="E315" s="148"/>
      <c r="F315" s="132"/>
      <c r="G315" s="132"/>
      <c r="H315" s="133"/>
      <c r="I315" s="166"/>
    </row>
    <row r="316" spans="1:9">
      <c r="A316" s="115"/>
      <c r="B316" s="115"/>
      <c r="C316" s="140"/>
      <c r="D316" s="141"/>
      <c r="E316" s="142"/>
      <c r="F316" s="150"/>
      <c r="G316" s="154"/>
      <c r="H316" s="144"/>
      <c r="I316" s="170"/>
    </row>
    <row r="317" spans="1:9">
      <c r="A317" s="115"/>
      <c r="B317" s="115"/>
      <c r="C317" s="152" t="s">
        <v>181</v>
      </c>
      <c r="D317" s="153"/>
      <c r="E317" s="153"/>
      <c r="F317" s="153"/>
      <c r="G317" s="153"/>
      <c r="H317" s="153"/>
      <c r="I317" s="171">
        <f>SUM(I316)</f>
        <v>0</v>
      </c>
    </row>
    <row r="318" spans="1:9">
      <c r="A318" s="115"/>
      <c r="B318" s="115"/>
      <c r="C318" s="127" t="s">
        <v>182</v>
      </c>
      <c r="D318" s="155" t="s">
        <v>183</v>
      </c>
      <c r="E318" s="156"/>
      <c r="F318" s="157"/>
      <c r="G318" s="157"/>
      <c r="H318" s="158"/>
      <c r="I318" s="171">
        <f>SUM(I308,I314,I317)</f>
        <v>220803</v>
      </c>
    </row>
    <row r="319" spans="1:9">
      <c r="A319" s="115"/>
      <c r="B319" s="115"/>
      <c r="C319" s="127" t="s">
        <v>184</v>
      </c>
      <c r="D319" s="155" t="s">
        <v>185</v>
      </c>
      <c r="E319" s="156"/>
      <c r="F319" s="159">
        <v>0.15</v>
      </c>
      <c r="G319" s="157" t="s">
        <v>186</v>
      </c>
      <c r="H319" s="158"/>
      <c r="I319" s="171">
        <f>I318*F319</f>
        <v>33120.45</v>
      </c>
    </row>
    <row r="320" spans="1:9">
      <c r="A320" s="115"/>
      <c r="B320" s="115"/>
      <c r="C320" s="160" t="s">
        <v>187</v>
      </c>
      <c r="D320" s="161" t="s">
        <v>188</v>
      </c>
      <c r="E320" s="124"/>
      <c r="F320" s="125"/>
      <c r="G320" s="125"/>
      <c r="H320" s="162"/>
      <c r="I320" s="172">
        <f>SUM(I318:I319)</f>
        <v>253923.45</v>
      </c>
    </row>
    <row r="321" spans="1:9">
      <c r="A321" s="110"/>
      <c r="B321" s="2"/>
      <c r="C321" s="180"/>
      <c r="D321" s="175"/>
      <c r="E321" s="115"/>
      <c r="F321" s="184"/>
      <c r="G321" s="187"/>
      <c r="H321" s="183"/>
      <c r="I321" s="186"/>
    </row>
    <row r="322" spans="1:9">
      <c r="A322" s="118" t="s">
        <v>255</v>
      </c>
      <c r="B322" s="118"/>
      <c r="C322" s="174" t="s">
        <v>256</v>
      </c>
      <c r="D322" s="175"/>
      <c r="E322" s="175"/>
      <c r="F322" s="175"/>
      <c r="G322" s="175"/>
      <c r="H322" s="175"/>
      <c r="I322" s="178"/>
    </row>
    <row r="323" spans="1:9">
      <c r="A323" s="118"/>
      <c r="B323" s="118"/>
      <c r="C323" s="123" t="s">
        <v>108</v>
      </c>
      <c r="D323" s="124" t="s">
        <v>109</v>
      </c>
      <c r="E323" s="124" t="s">
        <v>156</v>
      </c>
      <c r="F323" s="125" t="s">
        <v>157</v>
      </c>
      <c r="G323" s="125" t="s">
        <v>158</v>
      </c>
      <c r="H323" s="126" t="s">
        <v>159</v>
      </c>
      <c r="I323" s="165" t="s">
        <v>160</v>
      </c>
    </row>
    <row r="324" spans="1:9">
      <c r="A324" s="118"/>
      <c r="B324" s="118"/>
      <c r="C324" s="127">
        <v>1</v>
      </c>
      <c r="D324" s="127">
        <v>2</v>
      </c>
      <c r="E324" s="127">
        <v>3</v>
      </c>
      <c r="F324" s="127">
        <v>4</v>
      </c>
      <c r="G324" s="127">
        <v>5</v>
      </c>
      <c r="H324" s="128">
        <v>6</v>
      </c>
      <c r="I324" s="127">
        <v>7</v>
      </c>
    </row>
    <row r="325" spans="1:9">
      <c r="A325" s="118"/>
      <c r="B325" s="118"/>
      <c r="C325" s="129" t="s">
        <v>4</v>
      </c>
      <c r="D325" s="130" t="s">
        <v>161</v>
      </c>
      <c r="E325" s="130"/>
      <c r="F325" s="131"/>
      <c r="G325" s="132"/>
      <c r="H325" s="133"/>
      <c r="I325" s="166"/>
    </row>
    <row r="326" spans="1:9">
      <c r="A326" s="118"/>
      <c r="B326" s="118"/>
      <c r="C326" s="134">
        <v>1</v>
      </c>
      <c r="D326" s="135" t="s">
        <v>162</v>
      </c>
      <c r="E326" s="136" t="s">
        <v>163</v>
      </c>
      <c r="F326" s="137" t="s">
        <v>164</v>
      </c>
      <c r="G326" s="138">
        <v>0.09</v>
      </c>
      <c r="H326" s="139">
        <f>H304</f>
        <v>90000</v>
      </c>
      <c r="I326" s="167">
        <f>G326*H326</f>
        <v>8100</v>
      </c>
    </row>
    <row r="327" spans="1:9">
      <c r="A327" s="118"/>
      <c r="B327" s="118"/>
      <c r="C327" s="134">
        <v>2</v>
      </c>
      <c r="D327" s="135" t="s">
        <v>203</v>
      </c>
      <c r="E327" s="136" t="s">
        <v>166</v>
      </c>
      <c r="F327" s="137" t="s">
        <v>164</v>
      </c>
      <c r="G327" s="138">
        <v>0.09</v>
      </c>
      <c r="H327" s="139">
        <f>H305</f>
        <v>120000</v>
      </c>
      <c r="I327" s="167">
        <f>G327*H327</f>
        <v>10800</v>
      </c>
    </row>
    <row r="328" spans="1:9">
      <c r="A328" s="118"/>
      <c r="B328" s="118"/>
      <c r="C328" s="134">
        <v>3</v>
      </c>
      <c r="D328" s="135" t="s">
        <v>204</v>
      </c>
      <c r="E328" s="136" t="s">
        <v>168</v>
      </c>
      <c r="F328" s="137" t="s">
        <v>164</v>
      </c>
      <c r="G328" s="138">
        <v>0.035</v>
      </c>
      <c r="H328" s="139">
        <f>H306</f>
        <v>170000</v>
      </c>
      <c r="I328" s="167">
        <f>G328*H328</f>
        <v>5950</v>
      </c>
    </row>
    <row r="329" spans="1:9">
      <c r="A329" s="118"/>
      <c r="B329" s="118"/>
      <c r="C329" s="140">
        <v>4</v>
      </c>
      <c r="D329" s="141" t="s">
        <v>169</v>
      </c>
      <c r="E329" s="142" t="s">
        <v>170</v>
      </c>
      <c r="F329" s="137" t="s">
        <v>164</v>
      </c>
      <c r="G329" s="143">
        <v>0.005</v>
      </c>
      <c r="H329" s="139">
        <f>H307</f>
        <v>215000</v>
      </c>
      <c r="I329" s="167">
        <f>G329*H329</f>
        <v>1075</v>
      </c>
    </row>
    <row r="330" spans="1:9">
      <c r="A330" s="118"/>
      <c r="B330" s="118"/>
      <c r="C330" s="152" t="s">
        <v>171</v>
      </c>
      <c r="D330" s="153"/>
      <c r="E330" s="153"/>
      <c r="F330" s="153"/>
      <c r="G330" s="153"/>
      <c r="H330" s="189"/>
      <c r="I330" s="168">
        <f>SUM(I326:I329)</f>
        <v>25925</v>
      </c>
    </row>
    <row r="331" spans="1:9">
      <c r="A331" s="118"/>
      <c r="B331" s="118"/>
      <c r="C331" s="147" t="s">
        <v>172</v>
      </c>
      <c r="D331" s="130" t="s">
        <v>173</v>
      </c>
      <c r="E331" s="148"/>
      <c r="F331" s="132"/>
      <c r="G331" s="132"/>
      <c r="H331" s="131"/>
      <c r="I331" s="166"/>
    </row>
    <row r="332" spans="1:9">
      <c r="A332" s="118"/>
      <c r="B332" s="118"/>
      <c r="C332" s="134">
        <v>1</v>
      </c>
      <c r="D332" s="135" t="s">
        <v>257</v>
      </c>
      <c r="E332" s="136"/>
      <c r="F332" s="137" t="s">
        <v>34</v>
      </c>
      <c r="G332" s="138">
        <v>2.7</v>
      </c>
      <c r="H332" s="149">
        <f>'DAFTAR HARGA'!I88</f>
        <v>18500</v>
      </c>
      <c r="I332" s="167">
        <f>G332*H332</f>
        <v>49950</v>
      </c>
    </row>
    <row r="333" spans="1:9">
      <c r="A333" s="118"/>
      <c r="B333" s="118"/>
      <c r="C333" s="134">
        <v>2</v>
      </c>
      <c r="D333" s="135" t="s">
        <v>240</v>
      </c>
      <c r="E333" s="136"/>
      <c r="F333" s="137" t="s">
        <v>176</v>
      </c>
      <c r="G333" s="138">
        <v>1.14</v>
      </c>
      <c r="H333" s="149">
        <f>'DAFTAR HARGA'!I128</f>
        <v>1200</v>
      </c>
      <c r="I333" s="167">
        <f>G333*H333</f>
        <v>1368</v>
      </c>
    </row>
    <row r="334" spans="1:9">
      <c r="A334" s="118"/>
      <c r="B334" s="118"/>
      <c r="C334" s="134">
        <v>3</v>
      </c>
      <c r="D334" s="135" t="s">
        <v>207</v>
      </c>
      <c r="E334" s="136"/>
      <c r="F334" s="137" t="s">
        <v>121</v>
      </c>
      <c r="G334" s="138">
        <v>0.003</v>
      </c>
      <c r="H334" s="149">
        <f>'DAFTAR HARGA'!I108</f>
        <v>84400</v>
      </c>
      <c r="I334" s="167">
        <f>G334*H334</f>
        <v>253.2</v>
      </c>
    </row>
    <row r="335" spans="1:9">
      <c r="A335" s="118"/>
      <c r="B335" s="118"/>
      <c r="C335" s="140">
        <v>4</v>
      </c>
      <c r="D335" s="141" t="s">
        <v>251</v>
      </c>
      <c r="E335" s="142"/>
      <c r="F335" s="150" t="s">
        <v>176</v>
      </c>
      <c r="G335" s="143">
        <v>0.025</v>
      </c>
      <c r="H335" s="149">
        <f>'DAFTAR HARGA'!I129</f>
        <v>13320</v>
      </c>
      <c r="I335" s="167">
        <f>G335*H335</f>
        <v>333</v>
      </c>
    </row>
    <row r="336" spans="1:9">
      <c r="A336" s="118"/>
      <c r="B336" s="118"/>
      <c r="C336" s="152" t="s">
        <v>178</v>
      </c>
      <c r="D336" s="153"/>
      <c r="E336" s="153"/>
      <c r="F336" s="153"/>
      <c r="G336" s="153"/>
      <c r="H336" s="189"/>
      <c r="I336" s="169">
        <f>SUM(I332:I335)</f>
        <v>51904.2</v>
      </c>
    </row>
    <row r="337" spans="1:9">
      <c r="A337" s="115"/>
      <c r="B337" s="115"/>
      <c r="C337" s="147" t="s">
        <v>179</v>
      </c>
      <c r="D337" s="130" t="s">
        <v>180</v>
      </c>
      <c r="E337" s="148"/>
      <c r="F337" s="132"/>
      <c r="G337" s="132"/>
      <c r="H337" s="133"/>
      <c r="I337" s="166"/>
    </row>
    <row r="338" spans="1:9">
      <c r="A338" s="115"/>
      <c r="B338" s="115"/>
      <c r="C338" s="140"/>
      <c r="D338" s="141"/>
      <c r="E338" s="142"/>
      <c r="F338" s="150"/>
      <c r="G338" s="154"/>
      <c r="H338" s="144"/>
      <c r="I338" s="170"/>
    </row>
    <row r="339" spans="1:9">
      <c r="A339" s="115"/>
      <c r="B339" s="115"/>
      <c r="C339" s="152" t="s">
        <v>181</v>
      </c>
      <c r="D339" s="153"/>
      <c r="E339" s="153"/>
      <c r="F339" s="153"/>
      <c r="G339" s="153"/>
      <c r="H339" s="189"/>
      <c r="I339" s="171">
        <f>SUM(I338)</f>
        <v>0</v>
      </c>
    </row>
    <row r="340" spans="1:9">
      <c r="A340" s="115"/>
      <c r="B340" s="115"/>
      <c r="C340" s="127" t="s">
        <v>182</v>
      </c>
      <c r="D340" s="155" t="s">
        <v>183</v>
      </c>
      <c r="E340" s="156"/>
      <c r="F340" s="157"/>
      <c r="G340" s="157"/>
      <c r="H340" s="158"/>
      <c r="I340" s="171">
        <f>SUM(I330,I336,I339)</f>
        <v>77829.2</v>
      </c>
    </row>
    <row r="341" spans="1:9">
      <c r="A341" s="115"/>
      <c r="B341" s="115"/>
      <c r="C341" s="127" t="s">
        <v>184</v>
      </c>
      <c r="D341" s="155" t="s">
        <v>185</v>
      </c>
      <c r="E341" s="156"/>
      <c r="F341" s="159">
        <v>0.15</v>
      </c>
      <c r="G341" s="157" t="s">
        <v>186</v>
      </c>
      <c r="H341" s="158"/>
      <c r="I341" s="171">
        <f>I340*F341</f>
        <v>11674.38</v>
      </c>
    </row>
    <row r="342" spans="1:9">
      <c r="A342" s="115"/>
      <c r="B342" s="115"/>
      <c r="C342" s="160" t="s">
        <v>187</v>
      </c>
      <c r="D342" s="161" t="s">
        <v>188</v>
      </c>
      <c r="E342" s="124"/>
      <c r="F342" s="125"/>
      <c r="G342" s="125"/>
      <c r="H342" s="162"/>
      <c r="I342" s="172">
        <f>SUM(I340:I341)</f>
        <v>89503.58</v>
      </c>
    </row>
    <row r="343" spans="1:9">
      <c r="A343" s="110"/>
      <c r="B343" s="2"/>
      <c r="C343" s="180"/>
      <c r="D343" s="175"/>
      <c r="E343" s="115"/>
      <c r="F343" s="184"/>
      <c r="G343" s="187"/>
      <c r="H343" s="183"/>
      <c r="I343" s="186"/>
    </row>
    <row r="344" spans="1:9">
      <c r="A344" s="118" t="s">
        <v>258</v>
      </c>
      <c r="B344" s="118"/>
      <c r="C344" s="174" t="s">
        <v>259</v>
      </c>
      <c r="D344" s="175"/>
      <c r="E344" s="175"/>
      <c r="F344" s="175"/>
      <c r="G344" s="175"/>
      <c r="H344" s="175"/>
      <c r="I344" s="178"/>
    </row>
    <row r="345" spans="1:9">
      <c r="A345" s="118"/>
      <c r="B345" s="118"/>
      <c r="C345" s="123" t="s">
        <v>108</v>
      </c>
      <c r="D345" s="124" t="s">
        <v>109</v>
      </c>
      <c r="E345" s="124" t="s">
        <v>156</v>
      </c>
      <c r="F345" s="125" t="s">
        <v>157</v>
      </c>
      <c r="G345" s="125" t="s">
        <v>158</v>
      </c>
      <c r="H345" s="126" t="s">
        <v>159</v>
      </c>
      <c r="I345" s="165" t="s">
        <v>160</v>
      </c>
    </row>
    <row r="346" spans="1:9">
      <c r="A346" s="118"/>
      <c r="B346" s="118"/>
      <c r="C346" s="127">
        <v>1</v>
      </c>
      <c r="D346" s="127">
        <v>2</v>
      </c>
      <c r="E346" s="127">
        <v>3</v>
      </c>
      <c r="F346" s="127">
        <v>4</v>
      </c>
      <c r="G346" s="127">
        <v>5</v>
      </c>
      <c r="H346" s="128">
        <v>6</v>
      </c>
      <c r="I346" s="127">
        <v>7</v>
      </c>
    </row>
    <row r="347" spans="1:9">
      <c r="A347" s="118"/>
      <c r="B347" s="118"/>
      <c r="C347" s="129" t="s">
        <v>4</v>
      </c>
      <c r="D347" s="130" t="s">
        <v>161</v>
      </c>
      <c r="E347" s="130"/>
      <c r="F347" s="131"/>
      <c r="G347" s="132"/>
      <c r="H347" s="133"/>
      <c r="I347" s="166"/>
    </row>
    <row r="348" spans="1:9">
      <c r="A348" s="118"/>
      <c r="B348" s="118"/>
      <c r="C348" s="134">
        <v>1</v>
      </c>
      <c r="D348" s="135" t="s">
        <v>162</v>
      </c>
      <c r="E348" s="136" t="s">
        <v>163</v>
      </c>
      <c r="F348" s="137" t="s">
        <v>164</v>
      </c>
      <c r="G348" s="138">
        <v>0.7</v>
      </c>
      <c r="H348" s="139">
        <f>H370</f>
        <v>90000</v>
      </c>
      <c r="I348" s="167">
        <f>G348*H348</f>
        <v>63000</v>
      </c>
    </row>
    <row r="349" spans="1:9">
      <c r="A349" s="118"/>
      <c r="B349" s="118"/>
      <c r="C349" s="134">
        <v>2</v>
      </c>
      <c r="D349" s="135" t="s">
        <v>203</v>
      </c>
      <c r="E349" s="136" t="s">
        <v>166</v>
      </c>
      <c r="F349" s="137" t="s">
        <v>164</v>
      </c>
      <c r="G349" s="138">
        <v>0.35</v>
      </c>
      <c r="H349" s="139">
        <f>H371</f>
        <v>120000</v>
      </c>
      <c r="I349" s="167">
        <f>G349*H349</f>
        <v>42000</v>
      </c>
    </row>
    <row r="350" spans="1:9">
      <c r="A350" s="118"/>
      <c r="B350" s="118"/>
      <c r="C350" s="134">
        <v>3</v>
      </c>
      <c r="D350" s="135" t="s">
        <v>204</v>
      </c>
      <c r="E350" s="136" t="s">
        <v>168</v>
      </c>
      <c r="F350" s="137" t="s">
        <v>164</v>
      </c>
      <c r="G350" s="138">
        <v>0.035</v>
      </c>
      <c r="H350" s="139">
        <f>H372</f>
        <v>170000</v>
      </c>
      <c r="I350" s="167">
        <f>G350*H350</f>
        <v>5950</v>
      </c>
    </row>
    <row r="351" spans="1:9">
      <c r="A351" s="118"/>
      <c r="B351" s="118"/>
      <c r="C351" s="140">
        <v>4</v>
      </c>
      <c r="D351" s="141" t="s">
        <v>169</v>
      </c>
      <c r="E351" s="142" t="s">
        <v>170</v>
      </c>
      <c r="F351" s="137" t="s">
        <v>164</v>
      </c>
      <c r="G351" s="143">
        <v>0.035</v>
      </c>
      <c r="H351" s="139">
        <f>H373</f>
        <v>215000</v>
      </c>
      <c r="I351" s="167">
        <f>G351*H351</f>
        <v>7525</v>
      </c>
    </row>
    <row r="352" spans="1:9">
      <c r="A352" s="118"/>
      <c r="B352" s="118"/>
      <c r="C352" s="145" t="s">
        <v>171</v>
      </c>
      <c r="D352" s="146"/>
      <c r="E352" s="146"/>
      <c r="F352" s="146"/>
      <c r="G352" s="146"/>
      <c r="H352" s="146"/>
      <c r="I352" s="168">
        <f>SUM(I348:I351)</f>
        <v>118475</v>
      </c>
    </row>
    <row r="353" spans="1:9">
      <c r="A353" s="118"/>
      <c r="B353" s="118"/>
      <c r="C353" s="147" t="s">
        <v>172</v>
      </c>
      <c r="D353" s="130" t="s">
        <v>173</v>
      </c>
      <c r="E353" s="148"/>
      <c r="F353" s="132"/>
      <c r="G353" s="132"/>
      <c r="H353" s="131"/>
      <c r="I353" s="166"/>
    </row>
    <row r="354" spans="1:9">
      <c r="A354" s="118"/>
      <c r="B354" s="118"/>
      <c r="C354" s="134">
        <v>1</v>
      </c>
      <c r="D354" s="135" t="s">
        <v>260</v>
      </c>
      <c r="E354" s="136"/>
      <c r="F354" s="137" t="s">
        <v>126</v>
      </c>
      <c r="G354" s="138">
        <v>1.1</v>
      </c>
      <c r="H354" s="149">
        <f>'DAFTAR HARGA'!I77</f>
        <v>48000</v>
      </c>
      <c r="I354" s="167">
        <f>G354*H354</f>
        <v>52800</v>
      </c>
    </row>
    <row r="355" spans="1:9">
      <c r="A355" s="118"/>
      <c r="B355" s="118"/>
      <c r="C355" s="134">
        <v>2</v>
      </c>
      <c r="D355" s="135" t="s">
        <v>240</v>
      </c>
      <c r="E355" s="136"/>
      <c r="F355" s="137" t="s">
        <v>176</v>
      </c>
      <c r="G355" s="138">
        <v>10</v>
      </c>
      <c r="H355" s="149">
        <f>H377</f>
        <v>1200</v>
      </c>
      <c r="I355" s="167">
        <f>G355*H355</f>
        <v>12000</v>
      </c>
    </row>
    <row r="356" spans="1:9">
      <c r="A356" s="118"/>
      <c r="B356" s="118"/>
      <c r="C356" s="134">
        <v>3</v>
      </c>
      <c r="D356" s="135" t="s">
        <v>207</v>
      </c>
      <c r="E356" s="136"/>
      <c r="F356" s="137" t="s">
        <v>121</v>
      </c>
      <c r="G356" s="138">
        <v>0.045</v>
      </c>
      <c r="H356" s="149">
        <f>H378</f>
        <v>84400</v>
      </c>
      <c r="I356" s="167">
        <f>G356*H356</f>
        <v>3798</v>
      </c>
    </row>
    <row r="357" spans="1:9">
      <c r="A357" s="118"/>
      <c r="B357" s="118"/>
      <c r="C357" s="140">
        <v>4</v>
      </c>
      <c r="D357" s="141" t="s">
        <v>251</v>
      </c>
      <c r="E357" s="142"/>
      <c r="F357" s="150" t="s">
        <v>176</v>
      </c>
      <c r="G357" s="143">
        <v>1.5</v>
      </c>
      <c r="H357" s="149">
        <f>H379</f>
        <v>13320</v>
      </c>
      <c r="I357" s="167">
        <f>G357*H357</f>
        <v>19980</v>
      </c>
    </row>
    <row r="358" spans="1:9">
      <c r="A358" s="118"/>
      <c r="B358" s="118"/>
      <c r="C358" s="152" t="s">
        <v>178</v>
      </c>
      <c r="D358" s="153"/>
      <c r="E358" s="153"/>
      <c r="F358" s="153"/>
      <c r="G358" s="153"/>
      <c r="H358" s="153"/>
      <c r="I358" s="169">
        <f>SUM(I354:I357)</f>
        <v>88578</v>
      </c>
    </row>
    <row r="359" spans="1:9">
      <c r="A359" s="115"/>
      <c r="B359" s="115"/>
      <c r="C359" s="147" t="s">
        <v>179</v>
      </c>
      <c r="D359" s="130" t="s">
        <v>180</v>
      </c>
      <c r="E359" s="148"/>
      <c r="F359" s="132"/>
      <c r="G359" s="132"/>
      <c r="H359" s="133"/>
      <c r="I359" s="166"/>
    </row>
    <row r="360" spans="1:9">
      <c r="A360" s="115"/>
      <c r="B360" s="115"/>
      <c r="C360" s="140"/>
      <c r="D360" s="141"/>
      <c r="E360" s="142"/>
      <c r="F360" s="150"/>
      <c r="G360" s="154"/>
      <c r="H360" s="144"/>
      <c r="I360" s="170"/>
    </row>
    <row r="361" spans="1:9">
      <c r="A361" s="115"/>
      <c r="B361" s="115"/>
      <c r="C361" s="152" t="s">
        <v>181</v>
      </c>
      <c r="D361" s="153"/>
      <c r="E361" s="153"/>
      <c r="F361" s="153"/>
      <c r="G361" s="153"/>
      <c r="H361" s="153"/>
      <c r="I361" s="171">
        <f>SUM(I360)</f>
        <v>0</v>
      </c>
    </row>
    <row r="362" spans="1:9">
      <c r="A362" s="115"/>
      <c r="B362" s="115"/>
      <c r="C362" s="127" t="s">
        <v>182</v>
      </c>
      <c r="D362" s="155" t="s">
        <v>183</v>
      </c>
      <c r="E362" s="156"/>
      <c r="F362" s="157"/>
      <c r="G362" s="157"/>
      <c r="H362" s="158"/>
      <c r="I362" s="171">
        <f>SUM(I352,I358,I361)</f>
        <v>207053</v>
      </c>
    </row>
    <row r="363" spans="1:9">
      <c r="A363" s="115"/>
      <c r="B363" s="115"/>
      <c r="C363" s="127" t="s">
        <v>184</v>
      </c>
      <c r="D363" s="155" t="s">
        <v>185</v>
      </c>
      <c r="E363" s="156"/>
      <c r="F363" s="159">
        <v>0.15</v>
      </c>
      <c r="G363" s="157" t="s">
        <v>186</v>
      </c>
      <c r="H363" s="158"/>
      <c r="I363" s="171">
        <f>I362*F363</f>
        <v>31057.95</v>
      </c>
    </row>
    <row r="364" spans="1:9">
      <c r="A364" s="115"/>
      <c r="B364" s="115"/>
      <c r="C364" s="160" t="s">
        <v>187</v>
      </c>
      <c r="D364" s="161" t="s">
        <v>188</v>
      </c>
      <c r="E364" s="124"/>
      <c r="F364" s="125"/>
      <c r="G364" s="125"/>
      <c r="H364" s="162"/>
      <c r="I364" s="172">
        <f>SUM(I362:I363)</f>
        <v>238110.95</v>
      </c>
    </row>
    <row r="365" spans="1:9">
      <c r="A365" s="110"/>
      <c r="B365" s="2"/>
      <c r="C365" s="180"/>
      <c r="D365" s="175"/>
      <c r="E365" s="115"/>
      <c r="F365" s="184"/>
      <c r="G365" s="187"/>
      <c r="H365" s="183"/>
      <c r="I365" s="186"/>
    </row>
    <row r="366" spans="1:9">
      <c r="A366" s="118" t="s">
        <v>261</v>
      </c>
      <c r="B366" s="118"/>
      <c r="C366" s="174" t="s">
        <v>262</v>
      </c>
      <c r="D366" s="175"/>
      <c r="E366" s="175"/>
      <c r="F366" s="175"/>
      <c r="G366" s="175"/>
      <c r="H366" s="175"/>
      <c r="I366" s="178"/>
    </row>
    <row r="367" spans="1:9">
      <c r="A367" s="118"/>
      <c r="B367" s="118"/>
      <c r="C367" s="123" t="s">
        <v>108</v>
      </c>
      <c r="D367" s="124" t="s">
        <v>109</v>
      </c>
      <c r="E367" s="124" t="s">
        <v>156</v>
      </c>
      <c r="F367" s="125" t="s">
        <v>157</v>
      </c>
      <c r="G367" s="125" t="s">
        <v>158</v>
      </c>
      <c r="H367" s="126" t="s">
        <v>159</v>
      </c>
      <c r="I367" s="165" t="s">
        <v>160</v>
      </c>
    </row>
    <row r="368" spans="1:9">
      <c r="A368" s="118"/>
      <c r="B368" s="118"/>
      <c r="C368" s="127">
        <v>1</v>
      </c>
      <c r="D368" s="127">
        <v>2</v>
      </c>
      <c r="E368" s="127">
        <v>3</v>
      </c>
      <c r="F368" s="127">
        <v>4</v>
      </c>
      <c r="G368" s="127">
        <v>5</v>
      </c>
      <c r="H368" s="128">
        <v>6</v>
      </c>
      <c r="I368" s="127">
        <v>7</v>
      </c>
    </row>
    <row r="369" spans="1:9">
      <c r="A369" s="118"/>
      <c r="B369" s="118"/>
      <c r="C369" s="129" t="s">
        <v>4</v>
      </c>
      <c r="D369" s="130" t="s">
        <v>161</v>
      </c>
      <c r="E369" s="130"/>
      <c r="F369" s="131"/>
      <c r="G369" s="132"/>
      <c r="H369" s="133"/>
      <c r="I369" s="166"/>
    </row>
    <row r="370" spans="1:9">
      <c r="A370" s="118"/>
      <c r="B370" s="118"/>
      <c r="C370" s="134">
        <v>1</v>
      </c>
      <c r="D370" s="135" t="s">
        <v>162</v>
      </c>
      <c r="E370" s="136" t="s">
        <v>163</v>
      </c>
      <c r="F370" s="137" t="s">
        <v>164</v>
      </c>
      <c r="G370" s="138">
        <v>0.7</v>
      </c>
      <c r="H370" s="139">
        <f>H392</f>
        <v>90000</v>
      </c>
      <c r="I370" s="167">
        <f>G370*H370</f>
        <v>63000</v>
      </c>
    </row>
    <row r="371" spans="1:9">
      <c r="A371" s="118"/>
      <c r="B371" s="118"/>
      <c r="C371" s="134">
        <v>2</v>
      </c>
      <c r="D371" s="135" t="s">
        <v>203</v>
      </c>
      <c r="E371" s="136" t="s">
        <v>166</v>
      </c>
      <c r="F371" s="137" t="s">
        <v>164</v>
      </c>
      <c r="G371" s="138">
        <v>0.35</v>
      </c>
      <c r="H371" s="139">
        <f>H305</f>
        <v>120000</v>
      </c>
      <c r="I371" s="167">
        <f>G371*H371</f>
        <v>42000</v>
      </c>
    </row>
    <row r="372" spans="1:9">
      <c r="A372" s="118"/>
      <c r="B372" s="118"/>
      <c r="C372" s="134">
        <v>3</v>
      </c>
      <c r="D372" s="135" t="s">
        <v>204</v>
      </c>
      <c r="E372" s="136" t="s">
        <v>168</v>
      </c>
      <c r="F372" s="137" t="s">
        <v>164</v>
      </c>
      <c r="G372" s="138">
        <v>0.035</v>
      </c>
      <c r="H372" s="139">
        <f>H306</f>
        <v>170000</v>
      </c>
      <c r="I372" s="167">
        <f>G372*H372</f>
        <v>5950</v>
      </c>
    </row>
    <row r="373" spans="1:9">
      <c r="A373" s="118"/>
      <c r="B373" s="118"/>
      <c r="C373" s="140">
        <v>4</v>
      </c>
      <c r="D373" s="141" t="s">
        <v>169</v>
      </c>
      <c r="E373" s="142" t="s">
        <v>170</v>
      </c>
      <c r="F373" s="137" t="s">
        <v>164</v>
      </c>
      <c r="G373" s="143">
        <v>0.035</v>
      </c>
      <c r="H373" s="139">
        <f>H307</f>
        <v>215000</v>
      </c>
      <c r="I373" s="167">
        <f>G373*H373</f>
        <v>7525</v>
      </c>
    </row>
    <row r="374" spans="1:9">
      <c r="A374" s="118"/>
      <c r="B374" s="118"/>
      <c r="C374" s="145" t="s">
        <v>171</v>
      </c>
      <c r="D374" s="146"/>
      <c r="E374" s="146"/>
      <c r="F374" s="146"/>
      <c r="G374" s="146"/>
      <c r="H374" s="146"/>
      <c r="I374" s="168">
        <f>SUM(I370:I373)</f>
        <v>118475</v>
      </c>
    </row>
    <row r="375" spans="1:9">
      <c r="A375" s="118"/>
      <c r="B375" s="118"/>
      <c r="C375" s="147" t="s">
        <v>172</v>
      </c>
      <c r="D375" s="130" t="s">
        <v>173</v>
      </c>
      <c r="E375" s="148"/>
      <c r="F375" s="132"/>
      <c r="G375" s="132"/>
      <c r="H375" s="131"/>
      <c r="I375" s="166"/>
    </row>
    <row r="376" spans="1:9">
      <c r="A376" s="118"/>
      <c r="B376" s="118"/>
      <c r="C376" s="134">
        <v>1</v>
      </c>
      <c r="D376" s="135" t="s">
        <v>263</v>
      </c>
      <c r="E376" s="136"/>
      <c r="F376" s="137" t="s">
        <v>126</v>
      </c>
      <c r="G376" s="138">
        <v>1.1</v>
      </c>
      <c r="H376" s="149">
        <f>'DAFTAR HARGA'!I76</f>
        <v>58000</v>
      </c>
      <c r="I376" s="167">
        <f>G376*H376</f>
        <v>63800</v>
      </c>
    </row>
    <row r="377" spans="1:9">
      <c r="A377" s="118"/>
      <c r="B377" s="118"/>
      <c r="C377" s="134">
        <v>2</v>
      </c>
      <c r="D377" s="135" t="s">
        <v>240</v>
      </c>
      <c r="E377" s="136"/>
      <c r="F377" s="137" t="s">
        <v>176</v>
      </c>
      <c r="G377" s="138">
        <v>10</v>
      </c>
      <c r="H377" s="149">
        <f>H311</f>
        <v>1200</v>
      </c>
      <c r="I377" s="167">
        <f>G377*H377</f>
        <v>12000</v>
      </c>
    </row>
    <row r="378" spans="1:9">
      <c r="A378" s="118"/>
      <c r="B378" s="118"/>
      <c r="C378" s="134">
        <v>3</v>
      </c>
      <c r="D378" s="135" t="s">
        <v>207</v>
      </c>
      <c r="E378" s="136"/>
      <c r="F378" s="137" t="s">
        <v>121</v>
      </c>
      <c r="G378" s="138">
        <v>0.045</v>
      </c>
      <c r="H378" s="149">
        <f>H312</f>
        <v>84400</v>
      </c>
      <c r="I378" s="167">
        <f>G378*H378</f>
        <v>3798</v>
      </c>
    </row>
    <row r="379" spans="1:9">
      <c r="A379" s="118"/>
      <c r="B379" s="118"/>
      <c r="C379" s="140">
        <v>4</v>
      </c>
      <c r="D379" s="141" t="s">
        <v>251</v>
      </c>
      <c r="E379" s="142"/>
      <c r="F379" s="150" t="s">
        <v>176</v>
      </c>
      <c r="G379" s="143">
        <v>1.5</v>
      </c>
      <c r="H379" s="149">
        <f>H313</f>
        <v>13320</v>
      </c>
      <c r="I379" s="167">
        <f>G379*H379</f>
        <v>19980</v>
      </c>
    </row>
    <row r="380" spans="1:9">
      <c r="A380" s="118"/>
      <c r="B380" s="118"/>
      <c r="C380" s="152" t="s">
        <v>178</v>
      </c>
      <c r="D380" s="153"/>
      <c r="E380" s="153"/>
      <c r="F380" s="153"/>
      <c r="G380" s="153"/>
      <c r="H380" s="153"/>
      <c r="I380" s="169">
        <f>SUM(I376:I379)</f>
        <v>99578</v>
      </c>
    </row>
    <row r="381" spans="1:9">
      <c r="A381" s="115"/>
      <c r="B381" s="115"/>
      <c r="C381" s="147" t="s">
        <v>179</v>
      </c>
      <c r="D381" s="130" t="s">
        <v>180</v>
      </c>
      <c r="E381" s="148"/>
      <c r="F381" s="132"/>
      <c r="G381" s="132"/>
      <c r="H381" s="133"/>
      <c r="I381" s="166"/>
    </row>
    <row r="382" spans="1:9">
      <c r="A382" s="115"/>
      <c r="B382" s="115"/>
      <c r="C382" s="140"/>
      <c r="D382" s="141"/>
      <c r="E382" s="142"/>
      <c r="F382" s="150"/>
      <c r="G382" s="154"/>
      <c r="H382" s="144"/>
      <c r="I382" s="170"/>
    </row>
    <row r="383" spans="1:9">
      <c r="A383" s="115"/>
      <c r="B383" s="115"/>
      <c r="C383" s="152" t="s">
        <v>181</v>
      </c>
      <c r="D383" s="153"/>
      <c r="E383" s="153"/>
      <c r="F383" s="153"/>
      <c r="G383" s="153"/>
      <c r="H383" s="153"/>
      <c r="I383" s="171">
        <f>SUM(I382)</f>
        <v>0</v>
      </c>
    </row>
    <row r="384" spans="1:9">
      <c r="A384" s="115"/>
      <c r="B384" s="115"/>
      <c r="C384" s="127" t="s">
        <v>182</v>
      </c>
      <c r="D384" s="155" t="s">
        <v>183</v>
      </c>
      <c r="E384" s="156"/>
      <c r="F384" s="157"/>
      <c r="G384" s="157"/>
      <c r="H384" s="158"/>
      <c r="I384" s="171">
        <f>SUM(I374,I380,I383)</f>
        <v>218053</v>
      </c>
    </row>
    <row r="385" spans="1:9">
      <c r="A385" s="115"/>
      <c r="B385" s="115"/>
      <c r="C385" s="127" t="s">
        <v>184</v>
      </c>
      <c r="D385" s="155" t="s">
        <v>185</v>
      </c>
      <c r="E385" s="156"/>
      <c r="F385" s="159">
        <v>0.15</v>
      </c>
      <c r="G385" s="157" t="s">
        <v>186</v>
      </c>
      <c r="H385" s="158"/>
      <c r="I385" s="171">
        <f>I384*F385</f>
        <v>32707.95</v>
      </c>
    </row>
    <row r="386" spans="1:9">
      <c r="A386" s="115"/>
      <c r="B386" s="115"/>
      <c r="C386" s="160" t="s">
        <v>187</v>
      </c>
      <c r="D386" s="161" t="s">
        <v>188</v>
      </c>
      <c r="E386" s="124"/>
      <c r="F386" s="125"/>
      <c r="G386" s="125"/>
      <c r="H386" s="162"/>
      <c r="I386" s="172">
        <f>SUM(I384:I385)</f>
        <v>250760.95</v>
      </c>
    </row>
    <row r="387" spans="1:9">
      <c r="A387" s="115"/>
      <c r="B387" s="115"/>
      <c r="C387" s="116"/>
      <c r="D387" s="117"/>
      <c r="E387" s="118"/>
      <c r="F387" s="119"/>
      <c r="G387" s="119"/>
      <c r="H387" s="120"/>
      <c r="I387" s="164"/>
    </row>
    <row r="388" spans="1:9">
      <c r="A388" s="118" t="s">
        <v>255</v>
      </c>
      <c r="B388" s="118"/>
      <c r="C388" s="174" t="s">
        <v>264</v>
      </c>
      <c r="D388" s="175"/>
      <c r="E388" s="175"/>
      <c r="F388" s="175"/>
      <c r="G388" s="175"/>
      <c r="H388" s="175"/>
      <c r="I388" s="178"/>
    </row>
    <row r="389" spans="1:9">
      <c r="A389" s="118"/>
      <c r="B389" s="118"/>
      <c r="C389" s="123" t="s">
        <v>108</v>
      </c>
      <c r="D389" s="124" t="s">
        <v>109</v>
      </c>
      <c r="E389" s="124" t="s">
        <v>156</v>
      </c>
      <c r="F389" s="125" t="s">
        <v>157</v>
      </c>
      <c r="G389" s="125" t="s">
        <v>158</v>
      </c>
      <c r="H389" s="126" t="s">
        <v>159</v>
      </c>
      <c r="I389" s="165" t="s">
        <v>160</v>
      </c>
    </row>
    <row r="390" spans="1:9">
      <c r="A390" s="118"/>
      <c r="B390" s="118"/>
      <c r="C390" s="127">
        <v>1</v>
      </c>
      <c r="D390" s="127">
        <v>2</v>
      </c>
      <c r="E390" s="127">
        <v>3</v>
      </c>
      <c r="F390" s="127">
        <v>4</v>
      </c>
      <c r="G390" s="127">
        <v>5</v>
      </c>
      <c r="H390" s="128">
        <v>6</v>
      </c>
      <c r="I390" s="127">
        <v>7</v>
      </c>
    </row>
    <row r="391" spans="1:9">
      <c r="A391" s="118"/>
      <c r="B391" s="118"/>
      <c r="C391" s="129" t="s">
        <v>4</v>
      </c>
      <c r="D391" s="130" t="s">
        <v>161</v>
      </c>
      <c r="E391" s="130"/>
      <c r="F391" s="131"/>
      <c r="G391" s="132"/>
      <c r="H391" s="133"/>
      <c r="I391" s="166"/>
    </row>
    <row r="392" spans="1:9">
      <c r="A392" s="118"/>
      <c r="B392" s="118"/>
      <c r="C392" s="134">
        <v>1</v>
      </c>
      <c r="D392" s="135" t="s">
        <v>162</v>
      </c>
      <c r="E392" s="136" t="s">
        <v>163</v>
      </c>
      <c r="F392" s="137" t="s">
        <v>164</v>
      </c>
      <c r="G392" s="138">
        <v>0.09</v>
      </c>
      <c r="H392" s="139">
        <f>H282</f>
        <v>90000</v>
      </c>
      <c r="I392" s="167">
        <f>G392*H392</f>
        <v>8100</v>
      </c>
    </row>
    <row r="393" spans="1:9">
      <c r="A393" s="118"/>
      <c r="B393" s="118"/>
      <c r="C393" s="134">
        <v>2</v>
      </c>
      <c r="D393" s="135" t="s">
        <v>203</v>
      </c>
      <c r="E393" s="136" t="s">
        <v>166</v>
      </c>
      <c r="F393" s="137" t="s">
        <v>164</v>
      </c>
      <c r="G393" s="138">
        <v>0.09</v>
      </c>
      <c r="H393" s="139">
        <f>H283</f>
        <v>120000</v>
      </c>
      <c r="I393" s="167">
        <f>G393*H393</f>
        <v>10800</v>
      </c>
    </row>
    <row r="394" spans="1:9">
      <c r="A394" s="118"/>
      <c r="B394" s="118"/>
      <c r="C394" s="134">
        <v>3</v>
      </c>
      <c r="D394" s="135" t="s">
        <v>204</v>
      </c>
      <c r="E394" s="136" t="s">
        <v>168</v>
      </c>
      <c r="F394" s="137" t="s">
        <v>164</v>
      </c>
      <c r="G394" s="138">
        <v>0.035</v>
      </c>
      <c r="H394" s="139">
        <f>H284</f>
        <v>170000</v>
      </c>
      <c r="I394" s="167">
        <f>G394*H394</f>
        <v>5950</v>
      </c>
    </row>
    <row r="395" spans="1:9">
      <c r="A395" s="118"/>
      <c r="B395" s="118"/>
      <c r="C395" s="140">
        <v>4</v>
      </c>
      <c r="D395" s="141" t="s">
        <v>169</v>
      </c>
      <c r="E395" s="142" t="s">
        <v>170</v>
      </c>
      <c r="F395" s="137" t="s">
        <v>164</v>
      </c>
      <c r="G395" s="143">
        <v>0.005</v>
      </c>
      <c r="H395" s="139">
        <f>H285</f>
        <v>215000</v>
      </c>
      <c r="I395" s="167">
        <f>G395*H395</f>
        <v>1075</v>
      </c>
    </row>
    <row r="396" spans="1:9">
      <c r="A396" s="118"/>
      <c r="B396" s="118"/>
      <c r="C396" s="152" t="s">
        <v>171</v>
      </c>
      <c r="D396" s="153"/>
      <c r="E396" s="153"/>
      <c r="F396" s="153"/>
      <c r="G396" s="153"/>
      <c r="H396" s="189"/>
      <c r="I396" s="168">
        <f>SUM(I392:I395)</f>
        <v>25925</v>
      </c>
    </row>
    <row r="397" spans="1:9">
      <c r="A397" s="118"/>
      <c r="B397" s="118"/>
      <c r="C397" s="147" t="s">
        <v>172</v>
      </c>
      <c r="D397" s="130" t="s">
        <v>173</v>
      </c>
      <c r="E397" s="148"/>
      <c r="F397" s="132"/>
      <c r="G397" s="132"/>
      <c r="H397" s="131"/>
      <c r="I397" s="166"/>
    </row>
    <row r="398" spans="1:9">
      <c r="A398" s="118"/>
      <c r="B398" s="118"/>
      <c r="C398" s="134">
        <v>1</v>
      </c>
      <c r="D398" s="135" t="s">
        <v>265</v>
      </c>
      <c r="E398" s="136"/>
      <c r="F398" s="137" t="s">
        <v>126</v>
      </c>
      <c r="G398" s="138">
        <f>(1*0.1)</f>
        <v>0.1</v>
      </c>
      <c r="H398" s="149">
        <f>H288</f>
        <v>185000</v>
      </c>
      <c r="I398" s="167">
        <f>G398*H398</f>
        <v>18500</v>
      </c>
    </row>
    <row r="399" spans="1:9">
      <c r="A399" s="118"/>
      <c r="B399" s="118"/>
      <c r="C399" s="134">
        <v>2</v>
      </c>
      <c r="D399" s="135" t="s">
        <v>240</v>
      </c>
      <c r="E399" s="136"/>
      <c r="F399" s="137" t="s">
        <v>176</v>
      </c>
      <c r="G399" s="138">
        <v>2</v>
      </c>
      <c r="H399" s="149">
        <f>H289</f>
        <v>1200</v>
      </c>
      <c r="I399" s="167">
        <f>G399*H399</f>
        <v>2400</v>
      </c>
    </row>
    <row r="400" spans="1:9">
      <c r="A400" s="118"/>
      <c r="B400" s="118"/>
      <c r="C400" s="134">
        <v>3</v>
      </c>
      <c r="D400" s="135" t="s">
        <v>207</v>
      </c>
      <c r="E400" s="136"/>
      <c r="F400" s="137" t="s">
        <v>121</v>
      </c>
      <c r="G400" s="138">
        <v>0.045</v>
      </c>
      <c r="H400" s="149">
        <f>H290</f>
        <v>84400</v>
      </c>
      <c r="I400" s="167">
        <f>G400*H400</f>
        <v>3798</v>
      </c>
    </row>
    <row r="401" spans="1:9">
      <c r="A401" s="118"/>
      <c r="B401" s="118"/>
      <c r="C401" s="140">
        <v>4</v>
      </c>
      <c r="D401" s="141" t="s">
        <v>251</v>
      </c>
      <c r="E401" s="142"/>
      <c r="F401" s="150" t="s">
        <v>176</v>
      </c>
      <c r="G401" s="143">
        <v>0.5</v>
      </c>
      <c r="H401" s="149">
        <f>H291</f>
        <v>13320</v>
      </c>
      <c r="I401" s="167">
        <f>G401*H401</f>
        <v>6660</v>
      </c>
    </row>
    <row r="402" spans="1:9">
      <c r="A402" s="118"/>
      <c r="B402" s="118"/>
      <c r="C402" s="152" t="s">
        <v>178</v>
      </c>
      <c r="D402" s="153"/>
      <c r="E402" s="153"/>
      <c r="F402" s="153"/>
      <c r="G402" s="153"/>
      <c r="H402" s="189"/>
      <c r="I402" s="169">
        <f>SUM(I398:I401)</f>
        <v>31358</v>
      </c>
    </row>
    <row r="403" spans="1:9">
      <c r="A403" s="115"/>
      <c r="B403" s="115"/>
      <c r="C403" s="147" t="s">
        <v>179</v>
      </c>
      <c r="D403" s="130" t="s">
        <v>180</v>
      </c>
      <c r="E403" s="148"/>
      <c r="F403" s="132"/>
      <c r="G403" s="132"/>
      <c r="H403" s="133"/>
      <c r="I403" s="166"/>
    </row>
    <row r="404" spans="1:9">
      <c r="A404" s="115"/>
      <c r="B404" s="115"/>
      <c r="C404" s="140"/>
      <c r="D404" s="141"/>
      <c r="E404" s="142"/>
      <c r="F404" s="150"/>
      <c r="G404" s="154"/>
      <c r="H404" s="144"/>
      <c r="I404" s="170"/>
    </row>
    <row r="405" spans="1:9">
      <c r="A405" s="115"/>
      <c r="B405" s="115"/>
      <c r="C405" s="152" t="s">
        <v>181</v>
      </c>
      <c r="D405" s="153"/>
      <c r="E405" s="153"/>
      <c r="F405" s="153"/>
      <c r="G405" s="153"/>
      <c r="H405" s="189"/>
      <c r="I405" s="171">
        <f>SUM(I404)</f>
        <v>0</v>
      </c>
    </row>
    <row r="406" spans="1:9">
      <c r="A406" s="115"/>
      <c r="B406" s="115"/>
      <c r="C406" s="127" t="s">
        <v>182</v>
      </c>
      <c r="D406" s="155" t="s">
        <v>183</v>
      </c>
      <c r="E406" s="156"/>
      <c r="F406" s="157"/>
      <c r="G406" s="157"/>
      <c r="H406" s="158"/>
      <c r="I406" s="171">
        <f>SUM(I396,I402,I405)</f>
        <v>57283</v>
      </c>
    </row>
    <row r="407" spans="1:9">
      <c r="A407" s="115"/>
      <c r="B407" s="115"/>
      <c r="C407" s="127" t="s">
        <v>184</v>
      </c>
      <c r="D407" s="155" t="s">
        <v>185</v>
      </c>
      <c r="E407" s="156"/>
      <c r="F407" s="159">
        <v>0.15</v>
      </c>
      <c r="G407" s="157" t="s">
        <v>186</v>
      </c>
      <c r="H407" s="158"/>
      <c r="I407" s="171">
        <f>I406*F407</f>
        <v>8592.45</v>
      </c>
    </row>
    <row r="408" spans="1:9">
      <c r="A408" s="115"/>
      <c r="B408" s="115"/>
      <c r="C408" s="160" t="s">
        <v>187</v>
      </c>
      <c r="D408" s="161" t="s">
        <v>188</v>
      </c>
      <c r="E408" s="124"/>
      <c r="F408" s="125"/>
      <c r="G408" s="125"/>
      <c r="H408" s="162"/>
      <c r="I408" s="172">
        <f>SUM(I406:I407)</f>
        <v>65875.45</v>
      </c>
    </row>
    <row r="409" spans="1:9">
      <c r="A409" s="110"/>
      <c r="B409" s="2"/>
      <c r="C409" s="180"/>
      <c r="D409" s="175"/>
      <c r="E409" s="115"/>
      <c r="F409" s="184"/>
      <c r="G409" s="187"/>
      <c r="H409" s="183"/>
      <c r="I409" s="186"/>
    </row>
    <row r="410" spans="1:9">
      <c r="A410" s="115"/>
      <c r="B410" s="115"/>
      <c r="C410" s="116"/>
      <c r="D410" s="117"/>
      <c r="E410" s="118"/>
      <c r="F410" s="119"/>
      <c r="G410" s="119"/>
      <c r="H410" s="120"/>
      <c r="I410" s="164"/>
    </row>
    <row r="411" spans="1:9">
      <c r="A411" s="118" t="s">
        <v>266</v>
      </c>
      <c r="B411" s="118"/>
      <c r="C411" s="174" t="s">
        <v>267</v>
      </c>
      <c r="D411" s="175"/>
      <c r="E411" s="175"/>
      <c r="F411" s="175"/>
      <c r="G411" s="175"/>
      <c r="H411" s="175"/>
      <c r="I411" s="178"/>
    </row>
    <row r="412" spans="1:9">
      <c r="A412" s="118"/>
      <c r="B412" s="118"/>
      <c r="C412" s="123" t="s">
        <v>108</v>
      </c>
      <c r="D412" s="124" t="s">
        <v>109</v>
      </c>
      <c r="E412" s="124" t="s">
        <v>156</v>
      </c>
      <c r="F412" s="125" t="s">
        <v>157</v>
      </c>
      <c r="G412" s="125" t="s">
        <v>158</v>
      </c>
      <c r="H412" s="126" t="s">
        <v>159</v>
      </c>
      <c r="I412" s="165" t="s">
        <v>160</v>
      </c>
    </row>
    <row r="413" spans="1:9">
      <c r="A413" s="118"/>
      <c r="B413" s="118"/>
      <c r="C413" s="127">
        <v>1</v>
      </c>
      <c r="D413" s="127">
        <v>2</v>
      </c>
      <c r="E413" s="127">
        <v>3</v>
      </c>
      <c r="F413" s="127">
        <v>4</v>
      </c>
      <c r="G413" s="127">
        <v>5</v>
      </c>
      <c r="H413" s="128">
        <v>6</v>
      </c>
      <c r="I413" s="127">
        <v>7</v>
      </c>
    </row>
    <row r="414" spans="1:9">
      <c r="A414" s="118"/>
      <c r="B414" s="118"/>
      <c r="C414" s="129" t="s">
        <v>4</v>
      </c>
      <c r="D414" s="130" t="s">
        <v>161</v>
      </c>
      <c r="E414" s="130"/>
      <c r="F414" s="131"/>
      <c r="G414" s="132"/>
      <c r="H414" s="133"/>
      <c r="I414" s="166"/>
    </row>
    <row r="415" spans="1:9">
      <c r="A415" s="118"/>
      <c r="B415" s="118"/>
      <c r="C415" s="134">
        <v>1</v>
      </c>
      <c r="D415" s="135" t="s">
        <v>268</v>
      </c>
      <c r="E415" s="136" t="s">
        <v>163</v>
      </c>
      <c r="F415" s="137" t="s">
        <v>164</v>
      </c>
      <c r="G415" s="138">
        <v>6</v>
      </c>
      <c r="H415" s="139">
        <f>'DAFTAR HARGA'!I15</f>
        <v>80000</v>
      </c>
      <c r="I415" s="167">
        <f>G415*H415</f>
        <v>480000</v>
      </c>
    </row>
    <row r="416" spans="1:9">
      <c r="A416" s="118"/>
      <c r="B416" s="118"/>
      <c r="C416" s="134">
        <v>2</v>
      </c>
      <c r="D416" s="135" t="s">
        <v>165</v>
      </c>
      <c r="E416" s="136" t="s">
        <v>166</v>
      </c>
      <c r="F416" s="137" t="s">
        <v>164</v>
      </c>
      <c r="G416" s="138">
        <v>18</v>
      </c>
      <c r="H416" s="139">
        <f>'DAFTAR HARGA'!I14</f>
        <v>120000</v>
      </c>
      <c r="I416" s="167">
        <f>G416*H416</f>
        <v>2160000</v>
      </c>
    </row>
    <row r="417" spans="1:9">
      <c r="A417" s="118"/>
      <c r="B417" s="118"/>
      <c r="C417" s="134">
        <v>3</v>
      </c>
      <c r="D417" s="135" t="s">
        <v>167</v>
      </c>
      <c r="E417" s="136" t="s">
        <v>168</v>
      </c>
      <c r="F417" s="137" t="s">
        <v>164</v>
      </c>
      <c r="G417" s="138">
        <v>1.8</v>
      </c>
      <c r="H417" s="139">
        <f>'DAFTAR HARGA'!I13</f>
        <v>157500</v>
      </c>
      <c r="I417" s="167">
        <f>G417*H417</f>
        <v>283500</v>
      </c>
    </row>
    <row r="418" spans="1:9">
      <c r="A418" s="118"/>
      <c r="B418" s="118"/>
      <c r="C418" s="140">
        <v>4</v>
      </c>
      <c r="D418" s="141" t="s">
        <v>169</v>
      </c>
      <c r="E418" s="142" t="s">
        <v>170</v>
      </c>
      <c r="F418" s="137" t="s">
        <v>164</v>
      </c>
      <c r="G418" s="143">
        <v>0.3</v>
      </c>
      <c r="H418" s="139">
        <f>'DAFTAR HARGA'!I8</f>
        <v>215000</v>
      </c>
      <c r="I418" s="167">
        <f>G418*H418</f>
        <v>64500</v>
      </c>
    </row>
    <row r="419" spans="1:9">
      <c r="A419" s="118"/>
      <c r="B419" s="118"/>
      <c r="C419" s="152" t="s">
        <v>171</v>
      </c>
      <c r="D419" s="153"/>
      <c r="E419" s="153"/>
      <c r="F419" s="153"/>
      <c r="G419" s="153"/>
      <c r="H419" s="189"/>
      <c r="I419" s="168">
        <f>SUM(I415:I418)</f>
        <v>2988000</v>
      </c>
    </row>
    <row r="420" spans="1:9">
      <c r="A420" s="118"/>
      <c r="B420" s="118"/>
      <c r="C420" s="147" t="s">
        <v>172</v>
      </c>
      <c r="D420" s="130" t="s">
        <v>173</v>
      </c>
      <c r="E420" s="148"/>
      <c r="F420" s="132"/>
      <c r="G420" s="132"/>
      <c r="H420" s="131"/>
      <c r="I420" s="166"/>
    </row>
    <row r="421" spans="1:9">
      <c r="A421" s="118"/>
      <c r="B421" s="118"/>
      <c r="C421" s="134">
        <v>1</v>
      </c>
      <c r="D421" s="135" t="s">
        <v>269</v>
      </c>
      <c r="E421" s="136"/>
      <c r="F421" s="137" t="s">
        <v>270</v>
      </c>
      <c r="G421" s="138">
        <v>1.2</v>
      </c>
      <c r="H421" s="149">
        <f>'DAFTAR HARGA'!I41</f>
        <v>7125000</v>
      </c>
      <c r="I421" s="167">
        <f>G421*H421</f>
        <v>8550000</v>
      </c>
    </row>
    <row r="422" spans="1:9">
      <c r="A422" s="118"/>
      <c r="B422" s="118"/>
      <c r="C422" s="134">
        <v>2</v>
      </c>
      <c r="D422" s="135" t="s">
        <v>271</v>
      </c>
      <c r="E422" s="136"/>
      <c r="F422" s="137" t="s">
        <v>244</v>
      </c>
      <c r="G422" s="138">
        <v>1.25</v>
      </c>
      <c r="H422" s="149">
        <f>'DAFTAR HARGA'!I94</f>
        <v>16500</v>
      </c>
      <c r="I422" s="167">
        <f>G422*H422</f>
        <v>20625</v>
      </c>
    </row>
    <row r="423" spans="1:9">
      <c r="A423" s="118"/>
      <c r="B423" s="118"/>
      <c r="C423" s="134">
        <v>3</v>
      </c>
      <c r="D423" s="135" t="s">
        <v>272</v>
      </c>
      <c r="E423" s="136"/>
      <c r="F423" s="137" t="s">
        <v>244</v>
      </c>
      <c r="G423" s="138">
        <v>1</v>
      </c>
      <c r="H423" s="149">
        <f>'DAFTAR HARGA'!I89</f>
        <v>15000</v>
      </c>
      <c r="I423" s="167">
        <f>G423*H423</f>
        <v>15000</v>
      </c>
    </row>
    <row r="424" spans="1:9">
      <c r="A424" s="118"/>
      <c r="B424" s="118"/>
      <c r="C424" s="152" t="s">
        <v>178</v>
      </c>
      <c r="D424" s="153"/>
      <c r="E424" s="153"/>
      <c r="F424" s="153"/>
      <c r="G424" s="153"/>
      <c r="H424" s="189"/>
      <c r="I424" s="169">
        <f>SUM(I421:I423)</f>
        <v>8585625</v>
      </c>
    </row>
    <row r="425" spans="1:9">
      <c r="A425" s="115"/>
      <c r="B425" s="115"/>
      <c r="C425" s="147" t="s">
        <v>179</v>
      </c>
      <c r="D425" s="130" t="s">
        <v>180</v>
      </c>
      <c r="E425" s="148"/>
      <c r="F425" s="132"/>
      <c r="G425" s="132"/>
      <c r="H425" s="133"/>
      <c r="I425" s="166"/>
    </row>
    <row r="426" spans="1:9">
      <c r="A426" s="115"/>
      <c r="B426" s="115"/>
      <c r="C426" s="140"/>
      <c r="D426" s="141"/>
      <c r="E426" s="142"/>
      <c r="F426" s="150"/>
      <c r="G426" s="154"/>
      <c r="H426" s="144"/>
      <c r="I426" s="170"/>
    </row>
    <row r="427" spans="1:9">
      <c r="A427" s="115"/>
      <c r="B427" s="115"/>
      <c r="C427" s="152" t="s">
        <v>181</v>
      </c>
      <c r="D427" s="153"/>
      <c r="E427" s="153"/>
      <c r="F427" s="153"/>
      <c r="G427" s="153"/>
      <c r="H427" s="189"/>
      <c r="I427" s="171">
        <f>SUM(I426)</f>
        <v>0</v>
      </c>
    </row>
    <row r="428" spans="1:9">
      <c r="A428" s="115"/>
      <c r="B428" s="115"/>
      <c r="C428" s="127" t="s">
        <v>182</v>
      </c>
      <c r="D428" s="155" t="s">
        <v>183</v>
      </c>
      <c r="E428" s="156"/>
      <c r="F428" s="157"/>
      <c r="G428" s="157"/>
      <c r="H428" s="158"/>
      <c r="I428" s="171">
        <f>SUM(I419,I424,I427)</f>
        <v>11573625</v>
      </c>
    </row>
    <row r="429" spans="1:9">
      <c r="A429" s="115"/>
      <c r="B429" s="115"/>
      <c r="C429" s="127" t="s">
        <v>184</v>
      </c>
      <c r="D429" s="155" t="s">
        <v>185</v>
      </c>
      <c r="E429" s="156"/>
      <c r="F429" s="159">
        <v>0.15</v>
      </c>
      <c r="G429" s="157" t="s">
        <v>186</v>
      </c>
      <c r="H429" s="158"/>
      <c r="I429" s="171">
        <f>I428*F429</f>
        <v>1736043.75</v>
      </c>
    </row>
    <row r="430" spans="1:9">
      <c r="A430" s="115"/>
      <c r="B430" s="115"/>
      <c r="C430" s="160" t="s">
        <v>187</v>
      </c>
      <c r="D430" s="161" t="s">
        <v>188</v>
      </c>
      <c r="E430" s="124"/>
      <c r="F430" s="125"/>
      <c r="G430" s="125"/>
      <c r="H430" s="162"/>
      <c r="I430" s="172">
        <f>SUM(I428:I429)</f>
        <v>13309668.75</v>
      </c>
    </row>
    <row r="431" spans="1:9">
      <c r="A431" s="115"/>
      <c r="B431" s="115"/>
      <c r="C431" s="116"/>
      <c r="D431" s="117"/>
      <c r="E431" s="118"/>
      <c r="F431" s="119"/>
      <c r="G431" s="119"/>
      <c r="H431" s="120"/>
      <c r="I431" s="164"/>
    </row>
    <row r="432" spans="1:9">
      <c r="A432" s="118" t="s">
        <v>273</v>
      </c>
      <c r="B432" s="118"/>
      <c r="C432" s="174" t="s">
        <v>274</v>
      </c>
      <c r="D432" s="175"/>
      <c r="E432" s="175"/>
      <c r="F432" s="175"/>
      <c r="G432" s="175"/>
      <c r="H432" s="175"/>
      <c r="I432" s="178"/>
    </row>
    <row r="433" spans="1:9">
      <c r="A433" s="118"/>
      <c r="B433" s="118"/>
      <c r="C433" s="123" t="s">
        <v>108</v>
      </c>
      <c r="D433" s="124" t="s">
        <v>109</v>
      </c>
      <c r="E433" s="124" t="s">
        <v>156</v>
      </c>
      <c r="F433" s="125" t="s">
        <v>157</v>
      </c>
      <c r="G433" s="125" t="s">
        <v>158</v>
      </c>
      <c r="H433" s="126" t="s">
        <v>159</v>
      </c>
      <c r="I433" s="165" t="s">
        <v>160</v>
      </c>
    </row>
    <row r="434" spans="1:9">
      <c r="A434" s="118"/>
      <c r="B434" s="118"/>
      <c r="C434" s="127">
        <v>1</v>
      </c>
      <c r="D434" s="127">
        <v>2</v>
      </c>
      <c r="E434" s="127">
        <v>3</v>
      </c>
      <c r="F434" s="127">
        <v>4</v>
      </c>
      <c r="G434" s="127">
        <v>5</v>
      </c>
      <c r="H434" s="128">
        <v>6</v>
      </c>
      <c r="I434" s="127">
        <v>7</v>
      </c>
    </row>
    <row r="435" spans="1:9">
      <c r="A435" s="118"/>
      <c r="B435" s="118"/>
      <c r="C435" s="129" t="s">
        <v>4</v>
      </c>
      <c r="D435" s="130" t="s">
        <v>161</v>
      </c>
      <c r="E435" s="130"/>
      <c r="F435" s="131"/>
      <c r="G435" s="132"/>
      <c r="H435" s="133"/>
      <c r="I435" s="166"/>
    </row>
    <row r="436" spans="1:9">
      <c r="A436" s="118"/>
      <c r="B436" s="118"/>
      <c r="C436" s="134">
        <v>1</v>
      </c>
      <c r="D436" s="135" t="s">
        <v>268</v>
      </c>
      <c r="E436" s="136" t="s">
        <v>163</v>
      </c>
      <c r="F436" s="137" t="s">
        <v>164</v>
      </c>
      <c r="G436" s="138">
        <v>1</v>
      </c>
      <c r="H436" s="139">
        <f>'DAFTAR HARGA'!I15</f>
        <v>80000</v>
      </c>
      <c r="I436" s="167">
        <f>G436*H436</f>
        <v>80000</v>
      </c>
    </row>
    <row r="437" spans="1:9">
      <c r="A437" s="118"/>
      <c r="B437" s="118"/>
      <c r="C437" s="134">
        <v>2</v>
      </c>
      <c r="D437" s="135" t="s">
        <v>165</v>
      </c>
      <c r="E437" s="136" t="s">
        <v>166</v>
      </c>
      <c r="F437" s="137" t="s">
        <v>164</v>
      </c>
      <c r="G437" s="138">
        <v>3</v>
      </c>
      <c r="H437" s="139">
        <f>'DAFTAR HARGA'!I14</f>
        <v>120000</v>
      </c>
      <c r="I437" s="167">
        <f>G437*H437</f>
        <v>360000</v>
      </c>
    </row>
    <row r="438" spans="1:9">
      <c r="A438" s="118"/>
      <c r="B438" s="118"/>
      <c r="C438" s="134">
        <v>3</v>
      </c>
      <c r="D438" s="135" t="s">
        <v>167</v>
      </c>
      <c r="E438" s="136" t="s">
        <v>168</v>
      </c>
      <c r="F438" s="137" t="s">
        <v>164</v>
      </c>
      <c r="G438" s="138">
        <v>0.3</v>
      </c>
      <c r="H438" s="139">
        <f>'DAFTAR HARGA'!I13</f>
        <v>157500</v>
      </c>
      <c r="I438" s="167">
        <f>G438*H438</f>
        <v>47250</v>
      </c>
    </row>
    <row r="439" spans="1:9">
      <c r="A439" s="118"/>
      <c r="B439" s="118"/>
      <c r="C439" s="140">
        <v>4</v>
      </c>
      <c r="D439" s="141" t="s">
        <v>169</v>
      </c>
      <c r="E439" s="142" t="s">
        <v>170</v>
      </c>
      <c r="F439" s="137" t="s">
        <v>164</v>
      </c>
      <c r="G439" s="143">
        <v>0.05</v>
      </c>
      <c r="H439" s="139">
        <f>'DAFTAR HARGA'!I8</f>
        <v>215000</v>
      </c>
      <c r="I439" s="167">
        <f>G439*H439</f>
        <v>10750</v>
      </c>
    </row>
    <row r="440" spans="1:9">
      <c r="A440" s="118"/>
      <c r="B440" s="118"/>
      <c r="C440" s="152" t="s">
        <v>171</v>
      </c>
      <c r="D440" s="153"/>
      <c r="E440" s="153"/>
      <c r="F440" s="153"/>
      <c r="G440" s="153"/>
      <c r="H440" s="189"/>
      <c r="I440" s="168">
        <f>SUM(I436:I439)</f>
        <v>498000</v>
      </c>
    </row>
    <row r="441" spans="1:9">
      <c r="A441" s="118"/>
      <c r="B441" s="118"/>
      <c r="C441" s="147" t="s">
        <v>172</v>
      </c>
      <c r="D441" s="130" t="s">
        <v>173</v>
      </c>
      <c r="E441" s="148"/>
      <c r="F441" s="132"/>
      <c r="G441" s="132"/>
      <c r="H441" s="131"/>
      <c r="I441" s="166"/>
    </row>
    <row r="442" spans="1:9">
      <c r="A442" s="118"/>
      <c r="B442" s="118"/>
      <c r="C442" s="134">
        <v>1</v>
      </c>
      <c r="D442" s="135" t="s">
        <v>275</v>
      </c>
      <c r="E442" s="136"/>
      <c r="F442" s="137" t="s">
        <v>270</v>
      </c>
      <c r="G442" s="138">
        <v>0.04</v>
      </c>
      <c r="H442" s="149">
        <f>'DAFTAR HARGA'!I98</f>
        <v>2500000</v>
      </c>
      <c r="I442" s="167">
        <f>G442*H442</f>
        <v>100000</v>
      </c>
    </row>
    <row r="443" spans="1:9">
      <c r="A443" s="118"/>
      <c r="B443" s="118"/>
      <c r="C443" s="134">
        <v>2</v>
      </c>
      <c r="D443" s="135" t="s">
        <v>276</v>
      </c>
      <c r="E443" s="136"/>
      <c r="F443" s="137" t="s">
        <v>244</v>
      </c>
      <c r="G443" s="138">
        <v>0.05</v>
      </c>
      <c r="H443" s="149">
        <f>'DAFTAR HARGA'!I95</f>
        <v>17100</v>
      </c>
      <c r="I443" s="167">
        <f>G443*H443</f>
        <v>855</v>
      </c>
    </row>
    <row r="444" spans="1:9">
      <c r="A444" s="118"/>
      <c r="B444" s="118"/>
      <c r="C444" s="152" t="s">
        <v>178</v>
      </c>
      <c r="D444" s="153"/>
      <c r="E444" s="153"/>
      <c r="F444" s="153"/>
      <c r="G444" s="153"/>
      <c r="H444" s="189"/>
      <c r="I444" s="169">
        <f>SUM(I442:I443)</f>
        <v>100855</v>
      </c>
    </row>
    <row r="445" spans="1:9">
      <c r="A445" s="115"/>
      <c r="B445" s="115"/>
      <c r="C445" s="147" t="s">
        <v>179</v>
      </c>
      <c r="D445" s="130" t="s">
        <v>180</v>
      </c>
      <c r="E445" s="148"/>
      <c r="F445" s="132"/>
      <c r="G445" s="132"/>
      <c r="H445" s="133"/>
      <c r="I445" s="166"/>
    </row>
    <row r="446" spans="1:9">
      <c r="A446" s="115"/>
      <c r="B446" s="115"/>
      <c r="C446" s="140"/>
      <c r="D446" s="141"/>
      <c r="E446" s="142"/>
      <c r="F446" s="150"/>
      <c r="G446" s="154"/>
      <c r="H446" s="144"/>
      <c r="I446" s="170"/>
    </row>
    <row r="447" spans="1:9">
      <c r="A447" s="115"/>
      <c r="B447" s="115"/>
      <c r="C447" s="152" t="s">
        <v>181</v>
      </c>
      <c r="D447" s="153"/>
      <c r="E447" s="153"/>
      <c r="F447" s="153"/>
      <c r="G447" s="153"/>
      <c r="H447" s="189"/>
      <c r="I447" s="171">
        <f>SUM(I446)</f>
        <v>0</v>
      </c>
    </row>
    <row r="448" spans="1:9">
      <c r="A448" s="115"/>
      <c r="B448" s="115"/>
      <c r="C448" s="127" t="s">
        <v>182</v>
      </c>
      <c r="D448" s="155" t="s">
        <v>183</v>
      </c>
      <c r="E448" s="156"/>
      <c r="F448" s="157"/>
      <c r="G448" s="157"/>
      <c r="H448" s="158"/>
      <c r="I448" s="171">
        <f>SUM(I440,I444,I447)</f>
        <v>598855</v>
      </c>
    </row>
    <row r="449" spans="1:9">
      <c r="A449" s="115"/>
      <c r="B449" s="115"/>
      <c r="C449" s="127" t="s">
        <v>184</v>
      </c>
      <c r="D449" s="155" t="s">
        <v>185</v>
      </c>
      <c r="E449" s="156"/>
      <c r="F449" s="159">
        <v>0.15</v>
      </c>
      <c r="G449" s="157" t="s">
        <v>186</v>
      </c>
      <c r="H449" s="158"/>
      <c r="I449" s="171">
        <f>I448*F449</f>
        <v>89828.25</v>
      </c>
    </row>
    <row r="450" spans="1:9">
      <c r="A450" s="115"/>
      <c r="B450" s="115"/>
      <c r="C450" s="160" t="s">
        <v>187</v>
      </c>
      <c r="D450" s="161" t="s">
        <v>188</v>
      </c>
      <c r="E450" s="124"/>
      <c r="F450" s="125"/>
      <c r="G450" s="125"/>
      <c r="H450" s="162"/>
      <c r="I450" s="172">
        <f>SUM(I448:I449)</f>
        <v>688683.25</v>
      </c>
    </row>
    <row r="451" spans="1:9">
      <c r="A451" s="110"/>
      <c r="B451" s="2"/>
      <c r="C451" s="180"/>
      <c r="D451" s="175"/>
      <c r="E451" s="115"/>
      <c r="F451" s="184"/>
      <c r="G451" s="187"/>
      <c r="H451" s="183"/>
      <c r="I451" s="186"/>
    </row>
    <row r="452" spans="1:9">
      <c r="A452" s="118" t="s">
        <v>277</v>
      </c>
      <c r="B452" s="118"/>
      <c r="C452" s="174" t="s">
        <v>278</v>
      </c>
      <c r="D452" s="175"/>
      <c r="E452" s="175"/>
      <c r="F452" s="175"/>
      <c r="G452" s="175"/>
      <c r="H452" s="175"/>
      <c r="I452" s="178"/>
    </row>
    <row r="453" spans="1:9">
      <c r="A453" s="118"/>
      <c r="B453" s="118"/>
      <c r="C453" s="123" t="s">
        <v>108</v>
      </c>
      <c r="D453" s="124" t="s">
        <v>109</v>
      </c>
      <c r="E453" s="124" t="s">
        <v>156</v>
      </c>
      <c r="F453" s="125" t="s">
        <v>157</v>
      </c>
      <c r="G453" s="125" t="s">
        <v>158</v>
      </c>
      <c r="H453" s="126" t="s">
        <v>159</v>
      </c>
      <c r="I453" s="165" t="s">
        <v>160</v>
      </c>
    </row>
    <row r="454" spans="1:9">
      <c r="A454" s="118"/>
      <c r="B454" s="118"/>
      <c r="C454" s="127">
        <v>1</v>
      </c>
      <c r="D454" s="127">
        <v>2</v>
      </c>
      <c r="E454" s="127">
        <v>3</v>
      </c>
      <c r="F454" s="127">
        <v>4</v>
      </c>
      <c r="G454" s="127">
        <v>5</v>
      </c>
      <c r="H454" s="128">
        <v>6</v>
      </c>
      <c r="I454" s="127">
        <v>7</v>
      </c>
    </row>
    <row r="455" spans="1:9">
      <c r="A455" s="118"/>
      <c r="B455" s="118"/>
      <c r="C455" s="129" t="s">
        <v>4</v>
      </c>
      <c r="D455" s="130" t="s">
        <v>161</v>
      </c>
      <c r="E455" s="130"/>
      <c r="F455" s="131"/>
      <c r="G455" s="132"/>
      <c r="H455" s="133"/>
      <c r="I455" s="166"/>
    </row>
    <row r="456" spans="1:9">
      <c r="A456" s="118"/>
      <c r="B456" s="118"/>
      <c r="C456" s="134">
        <v>1</v>
      </c>
      <c r="D456" s="135" t="s">
        <v>268</v>
      </c>
      <c r="E456" s="136" t="s">
        <v>163</v>
      </c>
      <c r="F456" s="137" t="s">
        <v>164</v>
      </c>
      <c r="G456" s="138">
        <v>0.015</v>
      </c>
      <c r="H456" s="139">
        <f>H436</f>
        <v>80000</v>
      </c>
      <c r="I456" s="167">
        <f>G456*H456</f>
        <v>1200</v>
      </c>
    </row>
    <row r="457" spans="1:9">
      <c r="A457" s="118"/>
      <c r="B457" s="118"/>
      <c r="C457" s="134">
        <v>2</v>
      </c>
      <c r="D457" s="135" t="s">
        <v>165</v>
      </c>
      <c r="E457" s="136" t="s">
        <v>166</v>
      </c>
      <c r="F457" s="137" t="s">
        <v>164</v>
      </c>
      <c r="G457" s="138">
        <v>0.15</v>
      </c>
      <c r="H457" s="139">
        <f>H437</f>
        <v>120000</v>
      </c>
      <c r="I457" s="167">
        <f>G457*H457</f>
        <v>18000</v>
      </c>
    </row>
    <row r="458" spans="1:9">
      <c r="A458" s="118"/>
      <c r="B458" s="118"/>
      <c r="C458" s="134">
        <v>3</v>
      </c>
      <c r="D458" s="135" t="s">
        <v>167</v>
      </c>
      <c r="E458" s="136" t="s">
        <v>168</v>
      </c>
      <c r="F458" s="137" t="s">
        <v>164</v>
      </c>
      <c r="G458" s="138">
        <v>0.015</v>
      </c>
      <c r="H458" s="139">
        <f>H438</f>
        <v>157500</v>
      </c>
      <c r="I458" s="167">
        <f>G458*H458</f>
        <v>2362.5</v>
      </c>
    </row>
    <row r="459" spans="1:9">
      <c r="A459" s="118"/>
      <c r="B459" s="118"/>
      <c r="C459" s="140">
        <v>4</v>
      </c>
      <c r="D459" s="141" t="s">
        <v>169</v>
      </c>
      <c r="E459" s="142" t="s">
        <v>170</v>
      </c>
      <c r="F459" s="137" t="s">
        <v>164</v>
      </c>
      <c r="G459" s="143">
        <v>0.0008</v>
      </c>
      <c r="H459" s="139">
        <f>H439</f>
        <v>215000</v>
      </c>
      <c r="I459" s="167">
        <f>G459*H459</f>
        <v>172</v>
      </c>
    </row>
    <row r="460" spans="1:9">
      <c r="A460" s="118"/>
      <c r="B460" s="118"/>
      <c r="C460" s="152" t="s">
        <v>171</v>
      </c>
      <c r="D460" s="153"/>
      <c r="E460" s="153"/>
      <c r="F460" s="153"/>
      <c r="G460" s="153"/>
      <c r="H460" s="189"/>
      <c r="I460" s="168">
        <f>SUM(I456:I459)</f>
        <v>21734.5</v>
      </c>
    </row>
    <row r="461" spans="1:9">
      <c r="A461" s="118"/>
      <c r="B461" s="118"/>
      <c r="C461" s="147" t="s">
        <v>172</v>
      </c>
      <c r="D461" s="130" t="s">
        <v>173</v>
      </c>
      <c r="E461" s="148"/>
      <c r="F461" s="132"/>
      <c r="G461" s="132"/>
      <c r="H461" s="131"/>
      <c r="I461" s="166"/>
    </row>
    <row r="462" spans="1:9">
      <c r="A462" s="118"/>
      <c r="B462" s="118"/>
      <c r="C462" s="134">
        <v>1</v>
      </c>
      <c r="D462" s="135" t="s">
        <v>279</v>
      </c>
      <c r="E462" s="136"/>
      <c r="F462" s="137" t="s">
        <v>280</v>
      </c>
      <c r="G462" s="138">
        <v>1.1</v>
      </c>
      <c r="H462" s="149">
        <f>'DAFTAR HARGA'!I80</f>
        <v>85000</v>
      </c>
      <c r="I462" s="167">
        <f>G462*H462</f>
        <v>93500</v>
      </c>
    </row>
    <row r="463" spans="1:9">
      <c r="A463" s="118"/>
      <c r="B463" s="118"/>
      <c r="C463" s="134">
        <v>2</v>
      </c>
      <c r="D463" s="135" t="s">
        <v>281</v>
      </c>
      <c r="E463" s="136"/>
      <c r="F463" s="137" t="s">
        <v>244</v>
      </c>
      <c r="G463" s="138">
        <v>0.05</v>
      </c>
      <c r="H463" s="149">
        <f>'DAFTAR HARGA'!I127</f>
        <v>23000</v>
      </c>
      <c r="I463" s="167">
        <f>G463*H463</f>
        <v>1150</v>
      </c>
    </row>
    <row r="464" spans="1:9">
      <c r="A464" s="118"/>
      <c r="B464" s="118"/>
      <c r="C464" s="152" t="s">
        <v>178</v>
      </c>
      <c r="D464" s="153"/>
      <c r="E464" s="153"/>
      <c r="F464" s="153"/>
      <c r="G464" s="153"/>
      <c r="H464" s="189"/>
      <c r="I464" s="169">
        <f>SUM(I462:I463)</f>
        <v>94650</v>
      </c>
    </row>
    <row r="465" spans="1:9">
      <c r="A465" s="115"/>
      <c r="B465" s="115"/>
      <c r="C465" s="147" t="s">
        <v>179</v>
      </c>
      <c r="D465" s="130" t="s">
        <v>180</v>
      </c>
      <c r="E465" s="148"/>
      <c r="F465" s="132"/>
      <c r="G465" s="132"/>
      <c r="H465" s="133"/>
      <c r="I465" s="166"/>
    </row>
    <row r="466" spans="1:9">
      <c r="A466" s="115"/>
      <c r="B466" s="115"/>
      <c r="C466" s="140"/>
      <c r="D466" s="141"/>
      <c r="E466" s="142"/>
      <c r="F466" s="150"/>
      <c r="G466" s="154"/>
      <c r="H466" s="144"/>
      <c r="I466" s="170"/>
    </row>
    <row r="467" spans="1:9">
      <c r="A467" s="115"/>
      <c r="B467" s="115"/>
      <c r="C467" s="152" t="s">
        <v>181</v>
      </c>
      <c r="D467" s="153"/>
      <c r="E467" s="153"/>
      <c r="F467" s="153"/>
      <c r="G467" s="153"/>
      <c r="H467" s="189"/>
      <c r="I467" s="171">
        <f>SUM(I466)</f>
        <v>0</v>
      </c>
    </row>
    <row r="468" spans="1:9">
      <c r="A468" s="115"/>
      <c r="B468" s="115"/>
      <c r="C468" s="127" t="s">
        <v>182</v>
      </c>
      <c r="D468" s="155" t="s">
        <v>183</v>
      </c>
      <c r="E468" s="156"/>
      <c r="F468" s="157"/>
      <c r="G468" s="157"/>
      <c r="H468" s="158"/>
      <c r="I468" s="171">
        <f>SUM(I460,I464,I467)</f>
        <v>116384.5</v>
      </c>
    </row>
    <row r="469" spans="1:9">
      <c r="A469" s="115"/>
      <c r="B469" s="115"/>
      <c r="C469" s="127" t="s">
        <v>184</v>
      </c>
      <c r="D469" s="155" t="s">
        <v>185</v>
      </c>
      <c r="E469" s="156"/>
      <c r="F469" s="159">
        <v>0.15</v>
      </c>
      <c r="G469" s="157" t="s">
        <v>186</v>
      </c>
      <c r="H469" s="158"/>
      <c r="I469" s="171">
        <f>I468*F469</f>
        <v>17457.675</v>
      </c>
    </row>
    <row r="470" spans="1:9">
      <c r="A470" s="115"/>
      <c r="B470" s="115"/>
      <c r="C470" s="160" t="s">
        <v>187</v>
      </c>
      <c r="D470" s="161" t="s">
        <v>188</v>
      </c>
      <c r="E470" s="124"/>
      <c r="F470" s="125"/>
      <c r="G470" s="125"/>
      <c r="H470" s="162"/>
      <c r="I470" s="172">
        <f>SUM(I468:I469)</f>
        <v>133842.175</v>
      </c>
    </row>
    <row r="471" spans="1:9">
      <c r="A471" s="110"/>
      <c r="B471" s="2"/>
      <c r="C471" s="180"/>
      <c r="D471" s="175"/>
      <c r="E471" s="115"/>
      <c r="F471" s="184"/>
      <c r="G471" s="187"/>
      <c r="H471" s="183"/>
      <c r="I471" s="186"/>
    </row>
    <row r="472" spans="1:9">
      <c r="A472" s="118" t="s">
        <v>282</v>
      </c>
      <c r="B472" s="118"/>
      <c r="C472" s="174" t="s">
        <v>283</v>
      </c>
      <c r="D472" s="175"/>
      <c r="E472" s="175"/>
      <c r="F472" s="175"/>
      <c r="G472" s="175"/>
      <c r="H472" s="175"/>
      <c r="I472" s="178"/>
    </row>
    <row r="473" spans="1:9">
      <c r="A473" s="118"/>
      <c r="B473" s="118"/>
      <c r="C473" s="123" t="s">
        <v>108</v>
      </c>
      <c r="D473" s="124" t="s">
        <v>109</v>
      </c>
      <c r="E473" s="124" t="s">
        <v>156</v>
      </c>
      <c r="F473" s="125" t="s">
        <v>157</v>
      </c>
      <c r="G473" s="125" t="s">
        <v>158</v>
      </c>
      <c r="H473" s="126" t="s">
        <v>159</v>
      </c>
      <c r="I473" s="165" t="s">
        <v>160</v>
      </c>
    </row>
    <row r="474" spans="1:9">
      <c r="A474" s="118"/>
      <c r="B474" s="118"/>
      <c r="C474" s="127">
        <v>1</v>
      </c>
      <c r="D474" s="127">
        <v>2</v>
      </c>
      <c r="E474" s="127">
        <v>3</v>
      </c>
      <c r="F474" s="127">
        <v>4</v>
      </c>
      <c r="G474" s="127">
        <v>5</v>
      </c>
      <c r="H474" s="128">
        <v>6</v>
      </c>
      <c r="I474" s="127">
        <v>7</v>
      </c>
    </row>
    <row r="475" spans="1:9">
      <c r="A475" s="118"/>
      <c r="B475" s="118"/>
      <c r="C475" s="129" t="s">
        <v>4</v>
      </c>
      <c r="D475" s="130" t="s">
        <v>161</v>
      </c>
      <c r="E475" s="130"/>
      <c r="F475" s="131"/>
      <c r="G475" s="132"/>
      <c r="H475" s="133"/>
      <c r="I475" s="166"/>
    </row>
    <row r="476" spans="1:9">
      <c r="A476" s="118"/>
      <c r="B476" s="118"/>
      <c r="C476" s="134">
        <v>1</v>
      </c>
      <c r="D476" s="135" t="s">
        <v>268</v>
      </c>
      <c r="E476" s="136" t="s">
        <v>163</v>
      </c>
      <c r="F476" s="137" t="s">
        <v>164</v>
      </c>
      <c r="G476" s="138">
        <v>0.015</v>
      </c>
      <c r="H476" s="139">
        <f>H456</f>
        <v>80000</v>
      </c>
      <c r="I476" s="167">
        <f>G476*H476</f>
        <v>1200</v>
      </c>
    </row>
    <row r="477" spans="1:9">
      <c r="A477" s="118"/>
      <c r="B477" s="118"/>
      <c r="C477" s="134">
        <v>2</v>
      </c>
      <c r="D477" s="135" t="s">
        <v>165</v>
      </c>
      <c r="E477" s="136" t="s">
        <v>166</v>
      </c>
      <c r="F477" s="137" t="s">
        <v>164</v>
      </c>
      <c r="G477" s="138">
        <v>0.15</v>
      </c>
      <c r="H477" s="139">
        <f>H457</f>
        <v>120000</v>
      </c>
      <c r="I477" s="167">
        <f>G477*H477</f>
        <v>18000</v>
      </c>
    </row>
    <row r="478" spans="1:9">
      <c r="A478" s="118"/>
      <c r="B478" s="118"/>
      <c r="C478" s="134">
        <v>3</v>
      </c>
      <c r="D478" s="135" t="s">
        <v>167</v>
      </c>
      <c r="E478" s="136" t="s">
        <v>168</v>
      </c>
      <c r="F478" s="137" t="s">
        <v>164</v>
      </c>
      <c r="G478" s="138">
        <v>0.015</v>
      </c>
      <c r="H478" s="139">
        <f>H458</f>
        <v>157500</v>
      </c>
      <c r="I478" s="167">
        <f>G478*H478</f>
        <v>2362.5</v>
      </c>
    </row>
    <row r="479" spans="1:9">
      <c r="A479" s="118"/>
      <c r="B479" s="118"/>
      <c r="C479" s="140">
        <v>4</v>
      </c>
      <c r="D479" s="141" t="s">
        <v>169</v>
      </c>
      <c r="E479" s="142" t="s">
        <v>170</v>
      </c>
      <c r="F479" s="137" t="s">
        <v>164</v>
      </c>
      <c r="G479" s="143">
        <v>0.0008</v>
      </c>
      <c r="H479" s="139">
        <f>H459</f>
        <v>215000</v>
      </c>
      <c r="I479" s="167">
        <f>G479*H479</f>
        <v>172</v>
      </c>
    </row>
    <row r="480" spans="1:9">
      <c r="A480" s="118"/>
      <c r="B480" s="118"/>
      <c r="C480" s="152" t="s">
        <v>171</v>
      </c>
      <c r="D480" s="153"/>
      <c r="E480" s="153"/>
      <c r="F480" s="153"/>
      <c r="G480" s="153"/>
      <c r="H480" s="189"/>
      <c r="I480" s="168">
        <f>SUM(I476:I479)</f>
        <v>21734.5</v>
      </c>
    </row>
    <row r="481" spans="1:9">
      <c r="A481" s="118"/>
      <c r="B481" s="118"/>
      <c r="C481" s="147" t="s">
        <v>172</v>
      </c>
      <c r="D481" s="130" t="s">
        <v>173</v>
      </c>
      <c r="E481" s="148"/>
      <c r="F481" s="132"/>
      <c r="G481" s="132"/>
      <c r="H481" s="131"/>
      <c r="I481" s="166"/>
    </row>
    <row r="482" spans="1:9">
      <c r="A482" s="118"/>
      <c r="B482" s="118"/>
      <c r="C482" s="134">
        <v>1</v>
      </c>
      <c r="D482" s="135" t="s">
        <v>284</v>
      </c>
      <c r="E482" s="136"/>
      <c r="F482" s="137" t="s">
        <v>280</v>
      </c>
      <c r="G482" s="138">
        <v>1.1</v>
      </c>
      <c r="H482" s="149">
        <f>'DAFTAR HARGA'!I81</f>
        <v>95000</v>
      </c>
      <c r="I482" s="167">
        <f>G482*H482</f>
        <v>104500</v>
      </c>
    </row>
    <row r="483" spans="1:9">
      <c r="A483" s="118"/>
      <c r="B483" s="118"/>
      <c r="C483" s="134">
        <v>2</v>
      </c>
      <c r="D483" s="135" t="s">
        <v>281</v>
      </c>
      <c r="E483" s="136"/>
      <c r="F483" s="137" t="s">
        <v>244</v>
      </c>
      <c r="G483" s="138">
        <v>0.05</v>
      </c>
      <c r="H483" s="149">
        <f>'DAFTAR HARGA'!I127</f>
        <v>23000</v>
      </c>
      <c r="I483" s="167">
        <f>G483*H483</f>
        <v>1150</v>
      </c>
    </row>
    <row r="484" spans="1:9">
      <c r="A484" s="118"/>
      <c r="B484" s="118"/>
      <c r="C484" s="152" t="s">
        <v>178</v>
      </c>
      <c r="D484" s="153"/>
      <c r="E484" s="153"/>
      <c r="F484" s="153"/>
      <c r="G484" s="153"/>
      <c r="H484" s="189"/>
      <c r="I484" s="169">
        <f>SUM(I482:I483)</f>
        <v>105650</v>
      </c>
    </row>
    <row r="485" spans="1:9">
      <c r="A485" s="115"/>
      <c r="B485" s="115"/>
      <c r="C485" s="147" t="s">
        <v>179</v>
      </c>
      <c r="D485" s="130" t="s">
        <v>180</v>
      </c>
      <c r="E485" s="148"/>
      <c r="F485" s="132"/>
      <c r="G485" s="132"/>
      <c r="H485" s="133"/>
      <c r="I485" s="166"/>
    </row>
    <row r="486" spans="1:9">
      <c r="A486" s="115"/>
      <c r="B486" s="115"/>
      <c r="C486" s="140"/>
      <c r="D486" s="141"/>
      <c r="E486" s="142"/>
      <c r="F486" s="150"/>
      <c r="G486" s="154"/>
      <c r="H486" s="144"/>
      <c r="I486" s="170"/>
    </row>
    <row r="487" spans="1:9">
      <c r="A487" s="115"/>
      <c r="B487" s="115"/>
      <c r="C487" s="152" t="s">
        <v>181</v>
      </c>
      <c r="D487" s="153"/>
      <c r="E487" s="153"/>
      <c r="F487" s="153"/>
      <c r="G487" s="153"/>
      <c r="H487" s="189"/>
      <c r="I487" s="171">
        <f>SUM(I486)</f>
        <v>0</v>
      </c>
    </row>
    <row r="488" spans="1:9">
      <c r="A488" s="115"/>
      <c r="B488" s="115"/>
      <c r="C488" s="127" t="s">
        <v>182</v>
      </c>
      <c r="D488" s="155" t="s">
        <v>183</v>
      </c>
      <c r="E488" s="156"/>
      <c r="F488" s="157"/>
      <c r="G488" s="157"/>
      <c r="H488" s="158"/>
      <c r="I488" s="171">
        <f>SUM(I480,I484,I487)</f>
        <v>127384.5</v>
      </c>
    </row>
    <row r="489" spans="1:9">
      <c r="A489" s="115"/>
      <c r="B489" s="115"/>
      <c r="C489" s="127" t="s">
        <v>184</v>
      </c>
      <c r="D489" s="155" t="s">
        <v>185</v>
      </c>
      <c r="E489" s="156"/>
      <c r="F489" s="159">
        <v>0.15</v>
      </c>
      <c r="G489" s="157" t="s">
        <v>186</v>
      </c>
      <c r="H489" s="158"/>
      <c r="I489" s="171">
        <f>I488*F489</f>
        <v>19107.675</v>
      </c>
    </row>
    <row r="490" spans="1:9">
      <c r="A490" s="115"/>
      <c r="B490" s="115"/>
      <c r="C490" s="160" t="s">
        <v>187</v>
      </c>
      <c r="D490" s="161" t="s">
        <v>188</v>
      </c>
      <c r="E490" s="124"/>
      <c r="F490" s="125"/>
      <c r="G490" s="125"/>
      <c r="H490" s="162"/>
      <c r="I490" s="172">
        <f>SUM(I488:I489)</f>
        <v>146492.175</v>
      </c>
    </row>
    <row r="491" spans="1:9">
      <c r="A491" s="110"/>
      <c r="B491" s="2"/>
      <c r="C491" s="180"/>
      <c r="D491" s="175"/>
      <c r="E491" s="115"/>
      <c r="F491" s="184"/>
      <c r="G491" s="187"/>
      <c r="H491" s="183"/>
      <c r="I491" s="186"/>
    </row>
    <row r="492" spans="1:9">
      <c r="A492" s="118" t="s">
        <v>285</v>
      </c>
      <c r="B492" s="118"/>
      <c r="C492" s="174" t="s">
        <v>286</v>
      </c>
      <c r="D492" s="175"/>
      <c r="E492" s="175"/>
      <c r="F492" s="175"/>
      <c r="G492" s="175"/>
      <c r="H492" s="175"/>
      <c r="I492" s="178"/>
    </row>
    <row r="493" spans="1:9">
      <c r="A493" s="118"/>
      <c r="B493" s="118"/>
      <c r="C493" s="123" t="s">
        <v>108</v>
      </c>
      <c r="D493" s="124" t="s">
        <v>109</v>
      </c>
      <c r="E493" s="124" t="s">
        <v>156</v>
      </c>
      <c r="F493" s="125" t="s">
        <v>157</v>
      </c>
      <c r="G493" s="125" t="s">
        <v>158</v>
      </c>
      <c r="H493" s="126" t="s">
        <v>159</v>
      </c>
      <c r="I493" s="165" t="s">
        <v>160</v>
      </c>
    </row>
    <row r="494" spans="1:9">
      <c r="A494" s="118"/>
      <c r="B494" s="118"/>
      <c r="C494" s="127">
        <v>1</v>
      </c>
      <c r="D494" s="127">
        <v>2</v>
      </c>
      <c r="E494" s="127">
        <v>3</v>
      </c>
      <c r="F494" s="127">
        <v>4</v>
      </c>
      <c r="G494" s="127">
        <v>5</v>
      </c>
      <c r="H494" s="128">
        <v>6</v>
      </c>
      <c r="I494" s="127">
        <v>7</v>
      </c>
    </row>
    <row r="495" spans="1:9">
      <c r="A495" s="118"/>
      <c r="B495" s="118"/>
      <c r="C495" s="129" t="s">
        <v>4</v>
      </c>
      <c r="D495" s="130" t="s">
        <v>161</v>
      </c>
      <c r="E495" s="130"/>
      <c r="F495" s="131"/>
      <c r="G495" s="132"/>
      <c r="H495" s="133"/>
      <c r="I495" s="166"/>
    </row>
    <row r="496" spans="1:9">
      <c r="A496" s="118"/>
      <c r="B496" s="118"/>
      <c r="C496" s="134">
        <v>1</v>
      </c>
      <c r="D496" s="135" t="s">
        <v>268</v>
      </c>
      <c r="E496" s="136" t="s">
        <v>163</v>
      </c>
      <c r="F496" s="137" t="s">
        <v>164</v>
      </c>
      <c r="G496" s="138">
        <v>0.8</v>
      </c>
      <c r="H496" s="139">
        <f>H476</f>
        <v>80000</v>
      </c>
      <c r="I496" s="167">
        <f>G496*H496</f>
        <v>64000</v>
      </c>
    </row>
    <row r="497" spans="1:9">
      <c r="A497" s="118"/>
      <c r="B497" s="118"/>
      <c r="C497" s="140">
        <v>2</v>
      </c>
      <c r="D497" s="141" t="s">
        <v>165</v>
      </c>
      <c r="E497" s="142" t="s">
        <v>166</v>
      </c>
      <c r="F497" s="150" t="s">
        <v>164</v>
      </c>
      <c r="G497" s="143">
        <v>2.4</v>
      </c>
      <c r="H497" s="144">
        <f>H477</f>
        <v>120000</v>
      </c>
      <c r="I497" s="170">
        <f>G497*H497</f>
        <v>288000</v>
      </c>
    </row>
    <row r="498" spans="1:9">
      <c r="A498" s="118"/>
      <c r="B498" s="118"/>
      <c r="C498" s="147">
        <v>3</v>
      </c>
      <c r="D498" s="130" t="s">
        <v>167</v>
      </c>
      <c r="E498" s="148" t="s">
        <v>168</v>
      </c>
      <c r="F498" s="132" t="s">
        <v>164</v>
      </c>
      <c r="G498" s="190">
        <v>0.24</v>
      </c>
      <c r="H498" s="133">
        <f>H478</f>
        <v>157500</v>
      </c>
      <c r="I498" s="168">
        <f>G498*H498</f>
        <v>37800</v>
      </c>
    </row>
    <row r="499" spans="1:9">
      <c r="A499" s="118"/>
      <c r="B499" s="118"/>
      <c r="C499" s="140">
        <v>4</v>
      </c>
      <c r="D499" s="141" t="s">
        <v>169</v>
      </c>
      <c r="E499" s="142" t="s">
        <v>170</v>
      </c>
      <c r="F499" s="137" t="s">
        <v>164</v>
      </c>
      <c r="G499" s="143">
        <v>0.04</v>
      </c>
      <c r="H499" s="139">
        <f>H479</f>
        <v>215000</v>
      </c>
      <c r="I499" s="167">
        <f>G499*H499</f>
        <v>8600</v>
      </c>
    </row>
    <row r="500" spans="1:9">
      <c r="A500" s="118"/>
      <c r="B500" s="118"/>
      <c r="C500" s="152" t="s">
        <v>171</v>
      </c>
      <c r="D500" s="153"/>
      <c r="E500" s="153"/>
      <c r="F500" s="153"/>
      <c r="G500" s="153"/>
      <c r="H500" s="189"/>
      <c r="I500" s="168">
        <f>SUM(I496:I499)</f>
        <v>398400</v>
      </c>
    </row>
    <row r="501" spans="1:9">
      <c r="A501" s="118"/>
      <c r="B501" s="118"/>
      <c r="C501" s="147" t="s">
        <v>172</v>
      </c>
      <c r="D501" s="130" t="s">
        <v>173</v>
      </c>
      <c r="E501" s="148"/>
      <c r="F501" s="132"/>
      <c r="G501" s="132"/>
      <c r="H501" s="131"/>
      <c r="I501" s="166"/>
    </row>
    <row r="502" spans="1:9">
      <c r="A502" s="118"/>
      <c r="B502" s="118"/>
      <c r="C502" s="134">
        <v>1</v>
      </c>
      <c r="D502" s="135" t="s">
        <v>287</v>
      </c>
      <c r="E502" s="136"/>
      <c r="F502" s="137" t="s">
        <v>280</v>
      </c>
      <c r="G502" s="138">
        <v>0.024</v>
      </c>
      <c r="H502" s="149">
        <f>'DAFTAR HARGA'!I98</f>
        <v>2500000</v>
      </c>
      <c r="I502" s="167">
        <f>G502*H502</f>
        <v>60000</v>
      </c>
    </row>
    <row r="503" spans="1:9">
      <c r="A503" s="118"/>
      <c r="B503" s="118"/>
      <c r="C503" s="134">
        <v>2</v>
      </c>
      <c r="D503" s="135" t="s">
        <v>272</v>
      </c>
      <c r="E503" s="136"/>
      <c r="F503" s="137" t="s">
        <v>244</v>
      </c>
      <c r="G503" s="138">
        <v>0.3</v>
      </c>
      <c r="H503" s="149">
        <f>'DAFTAR HARGA'!I89</f>
        <v>15000</v>
      </c>
      <c r="I503" s="167">
        <f>G503*H503</f>
        <v>4500</v>
      </c>
    </row>
    <row r="504" spans="1:9">
      <c r="A504" s="118"/>
      <c r="B504" s="118"/>
      <c r="C504" s="152" t="s">
        <v>178</v>
      </c>
      <c r="D504" s="153"/>
      <c r="E504" s="153"/>
      <c r="F504" s="153"/>
      <c r="G504" s="153"/>
      <c r="H504" s="189"/>
      <c r="I504" s="169">
        <f>SUM(I502:I503)</f>
        <v>64500</v>
      </c>
    </row>
    <row r="505" spans="1:9">
      <c r="A505" s="115"/>
      <c r="B505" s="115"/>
      <c r="C505" s="147" t="s">
        <v>179</v>
      </c>
      <c r="D505" s="130" t="s">
        <v>180</v>
      </c>
      <c r="E505" s="148"/>
      <c r="F505" s="132"/>
      <c r="G505" s="132"/>
      <c r="H505" s="133"/>
      <c r="I505" s="166"/>
    </row>
    <row r="506" spans="1:9">
      <c r="A506" s="115"/>
      <c r="B506" s="115"/>
      <c r="C506" s="140"/>
      <c r="D506" s="141"/>
      <c r="E506" s="142"/>
      <c r="F506" s="150"/>
      <c r="G506" s="154"/>
      <c r="H506" s="144"/>
      <c r="I506" s="170"/>
    </row>
    <row r="507" spans="1:9">
      <c r="A507" s="115"/>
      <c r="B507" s="115"/>
      <c r="C507" s="152" t="s">
        <v>181</v>
      </c>
      <c r="D507" s="153"/>
      <c r="E507" s="153"/>
      <c r="F507" s="153"/>
      <c r="G507" s="153"/>
      <c r="H507" s="189"/>
      <c r="I507" s="171">
        <f>SUM(I506)</f>
        <v>0</v>
      </c>
    </row>
    <row r="508" spans="1:9">
      <c r="A508" s="115"/>
      <c r="B508" s="115"/>
      <c r="C508" s="127" t="s">
        <v>182</v>
      </c>
      <c r="D508" s="155" t="s">
        <v>183</v>
      </c>
      <c r="E508" s="156"/>
      <c r="F508" s="157"/>
      <c r="G508" s="157"/>
      <c r="H508" s="158"/>
      <c r="I508" s="171">
        <f>SUM(I500,I504,I507)</f>
        <v>462900</v>
      </c>
    </row>
    <row r="509" spans="1:9">
      <c r="A509" s="115"/>
      <c r="B509" s="115"/>
      <c r="C509" s="127" t="s">
        <v>184</v>
      </c>
      <c r="D509" s="155" t="s">
        <v>185</v>
      </c>
      <c r="E509" s="156"/>
      <c r="F509" s="159">
        <v>0.15</v>
      </c>
      <c r="G509" s="157" t="s">
        <v>186</v>
      </c>
      <c r="H509" s="158"/>
      <c r="I509" s="171">
        <f>I508*F509</f>
        <v>69435</v>
      </c>
    </row>
    <row r="510" spans="1:9">
      <c r="A510" s="115"/>
      <c r="B510" s="115"/>
      <c r="C510" s="160" t="s">
        <v>187</v>
      </c>
      <c r="D510" s="161" t="s">
        <v>188</v>
      </c>
      <c r="E510" s="124"/>
      <c r="F510" s="125"/>
      <c r="G510" s="125"/>
      <c r="H510" s="162"/>
      <c r="I510" s="172">
        <f>SUM(I508:I509)</f>
        <v>532335</v>
      </c>
    </row>
    <row r="511" spans="1:9">
      <c r="A511" s="110"/>
      <c r="B511" s="2"/>
      <c r="C511" s="180"/>
      <c r="D511" s="175"/>
      <c r="E511" s="115"/>
      <c r="F511" s="184"/>
      <c r="G511" s="187"/>
      <c r="H511" s="183"/>
      <c r="I511" s="186"/>
    </row>
    <row r="512" spans="1:9">
      <c r="A512" s="115"/>
      <c r="B512" s="115"/>
      <c r="C512" s="116"/>
      <c r="D512" s="117"/>
      <c r="E512" s="118"/>
      <c r="F512" s="119"/>
      <c r="G512" s="119"/>
      <c r="H512" s="120"/>
      <c r="I512" s="164"/>
    </row>
    <row r="513" spans="1:9">
      <c r="A513" s="118" t="s">
        <v>288</v>
      </c>
      <c r="B513" s="118"/>
      <c r="C513" s="174" t="s">
        <v>289</v>
      </c>
      <c r="D513" s="175"/>
      <c r="E513" s="175"/>
      <c r="F513" s="175"/>
      <c r="G513" s="175"/>
      <c r="H513" s="175"/>
      <c r="I513" s="178"/>
    </row>
    <row r="514" spans="1:9">
      <c r="A514" s="118"/>
      <c r="B514" s="118"/>
      <c r="C514" s="123" t="s">
        <v>108</v>
      </c>
      <c r="D514" s="124" t="s">
        <v>109</v>
      </c>
      <c r="E514" s="124" t="s">
        <v>156</v>
      </c>
      <c r="F514" s="125" t="s">
        <v>157</v>
      </c>
      <c r="G514" s="125" t="s">
        <v>158</v>
      </c>
      <c r="H514" s="126" t="s">
        <v>159</v>
      </c>
      <c r="I514" s="165" t="s">
        <v>160</v>
      </c>
    </row>
    <row r="515" spans="1:9">
      <c r="A515" s="118"/>
      <c r="B515" s="118"/>
      <c r="C515" s="127">
        <v>1</v>
      </c>
      <c r="D515" s="127">
        <v>2</v>
      </c>
      <c r="E515" s="127">
        <v>3</v>
      </c>
      <c r="F515" s="127">
        <v>4</v>
      </c>
      <c r="G515" s="127">
        <v>5</v>
      </c>
      <c r="H515" s="128">
        <v>6</v>
      </c>
      <c r="I515" s="127">
        <v>7</v>
      </c>
    </row>
    <row r="516" spans="1:9">
      <c r="A516" s="118"/>
      <c r="B516" s="118"/>
      <c r="C516" s="129" t="s">
        <v>4</v>
      </c>
      <c r="D516" s="130" t="s">
        <v>161</v>
      </c>
      <c r="E516" s="130"/>
      <c r="F516" s="131"/>
      <c r="G516" s="132"/>
      <c r="H516" s="133"/>
      <c r="I516" s="166"/>
    </row>
    <row r="517" spans="1:9">
      <c r="A517" s="118"/>
      <c r="B517" s="118"/>
      <c r="C517" s="134">
        <v>1</v>
      </c>
      <c r="D517" s="135" t="s">
        <v>268</v>
      </c>
      <c r="E517" s="136" t="s">
        <v>163</v>
      </c>
      <c r="F517" s="137" t="s">
        <v>164</v>
      </c>
      <c r="G517" s="138">
        <v>0.015</v>
      </c>
      <c r="H517" s="139">
        <f>H496</f>
        <v>80000</v>
      </c>
      <c r="I517" s="167">
        <f>G517*H517</f>
        <v>1200</v>
      </c>
    </row>
    <row r="518" spans="1:9">
      <c r="A518" s="118"/>
      <c r="B518" s="118"/>
      <c r="C518" s="134">
        <v>2</v>
      </c>
      <c r="D518" s="135" t="s">
        <v>165</v>
      </c>
      <c r="E518" s="136" t="s">
        <v>166</v>
      </c>
      <c r="F518" s="137" t="s">
        <v>164</v>
      </c>
      <c r="G518" s="138">
        <v>0.15</v>
      </c>
      <c r="H518" s="139">
        <f>H497</f>
        <v>120000</v>
      </c>
      <c r="I518" s="167">
        <f>G518*H518</f>
        <v>18000</v>
      </c>
    </row>
    <row r="519" spans="1:9">
      <c r="A519" s="118"/>
      <c r="B519" s="118"/>
      <c r="C519" s="134">
        <v>3</v>
      </c>
      <c r="D519" s="135" t="s">
        <v>167</v>
      </c>
      <c r="E519" s="136" t="s">
        <v>168</v>
      </c>
      <c r="F519" s="137" t="s">
        <v>164</v>
      </c>
      <c r="G519" s="138">
        <v>0.015</v>
      </c>
      <c r="H519" s="139">
        <f>H498</f>
        <v>157500</v>
      </c>
      <c r="I519" s="167">
        <f>G519*H519</f>
        <v>2362.5</v>
      </c>
    </row>
    <row r="520" spans="1:9">
      <c r="A520" s="118"/>
      <c r="B520" s="118"/>
      <c r="C520" s="140">
        <v>4</v>
      </c>
      <c r="D520" s="141" t="s">
        <v>169</v>
      </c>
      <c r="E520" s="142" t="s">
        <v>170</v>
      </c>
      <c r="F520" s="137" t="s">
        <v>164</v>
      </c>
      <c r="G520" s="143">
        <v>0.0008</v>
      </c>
      <c r="H520" s="139">
        <f>H499</f>
        <v>215000</v>
      </c>
      <c r="I520" s="167">
        <f>G520*H520</f>
        <v>172</v>
      </c>
    </row>
    <row r="521" spans="1:9">
      <c r="A521" s="118"/>
      <c r="B521" s="118"/>
      <c r="C521" s="152" t="s">
        <v>171</v>
      </c>
      <c r="D521" s="153"/>
      <c r="E521" s="153"/>
      <c r="F521" s="153"/>
      <c r="G521" s="153"/>
      <c r="H521" s="189"/>
      <c r="I521" s="168">
        <f>SUM(I517:I520)</f>
        <v>21734.5</v>
      </c>
    </row>
    <row r="522" spans="1:9">
      <c r="A522" s="118"/>
      <c r="B522" s="118"/>
      <c r="C522" s="147" t="s">
        <v>172</v>
      </c>
      <c r="D522" s="130" t="s">
        <v>173</v>
      </c>
      <c r="E522" s="148"/>
      <c r="F522" s="132"/>
      <c r="G522" s="132"/>
      <c r="H522" s="131"/>
      <c r="I522" s="166"/>
    </row>
    <row r="523" spans="1:9">
      <c r="A523" s="118"/>
      <c r="B523" s="118"/>
      <c r="C523" s="134">
        <v>1</v>
      </c>
      <c r="D523" s="135" t="s">
        <v>290</v>
      </c>
      <c r="E523" s="136"/>
      <c r="F523" s="137" t="s">
        <v>291</v>
      </c>
      <c r="G523" s="138">
        <v>1</v>
      </c>
      <c r="H523" s="149">
        <f>'DAFTAR HARGA'!I65</f>
        <v>51000</v>
      </c>
      <c r="I523" s="167">
        <f>G523*H523</f>
        <v>51000</v>
      </c>
    </row>
    <row r="524" spans="1:9">
      <c r="A524" s="118"/>
      <c r="B524" s="118"/>
      <c r="C524" s="152" t="s">
        <v>178</v>
      </c>
      <c r="D524" s="153"/>
      <c r="E524" s="153"/>
      <c r="F524" s="153"/>
      <c r="G524" s="153"/>
      <c r="H524" s="189"/>
      <c r="I524" s="169">
        <f>SUM(I523:I523)</f>
        <v>51000</v>
      </c>
    </row>
    <row r="525" spans="1:9">
      <c r="A525" s="115"/>
      <c r="B525" s="115"/>
      <c r="C525" s="147" t="s">
        <v>179</v>
      </c>
      <c r="D525" s="130" t="s">
        <v>180</v>
      </c>
      <c r="E525" s="148"/>
      <c r="F525" s="132"/>
      <c r="G525" s="132"/>
      <c r="H525" s="133"/>
      <c r="I525" s="166"/>
    </row>
    <row r="526" spans="1:9">
      <c r="A526" s="115"/>
      <c r="B526" s="115"/>
      <c r="C526" s="140"/>
      <c r="D526" s="141"/>
      <c r="E526" s="142"/>
      <c r="F526" s="150"/>
      <c r="G526" s="154"/>
      <c r="H526" s="144"/>
      <c r="I526" s="170"/>
    </row>
    <row r="527" spans="1:9">
      <c r="A527" s="115"/>
      <c r="B527" s="115"/>
      <c r="C527" s="152" t="s">
        <v>181</v>
      </c>
      <c r="D527" s="153"/>
      <c r="E527" s="153"/>
      <c r="F527" s="153"/>
      <c r="G527" s="153"/>
      <c r="H527" s="189"/>
      <c r="I527" s="171">
        <f>SUM(I526)</f>
        <v>0</v>
      </c>
    </row>
    <row r="528" spans="1:9">
      <c r="A528" s="115"/>
      <c r="B528" s="115"/>
      <c r="C528" s="127" t="s">
        <v>182</v>
      </c>
      <c r="D528" s="155" t="s">
        <v>183</v>
      </c>
      <c r="E528" s="156"/>
      <c r="F528" s="157"/>
      <c r="G528" s="157"/>
      <c r="H528" s="158"/>
      <c r="I528" s="171">
        <f>SUM(I521,I524,I527)</f>
        <v>72734.5</v>
      </c>
    </row>
    <row r="529" spans="1:9">
      <c r="A529" s="115"/>
      <c r="B529" s="115"/>
      <c r="C529" s="127" t="s">
        <v>184</v>
      </c>
      <c r="D529" s="155" t="s">
        <v>185</v>
      </c>
      <c r="E529" s="156"/>
      <c r="F529" s="159">
        <v>0.15</v>
      </c>
      <c r="G529" s="157" t="s">
        <v>186</v>
      </c>
      <c r="H529" s="158"/>
      <c r="I529" s="171">
        <f>I528*F529</f>
        <v>10910.175</v>
      </c>
    </row>
    <row r="530" spans="1:9">
      <c r="A530" s="115"/>
      <c r="B530" s="115"/>
      <c r="C530" s="160" t="s">
        <v>187</v>
      </c>
      <c r="D530" s="161" t="s">
        <v>188</v>
      </c>
      <c r="E530" s="124"/>
      <c r="F530" s="125"/>
      <c r="G530" s="125"/>
      <c r="H530" s="162"/>
      <c r="I530" s="172">
        <f>SUM(I528:I529)</f>
        <v>83644.675</v>
      </c>
    </row>
    <row r="531" spans="1:9">
      <c r="A531" s="110"/>
      <c r="B531" s="2"/>
      <c r="C531" s="180"/>
      <c r="D531" s="175"/>
      <c r="E531" s="115"/>
      <c r="F531" s="184"/>
      <c r="G531" s="187"/>
      <c r="H531" s="183"/>
      <c r="I531" s="186"/>
    </row>
    <row r="532" spans="1:9">
      <c r="A532" s="118" t="s">
        <v>292</v>
      </c>
      <c r="B532" s="118"/>
      <c r="C532" s="174" t="s">
        <v>293</v>
      </c>
      <c r="D532" s="175"/>
      <c r="E532" s="175"/>
      <c r="F532" s="175"/>
      <c r="G532" s="175"/>
      <c r="H532" s="175"/>
      <c r="I532" s="178"/>
    </row>
    <row r="533" spans="1:9">
      <c r="A533" s="118"/>
      <c r="B533" s="118"/>
      <c r="C533" s="123" t="s">
        <v>108</v>
      </c>
      <c r="D533" s="124" t="s">
        <v>109</v>
      </c>
      <c r="E533" s="124" t="s">
        <v>156</v>
      </c>
      <c r="F533" s="125" t="s">
        <v>157</v>
      </c>
      <c r="G533" s="125" t="s">
        <v>158</v>
      </c>
      <c r="H533" s="126" t="s">
        <v>159</v>
      </c>
      <c r="I533" s="165" t="s">
        <v>160</v>
      </c>
    </row>
    <row r="534" spans="1:9">
      <c r="A534" s="118"/>
      <c r="B534" s="118"/>
      <c r="C534" s="127">
        <v>1</v>
      </c>
      <c r="D534" s="127">
        <v>2</v>
      </c>
      <c r="E534" s="127">
        <v>3</v>
      </c>
      <c r="F534" s="127">
        <v>4</v>
      </c>
      <c r="G534" s="127">
        <v>5</v>
      </c>
      <c r="H534" s="128">
        <v>6</v>
      </c>
      <c r="I534" s="127">
        <v>7</v>
      </c>
    </row>
    <row r="535" spans="1:9">
      <c r="A535" s="118"/>
      <c r="B535" s="118"/>
      <c r="C535" s="129" t="s">
        <v>4</v>
      </c>
      <c r="D535" s="130" t="s">
        <v>161</v>
      </c>
      <c r="E535" s="130"/>
      <c r="F535" s="131"/>
      <c r="G535" s="132"/>
      <c r="H535" s="133"/>
      <c r="I535" s="166"/>
    </row>
    <row r="536" spans="1:9">
      <c r="A536" s="118"/>
      <c r="B536" s="118"/>
      <c r="C536" s="134">
        <v>1</v>
      </c>
      <c r="D536" s="135" t="s">
        <v>268</v>
      </c>
      <c r="E536" s="136" t="s">
        <v>163</v>
      </c>
      <c r="F536" s="137" t="s">
        <v>164</v>
      </c>
      <c r="G536" s="138">
        <v>0.01</v>
      </c>
      <c r="H536" s="139">
        <f>H517</f>
        <v>80000</v>
      </c>
      <c r="I536" s="167">
        <f>G536*H536</f>
        <v>800</v>
      </c>
    </row>
    <row r="537" spans="1:9">
      <c r="A537" s="118"/>
      <c r="B537" s="118"/>
      <c r="C537" s="134">
        <v>2</v>
      </c>
      <c r="D537" s="135" t="s">
        <v>165</v>
      </c>
      <c r="E537" s="136" t="s">
        <v>166</v>
      </c>
      <c r="F537" s="137" t="s">
        <v>164</v>
      </c>
      <c r="G537" s="138">
        <v>0.1</v>
      </c>
      <c r="H537" s="139">
        <f>H518</f>
        <v>120000</v>
      </c>
      <c r="I537" s="167">
        <f>G537*H537</f>
        <v>12000</v>
      </c>
    </row>
    <row r="538" spans="1:9">
      <c r="A538" s="118"/>
      <c r="B538" s="118"/>
      <c r="C538" s="134">
        <v>3</v>
      </c>
      <c r="D538" s="135" t="s">
        <v>167</v>
      </c>
      <c r="E538" s="136" t="s">
        <v>168</v>
      </c>
      <c r="F538" s="137" t="s">
        <v>164</v>
      </c>
      <c r="G538" s="138">
        <v>0.01</v>
      </c>
      <c r="H538" s="139">
        <f>H519</f>
        <v>157500</v>
      </c>
      <c r="I538" s="167">
        <f>G538*H538</f>
        <v>1575</v>
      </c>
    </row>
    <row r="539" spans="1:9">
      <c r="A539" s="118"/>
      <c r="B539" s="118"/>
      <c r="C539" s="140">
        <v>4</v>
      </c>
      <c r="D539" s="141" t="s">
        <v>169</v>
      </c>
      <c r="E539" s="142" t="s">
        <v>170</v>
      </c>
      <c r="F539" s="137" t="s">
        <v>164</v>
      </c>
      <c r="G539" s="143">
        <v>0.0005</v>
      </c>
      <c r="H539" s="139">
        <f>H520</f>
        <v>215000</v>
      </c>
      <c r="I539" s="167">
        <f>G539*H539</f>
        <v>107.5</v>
      </c>
    </row>
    <row r="540" spans="1:9">
      <c r="A540" s="118"/>
      <c r="B540" s="118"/>
      <c r="C540" s="152" t="s">
        <v>171</v>
      </c>
      <c r="D540" s="153"/>
      <c r="E540" s="153"/>
      <c r="F540" s="153"/>
      <c r="G540" s="153"/>
      <c r="H540" s="189"/>
      <c r="I540" s="168">
        <f>SUM(I536:I539)</f>
        <v>14482.5</v>
      </c>
    </row>
    <row r="541" spans="1:9">
      <c r="A541" s="118"/>
      <c r="B541" s="118"/>
      <c r="C541" s="147" t="s">
        <v>172</v>
      </c>
      <c r="D541" s="130" t="s">
        <v>173</v>
      </c>
      <c r="E541" s="148"/>
      <c r="F541" s="132"/>
      <c r="G541" s="132"/>
      <c r="H541" s="131"/>
      <c r="I541" s="166"/>
    </row>
    <row r="542" spans="1:9">
      <c r="A542" s="118"/>
      <c r="B542" s="118"/>
      <c r="C542" s="134">
        <v>1</v>
      </c>
      <c r="D542" s="135" t="s">
        <v>294</v>
      </c>
      <c r="E542" s="136"/>
      <c r="F542" s="137" t="s">
        <v>291</v>
      </c>
      <c r="G542" s="138">
        <v>1</v>
      </c>
      <c r="H542" s="149">
        <f>'DAFTAR HARGA'!I64</f>
        <v>35000</v>
      </c>
      <c r="I542" s="167">
        <f>G542*H542</f>
        <v>35000</v>
      </c>
    </row>
    <row r="543" spans="1:9">
      <c r="A543" s="118"/>
      <c r="B543" s="118"/>
      <c r="C543" s="152" t="s">
        <v>178</v>
      </c>
      <c r="D543" s="153"/>
      <c r="E543" s="153"/>
      <c r="F543" s="153"/>
      <c r="G543" s="153"/>
      <c r="H543" s="189"/>
      <c r="I543" s="169">
        <f>SUM(I542:I542)</f>
        <v>35000</v>
      </c>
    </row>
    <row r="544" spans="1:9">
      <c r="A544" s="115"/>
      <c r="B544" s="115"/>
      <c r="C544" s="147" t="s">
        <v>179</v>
      </c>
      <c r="D544" s="130" t="s">
        <v>180</v>
      </c>
      <c r="E544" s="148"/>
      <c r="F544" s="132"/>
      <c r="G544" s="132"/>
      <c r="H544" s="133"/>
      <c r="I544" s="166"/>
    </row>
    <row r="545" spans="1:9">
      <c r="A545" s="115"/>
      <c r="B545" s="115"/>
      <c r="C545" s="140"/>
      <c r="D545" s="141"/>
      <c r="E545" s="142"/>
      <c r="F545" s="150"/>
      <c r="G545" s="154"/>
      <c r="H545" s="144"/>
      <c r="I545" s="170"/>
    </row>
    <row r="546" spans="1:9">
      <c r="A546" s="115"/>
      <c r="B546" s="115"/>
      <c r="C546" s="152" t="s">
        <v>181</v>
      </c>
      <c r="D546" s="153"/>
      <c r="E546" s="153"/>
      <c r="F546" s="153"/>
      <c r="G546" s="153"/>
      <c r="H546" s="189"/>
      <c r="I546" s="171">
        <f>SUM(I545)</f>
        <v>0</v>
      </c>
    </row>
    <row r="547" spans="1:9">
      <c r="A547" s="115"/>
      <c r="B547" s="115"/>
      <c r="C547" s="127" t="s">
        <v>182</v>
      </c>
      <c r="D547" s="155" t="s">
        <v>183</v>
      </c>
      <c r="E547" s="156"/>
      <c r="F547" s="157"/>
      <c r="G547" s="157"/>
      <c r="H547" s="158"/>
      <c r="I547" s="171">
        <f>SUM(I540,I543,I546)</f>
        <v>49482.5</v>
      </c>
    </row>
    <row r="548" spans="1:9">
      <c r="A548" s="115"/>
      <c r="B548" s="115"/>
      <c r="C548" s="127" t="s">
        <v>184</v>
      </c>
      <c r="D548" s="155" t="s">
        <v>185</v>
      </c>
      <c r="E548" s="156"/>
      <c r="F548" s="159">
        <v>0.15</v>
      </c>
      <c r="G548" s="157" t="s">
        <v>186</v>
      </c>
      <c r="H548" s="158"/>
      <c r="I548" s="171">
        <f>I547*F548</f>
        <v>7422.375</v>
      </c>
    </row>
    <row r="549" spans="1:9">
      <c r="A549" s="115"/>
      <c r="B549" s="115"/>
      <c r="C549" s="160" t="s">
        <v>187</v>
      </c>
      <c r="D549" s="161" t="s">
        <v>188</v>
      </c>
      <c r="E549" s="124"/>
      <c r="F549" s="125"/>
      <c r="G549" s="125"/>
      <c r="H549" s="162"/>
      <c r="I549" s="172">
        <f>SUM(I547:I548)</f>
        <v>56904.875</v>
      </c>
    </row>
    <row r="550" spans="1:9">
      <c r="A550" s="110"/>
      <c r="B550" s="2"/>
      <c r="C550" s="180"/>
      <c r="D550" s="175"/>
      <c r="E550" s="115"/>
      <c r="F550" s="184"/>
      <c r="G550" s="187"/>
      <c r="H550" s="183"/>
      <c r="I550" s="186"/>
    </row>
    <row r="551" spans="1:9">
      <c r="A551" s="118" t="s">
        <v>295</v>
      </c>
      <c r="C551" s="64" t="s">
        <v>296</v>
      </c>
      <c r="D551" s="175"/>
      <c r="E551" s="175"/>
      <c r="F551" s="175"/>
      <c r="G551" s="175"/>
      <c r="H551" s="175"/>
      <c r="I551" s="178"/>
    </row>
    <row r="552" spans="1:9">
      <c r="A552" s="118"/>
      <c r="B552" s="118"/>
      <c r="C552" s="123" t="s">
        <v>108</v>
      </c>
      <c r="D552" s="124" t="s">
        <v>109</v>
      </c>
      <c r="E552" s="124" t="s">
        <v>156</v>
      </c>
      <c r="F552" s="125" t="s">
        <v>157</v>
      </c>
      <c r="G552" s="125" t="s">
        <v>158</v>
      </c>
      <c r="H552" s="126" t="s">
        <v>159</v>
      </c>
      <c r="I552" s="165" t="s">
        <v>160</v>
      </c>
    </row>
    <row r="553" spans="1:9">
      <c r="A553" s="118"/>
      <c r="B553" s="118"/>
      <c r="C553" s="127">
        <v>1</v>
      </c>
      <c r="D553" s="127">
        <v>2</v>
      </c>
      <c r="E553" s="127">
        <v>3</v>
      </c>
      <c r="F553" s="127">
        <v>4</v>
      </c>
      <c r="G553" s="127">
        <v>5</v>
      </c>
      <c r="H553" s="128">
        <v>6</v>
      </c>
      <c r="I553" s="127">
        <v>7</v>
      </c>
    </row>
    <row r="554" spans="1:9">
      <c r="A554" s="118"/>
      <c r="B554" s="118"/>
      <c r="C554" s="129" t="s">
        <v>4</v>
      </c>
      <c r="D554" s="130" t="s">
        <v>161</v>
      </c>
      <c r="E554" s="130"/>
      <c r="F554" s="131"/>
      <c r="G554" s="132"/>
      <c r="H554" s="133"/>
      <c r="I554" s="166"/>
    </row>
    <row r="555" spans="1:9">
      <c r="A555" s="118"/>
      <c r="B555" s="118"/>
      <c r="C555" s="134">
        <v>1</v>
      </c>
      <c r="D555" s="135" t="s">
        <v>268</v>
      </c>
      <c r="E555" s="136" t="s">
        <v>163</v>
      </c>
      <c r="F555" s="137" t="s">
        <v>164</v>
      </c>
      <c r="G555" s="138">
        <v>0.02</v>
      </c>
      <c r="H555" s="139">
        <f>H536</f>
        <v>80000</v>
      </c>
      <c r="I555" s="167">
        <f>G555*H555</f>
        <v>1600</v>
      </c>
    </row>
    <row r="556" spans="1:9">
      <c r="A556" s="118"/>
      <c r="B556" s="118"/>
      <c r="C556" s="134">
        <v>2</v>
      </c>
      <c r="D556" s="135" t="s">
        <v>165</v>
      </c>
      <c r="E556" s="136" t="s">
        <v>166</v>
      </c>
      <c r="F556" s="137" t="s">
        <v>164</v>
      </c>
      <c r="G556" s="138">
        <v>0.2</v>
      </c>
      <c r="H556" s="139">
        <f>H537</f>
        <v>120000</v>
      </c>
      <c r="I556" s="167">
        <f>G556*H556</f>
        <v>24000</v>
      </c>
    </row>
    <row r="557" spans="1:9">
      <c r="A557" s="118"/>
      <c r="B557" s="118"/>
      <c r="C557" s="134">
        <v>3</v>
      </c>
      <c r="D557" s="135" t="s">
        <v>167</v>
      </c>
      <c r="E557" s="136" t="s">
        <v>168</v>
      </c>
      <c r="F557" s="137" t="s">
        <v>164</v>
      </c>
      <c r="G557" s="138">
        <v>0.02</v>
      </c>
      <c r="H557" s="139">
        <f>H538</f>
        <v>157500</v>
      </c>
      <c r="I557" s="167">
        <f>G557*H557</f>
        <v>3150</v>
      </c>
    </row>
    <row r="558" spans="1:9">
      <c r="A558" s="118"/>
      <c r="B558" s="118"/>
      <c r="C558" s="140">
        <v>4</v>
      </c>
      <c r="D558" s="141" t="s">
        <v>169</v>
      </c>
      <c r="E558" s="142" t="s">
        <v>170</v>
      </c>
      <c r="F558" s="137" t="s">
        <v>164</v>
      </c>
      <c r="G558" s="143">
        <v>0.001</v>
      </c>
      <c r="H558" s="139">
        <f>H539</f>
        <v>215000</v>
      </c>
      <c r="I558" s="167">
        <f>G558*H558</f>
        <v>215</v>
      </c>
    </row>
    <row r="559" spans="1:9">
      <c r="A559" s="118"/>
      <c r="B559" s="118"/>
      <c r="C559" s="152" t="s">
        <v>171</v>
      </c>
      <c r="D559" s="153"/>
      <c r="E559" s="153"/>
      <c r="F559" s="153"/>
      <c r="G559" s="153"/>
      <c r="H559" s="189"/>
      <c r="I559" s="168">
        <f>SUM(I555:I558)</f>
        <v>28965</v>
      </c>
    </row>
    <row r="560" spans="1:9">
      <c r="A560" s="118"/>
      <c r="B560" s="118"/>
      <c r="C560" s="147" t="s">
        <v>172</v>
      </c>
      <c r="D560" s="130" t="s">
        <v>173</v>
      </c>
      <c r="E560" s="148"/>
      <c r="F560" s="132"/>
      <c r="G560" s="132"/>
      <c r="H560" s="131"/>
      <c r="I560" s="166"/>
    </row>
    <row r="561" spans="1:9">
      <c r="A561" s="118"/>
      <c r="B561" s="118"/>
      <c r="C561" s="134">
        <v>1</v>
      </c>
      <c r="D561" s="135" t="s">
        <v>297</v>
      </c>
      <c r="E561" s="136"/>
      <c r="F561" s="137" t="s">
        <v>291</v>
      </c>
      <c r="G561" s="138">
        <v>1</v>
      </c>
      <c r="H561" s="149">
        <f>'DAFTAR HARGA'!I72</f>
        <v>34000</v>
      </c>
      <c r="I561" s="167">
        <f>G561*H561</f>
        <v>34000</v>
      </c>
    </row>
    <row r="562" spans="1:9">
      <c r="A562" s="118"/>
      <c r="B562" s="118"/>
      <c r="C562" s="152" t="s">
        <v>178</v>
      </c>
      <c r="D562" s="153"/>
      <c r="E562" s="153"/>
      <c r="F562" s="153"/>
      <c r="G562" s="153"/>
      <c r="H562" s="189"/>
      <c r="I562" s="169">
        <f>SUM(I561:I561)</f>
        <v>34000</v>
      </c>
    </row>
    <row r="563" spans="1:9">
      <c r="A563" s="115"/>
      <c r="B563" s="115"/>
      <c r="C563" s="147" t="s">
        <v>179</v>
      </c>
      <c r="D563" s="130" t="s">
        <v>180</v>
      </c>
      <c r="E563" s="148"/>
      <c r="F563" s="132"/>
      <c r="G563" s="132"/>
      <c r="H563" s="133"/>
      <c r="I563" s="166"/>
    </row>
    <row r="564" spans="1:9">
      <c r="A564" s="115"/>
      <c r="B564" s="115"/>
      <c r="C564" s="140"/>
      <c r="D564" s="141"/>
      <c r="E564" s="142"/>
      <c r="F564" s="150"/>
      <c r="G564" s="154"/>
      <c r="H564" s="144"/>
      <c r="I564" s="170"/>
    </row>
    <row r="565" spans="1:9">
      <c r="A565" s="115"/>
      <c r="B565" s="115"/>
      <c r="C565" s="152" t="s">
        <v>181</v>
      </c>
      <c r="D565" s="153"/>
      <c r="E565" s="153"/>
      <c r="F565" s="153"/>
      <c r="G565" s="153"/>
      <c r="H565" s="189"/>
      <c r="I565" s="171">
        <f>SUM(I564)</f>
        <v>0</v>
      </c>
    </row>
    <row r="566" spans="1:9">
      <c r="A566" s="115"/>
      <c r="B566" s="115"/>
      <c r="C566" s="127" t="s">
        <v>182</v>
      </c>
      <c r="D566" s="155" t="s">
        <v>183</v>
      </c>
      <c r="E566" s="156"/>
      <c r="F566" s="157"/>
      <c r="G566" s="157"/>
      <c r="H566" s="158"/>
      <c r="I566" s="171">
        <f>SUM(I559,I562,I565)</f>
        <v>62965</v>
      </c>
    </row>
    <row r="567" spans="1:9">
      <c r="A567" s="115"/>
      <c r="B567" s="115"/>
      <c r="C567" s="127" t="s">
        <v>184</v>
      </c>
      <c r="D567" s="155" t="s">
        <v>185</v>
      </c>
      <c r="E567" s="156"/>
      <c r="F567" s="159">
        <v>0.15</v>
      </c>
      <c r="G567" s="157" t="s">
        <v>186</v>
      </c>
      <c r="H567" s="158"/>
      <c r="I567" s="171">
        <f>I566*F567</f>
        <v>9444.75</v>
      </c>
    </row>
    <row r="568" spans="1:9">
      <c r="A568" s="115"/>
      <c r="B568" s="115"/>
      <c r="C568" s="160" t="s">
        <v>187</v>
      </c>
      <c r="D568" s="161" t="s">
        <v>188</v>
      </c>
      <c r="E568" s="124"/>
      <c r="F568" s="125"/>
      <c r="G568" s="125"/>
      <c r="H568" s="162"/>
      <c r="I568" s="172">
        <f>SUM(I566:I567)</f>
        <v>72409.75</v>
      </c>
    </row>
    <row r="569" spans="1:9">
      <c r="A569" s="115"/>
      <c r="B569" s="115"/>
      <c r="C569" s="116"/>
      <c r="D569" s="117"/>
      <c r="E569" s="118"/>
      <c r="F569" s="119"/>
      <c r="G569" s="119"/>
      <c r="H569" s="120"/>
      <c r="I569" s="164"/>
    </row>
    <row r="570" spans="1:9">
      <c r="A570" s="118" t="s">
        <v>298</v>
      </c>
      <c r="C570" s="64" t="s">
        <v>299</v>
      </c>
      <c r="D570" s="175"/>
      <c r="E570" s="175"/>
      <c r="F570" s="175"/>
      <c r="G570" s="175"/>
      <c r="H570" s="175"/>
      <c r="I570" s="178"/>
    </row>
    <row r="571" spans="1:9">
      <c r="A571" s="118"/>
      <c r="B571" s="118"/>
      <c r="C571" s="123" t="s">
        <v>108</v>
      </c>
      <c r="D571" s="124" t="s">
        <v>109</v>
      </c>
      <c r="E571" s="124" t="s">
        <v>156</v>
      </c>
      <c r="F571" s="125" t="s">
        <v>157</v>
      </c>
      <c r="G571" s="125" t="s">
        <v>158</v>
      </c>
      <c r="H571" s="126" t="s">
        <v>159</v>
      </c>
      <c r="I571" s="165" t="s">
        <v>160</v>
      </c>
    </row>
    <row r="572" spans="1:9">
      <c r="A572" s="118"/>
      <c r="B572" s="118"/>
      <c r="C572" s="127">
        <v>1</v>
      </c>
      <c r="D572" s="127">
        <v>2</v>
      </c>
      <c r="E572" s="127">
        <v>3</v>
      </c>
      <c r="F572" s="127">
        <v>4</v>
      </c>
      <c r="G572" s="127">
        <v>5</v>
      </c>
      <c r="H572" s="128">
        <v>6</v>
      </c>
      <c r="I572" s="127">
        <v>7</v>
      </c>
    </row>
    <row r="573" spans="1:9">
      <c r="A573" s="118"/>
      <c r="B573" s="118"/>
      <c r="C573" s="129" t="s">
        <v>4</v>
      </c>
      <c r="D573" s="130" t="s">
        <v>161</v>
      </c>
      <c r="E573" s="130"/>
      <c r="F573" s="131"/>
      <c r="G573" s="132"/>
      <c r="H573" s="133"/>
      <c r="I573" s="166"/>
    </row>
    <row r="574" spans="1:9">
      <c r="A574" s="118"/>
      <c r="B574" s="118"/>
      <c r="C574" s="134">
        <v>1</v>
      </c>
      <c r="D574" s="135" t="s">
        <v>268</v>
      </c>
      <c r="E574" s="136" t="s">
        <v>163</v>
      </c>
      <c r="F574" s="137" t="s">
        <v>164</v>
      </c>
      <c r="G574" s="138">
        <v>0.02</v>
      </c>
      <c r="H574" s="139">
        <f>H555</f>
        <v>80000</v>
      </c>
      <c r="I574" s="167">
        <f>G574*H574</f>
        <v>1600</v>
      </c>
    </row>
    <row r="575" spans="1:9">
      <c r="A575" s="118"/>
      <c r="B575" s="118"/>
      <c r="C575" s="134">
        <v>2</v>
      </c>
      <c r="D575" s="135" t="s">
        <v>165</v>
      </c>
      <c r="E575" s="136" t="s">
        <v>166</v>
      </c>
      <c r="F575" s="137" t="s">
        <v>164</v>
      </c>
      <c r="G575" s="138">
        <v>0.2</v>
      </c>
      <c r="H575" s="139">
        <f>H556</f>
        <v>120000</v>
      </c>
      <c r="I575" s="167">
        <f>G575*H575</f>
        <v>24000</v>
      </c>
    </row>
    <row r="576" spans="1:9">
      <c r="A576" s="118"/>
      <c r="B576" s="118"/>
      <c r="C576" s="134">
        <v>3</v>
      </c>
      <c r="D576" s="135" t="s">
        <v>167</v>
      </c>
      <c r="E576" s="136" t="s">
        <v>168</v>
      </c>
      <c r="F576" s="137" t="s">
        <v>164</v>
      </c>
      <c r="G576" s="138">
        <v>0.02</v>
      </c>
      <c r="H576" s="139">
        <f>H557</f>
        <v>157500</v>
      </c>
      <c r="I576" s="167">
        <f>G576*H576</f>
        <v>3150</v>
      </c>
    </row>
    <row r="577" spans="1:9">
      <c r="A577" s="118"/>
      <c r="B577" s="118"/>
      <c r="C577" s="140">
        <v>4</v>
      </c>
      <c r="D577" s="141" t="s">
        <v>169</v>
      </c>
      <c r="E577" s="142" t="s">
        <v>170</v>
      </c>
      <c r="F577" s="137" t="s">
        <v>164</v>
      </c>
      <c r="G577" s="143">
        <v>0.001</v>
      </c>
      <c r="H577" s="139">
        <f>H558</f>
        <v>215000</v>
      </c>
      <c r="I577" s="167">
        <f>G577*H577</f>
        <v>215</v>
      </c>
    </row>
    <row r="578" spans="1:9">
      <c r="A578" s="118"/>
      <c r="B578" s="118"/>
      <c r="C578" s="152" t="s">
        <v>171</v>
      </c>
      <c r="D578" s="153"/>
      <c r="E578" s="153"/>
      <c r="F578" s="153"/>
      <c r="G578" s="153"/>
      <c r="H578" s="189"/>
      <c r="I578" s="168">
        <f>SUM(I574:I577)</f>
        <v>28965</v>
      </c>
    </row>
    <row r="579" spans="1:9">
      <c r="A579" s="118"/>
      <c r="B579" s="118"/>
      <c r="C579" s="147" t="s">
        <v>172</v>
      </c>
      <c r="D579" s="130" t="s">
        <v>173</v>
      </c>
      <c r="E579" s="148"/>
      <c r="F579" s="132"/>
      <c r="G579" s="132"/>
      <c r="H579" s="131"/>
      <c r="I579" s="166"/>
    </row>
    <row r="580" spans="1:9">
      <c r="A580" s="118"/>
      <c r="B580" s="118"/>
      <c r="C580" s="134">
        <v>1</v>
      </c>
      <c r="D580" s="135" t="s">
        <v>297</v>
      </c>
      <c r="E580" s="136"/>
      <c r="F580" s="137" t="s">
        <v>291</v>
      </c>
      <c r="G580" s="138">
        <v>1</v>
      </c>
      <c r="H580" s="149">
        <f>'DAFTAR HARGA'!I73</f>
        <v>66000</v>
      </c>
      <c r="I580" s="167">
        <f>G580*H580</f>
        <v>66000</v>
      </c>
    </row>
    <row r="581" spans="1:9">
      <c r="A581" s="118"/>
      <c r="B581" s="118"/>
      <c r="C581" s="152" t="s">
        <v>178</v>
      </c>
      <c r="D581" s="153"/>
      <c r="E581" s="153"/>
      <c r="F581" s="153"/>
      <c r="G581" s="153"/>
      <c r="H581" s="189"/>
      <c r="I581" s="169">
        <f>SUM(I580:I580)</f>
        <v>66000</v>
      </c>
    </row>
    <row r="582" spans="1:9">
      <c r="A582" s="115"/>
      <c r="B582" s="115"/>
      <c r="C582" s="147" t="s">
        <v>179</v>
      </c>
      <c r="D582" s="130" t="s">
        <v>180</v>
      </c>
      <c r="E582" s="148"/>
      <c r="F582" s="132"/>
      <c r="G582" s="132"/>
      <c r="H582" s="133"/>
      <c r="I582" s="166"/>
    </row>
    <row r="583" spans="1:9">
      <c r="A583" s="115"/>
      <c r="B583" s="115"/>
      <c r="C583" s="140"/>
      <c r="D583" s="141"/>
      <c r="E583" s="142"/>
      <c r="F583" s="150"/>
      <c r="G583" s="154"/>
      <c r="H583" s="144"/>
      <c r="I583" s="170"/>
    </row>
    <row r="584" spans="1:9">
      <c r="A584" s="115"/>
      <c r="B584" s="115"/>
      <c r="C584" s="152" t="s">
        <v>181</v>
      </c>
      <c r="D584" s="153"/>
      <c r="E584" s="153"/>
      <c r="F584" s="153"/>
      <c r="G584" s="153"/>
      <c r="H584" s="189"/>
      <c r="I584" s="171">
        <f>SUM(I583)</f>
        <v>0</v>
      </c>
    </row>
    <row r="585" spans="1:9">
      <c r="A585" s="115"/>
      <c r="B585" s="115"/>
      <c r="C585" s="127" t="s">
        <v>182</v>
      </c>
      <c r="D585" s="155" t="s">
        <v>183</v>
      </c>
      <c r="E585" s="156"/>
      <c r="F585" s="157"/>
      <c r="G585" s="157"/>
      <c r="H585" s="158"/>
      <c r="I585" s="171">
        <f>SUM(I578,I581,I584)</f>
        <v>94965</v>
      </c>
    </row>
    <row r="586" spans="1:9">
      <c r="A586" s="115"/>
      <c r="B586" s="115"/>
      <c r="C586" s="127" t="s">
        <v>184</v>
      </c>
      <c r="D586" s="155" t="s">
        <v>185</v>
      </c>
      <c r="E586" s="156"/>
      <c r="F586" s="159">
        <v>0.15</v>
      </c>
      <c r="G586" s="157" t="s">
        <v>186</v>
      </c>
      <c r="H586" s="158"/>
      <c r="I586" s="171">
        <f>I585*F586</f>
        <v>14244.75</v>
      </c>
    </row>
    <row r="587" spans="1:9">
      <c r="A587" s="115"/>
      <c r="B587" s="115"/>
      <c r="C587" s="160" t="s">
        <v>187</v>
      </c>
      <c r="D587" s="161" t="s">
        <v>188</v>
      </c>
      <c r="E587" s="124"/>
      <c r="F587" s="125"/>
      <c r="G587" s="125"/>
      <c r="H587" s="162"/>
      <c r="I587" s="172">
        <f>SUM(I585:I586)</f>
        <v>109209.75</v>
      </c>
    </row>
    <row r="588" spans="1:9">
      <c r="A588" s="115"/>
      <c r="B588" s="115"/>
      <c r="C588" s="116"/>
      <c r="D588" s="117"/>
      <c r="E588" s="118"/>
      <c r="F588" s="119"/>
      <c r="G588" s="119"/>
      <c r="H588" s="120"/>
      <c r="I588" s="164"/>
    </row>
    <row r="589" spans="1:9">
      <c r="A589" s="118" t="s">
        <v>300</v>
      </c>
      <c r="C589" s="64" t="s">
        <v>301</v>
      </c>
      <c r="D589" s="175"/>
      <c r="E589" s="175"/>
      <c r="F589" s="175"/>
      <c r="G589" s="175"/>
      <c r="H589" s="175"/>
      <c r="I589" s="178"/>
    </row>
    <row r="590" spans="1:9">
      <c r="A590" s="118"/>
      <c r="B590" s="118"/>
      <c r="C590" s="123" t="s">
        <v>108</v>
      </c>
      <c r="D590" s="124" t="s">
        <v>109</v>
      </c>
      <c r="E590" s="124" t="s">
        <v>156</v>
      </c>
      <c r="F590" s="125" t="s">
        <v>157</v>
      </c>
      <c r="G590" s="125" t="s">
        <v>158</v>
      </c>
      <c r="H590" s="126" t="s">
        <v>159</v>
      </c>
      <c r="I590" s="165" t="s">
        <v>160</v>
      </c>
    </row>
    <row r="591" spans="1:9">
      <c r="A591" s="118"/>
      <c r="B591" s="118"/>
      <c r="C591" s="127">
        <v>1</v>
      </c>
      <c r="D591" s="127">
        <v>2</v>
      </c>
      <c r="E591" s="127">
        <v>3</v>
      </c>
      <c r="F591" s="127">
        <v>4</v>
      </c>
      <c r="G591" s="127">
        <v>5</v>
      </c>
      <c r="H591" s="128">
        <v>6</v>
      </c>
      <c r="I591" s="127">
        <v>7</v>
      </c>
    </row>
    <row r="592" spans="1:9">
      <c r="A592" s="118"/>
      <c r="B592" s="118"/>
      <c r="C592" s="129" t="s">
        <v>4</v>
      </c>
      <c r="D592" s="130" t="s">
        <v>161</v>
      </c>
      <c r="E592" s="130"/>
      <c r="F592" s="131"/>
      <c r="G592" s="132"/>
      <c r="H592" s="133"/>
      <c r="I592" s="166"/>
    </row>
    <row r="593" spans="1:9">
      <c r="A593" s="118"/>
      <c r="B593" s="118"/>
      <c r="C593" s="134">
        <v>1</v>
      </c>
      <c r="D593" s="135" t="s">
        <v>268</v>
      </c>
      <c r="E593" s="136" t="s">
        <v>163</v>
      </c>
      <c r="F593" s="137" t="s">
        <v>164</v>
      </c>
      <c r="G593" s="138">
        <v>0.015</v>
      </c>
      <c r="H593" s="139">
        <f>H555</f>
        <v>80000</v>
      </c>
      <c r="I593" s="167">
        <f>G593*H593</f>
        <v>1200</v>
      </c>
    </row>
    <row r="594" spans="1:9">
      <c r="A594" s="118"/>
      <c r="B594" s="118"/>
      <c r="C594" s="134">
        <v>2</v>
      </c>
      <c r="D594" s="135" t="s">
        <v>165</v>
      </c>
      <c r="E594" s="136" t="s">
        <v>166</v>
      </c>
      <c r="F594" s="137" t="s">
        <v>164</v>
      </c>
      <c r="G594" s="138">
        <v>0.15</v>
      </c>
      <c r="H594" s="139">
        <f>H556</f>
        <v>120000</v>
      </c>
      <c r="I594" s="167">
        <f>G594*H594</f>
        <v>18000</v>
      </c>
    </row>
    <row r="595" spans="1:9">
      <c r="A595" s="118"/>
      <c r="B595" s="118"/>
      <c r="C595" s="134">
        <v>3</v>
      </c>
      <c r="D595" s="135" t="s">
        <v>167</v>
      </c>
      <c r="E595" s="136" t="s">
        <v>168</v>
      </c>
      <c r="F595" s="137" t="s">
        <v>164</v>
      </c>
      <c r="G595" s="138">
        <v>0.015</v>
      </c>
      <c r="H595" s="139">
        <f>H557</f>
        <v>157500</v>
      </c>
      <c r="I595" s="167">
        <f>G595*H595</f>
        <v>2362.5</v>
      </c>
    </row>
    <row r="596" spans="1:9">
      <c r="A596" s="118"/>
      <c r="B596" s="118"/>
      <c r="C596" s="140">
        <v>4</v>
      </c>
      <c r="D596" s="141" t="s">
        <v>169</v>
      </c>
      <c r="E596" s="142" t="s">
        <v>170</v>
      </c>
      <c r="F596" s="137" t="s">
        <v>164</v>
      </c>
      <c r="G596" s="143">
        <v>0.008</v>
      </c>
      <c r="H596" s="139">
        <f>H558</f>
        <v>215000</v>
      </c>
      <c r="I596" s="167">
        <f>G596*H596</f>
        <v>1720</v>
      </c>
    </row>
    <row r="597" spans="1:9">
      <c r="A597" s="118"/>
      <c r="B597" s="118"/>
      <c r="C597" s="152" t="s">
        <v>171</v>
      </c>
      <c r="D597" s="153"/>
      <c r="E597" s="153"/>
      <c r="F597" s="153"/>
      <c r="G597" s="153"/>
      <c r="H597" s="189"/>
      <c r="I597" s="168">
        <f>SUM(I593:I596)</f>
        <v>23282.5</v>
      </c>
    </row>
    <row r="598" spans="1:9">
      <c r="A598" s="118"/>
      <c r="B598" s="118"/>
      <c r="C598" s="147" t="s">
        <v>172</v>
      </c>
      <c r="D598" s="130" t="s">
        <v>173</v>
      </c>
      <c r="E598" s="148"/>
      <c r="F598" s="132"/>
      <c r="G598" s="132"/>
      <c r="H598" s="131"/>
      <c r="I598" s="166"/>
    </row>
    <row r="599" spans="1:9">
      <c r="A599" s="118"/>
      <c r="B599" s="118"/>
      <c r="C599" s="134">
        <v>1</v>
      </c>
      <c r="D599" s="135" t="s">
        <v>302</v>
      </c>
      <c r="E599" s="136"/>
      <c r="F599" s="137" t="s">
        <v>291</v>
      </c>
      <c r="G599" s="138">
        <v>1</v>
      </c>
      <c r="H599" s="149">
        <f>'DAFTAR HARGA'!I86</f>
        <v>18200</v>
      </c>
      <c r="I599" s="167">
        <f>G599*H599</f>
        <v>18200</v>
      </c>
    </row>
    <row r="600" spans="1:9">
      <c r="A600" s="118"/>
      <c r="B600" s="118"/>
      <c r="C600" s="152" t="s">
        <v>178</v>
      </c>
      <c r="D600" s="153"/>
      <c r="E600" s="153"/>
      <c r="F600" s="153"/>
      <c r="G600" s="153"/>
      <c r="H600" s="189"/>
      <c r="I600" s="169">
        <f>SUM(I599:I599)</f>
        <v>18200</v>
      </c>
    </row>
    <row r="601" spans="1:9">
      <c r="A601" s="115"/>
      <c r="B601" s="115"/>
      <c r="C601" s="147" t="s">
        <v>179</v>
      </c>
      <c r="D601" s="130" t="s">
        <v>180</v>
      </c>
      <c r="E601" s="148"/>
      <c r="F601" s="132"/>
      <c r="G601" s="132"/>
      <c r="H601" s="133"/>
      <c r="I601" s="166"/>
    </row>
    <row r="602" spans="1:9">
      <c r="A602" s="115"/>
      <c r="B602" s="115"/>
      <c r="C602" s="140"/>
      <c r="D602" s="141"/>
      <c r="E602" s="142"/>
      <c r="F602" s="150"/>
      <c r="G602" s="154"/>
      <c r="H602" s="144"/>
      <c r="I602" s="170"/>
    </row>
    <row r="603" spans="1:9">
      <c r="A603" s="115"/>
      <c r="B603" s="115"/>
      <c r="C603" s="152" t="s">
        <v>181</v>
      </c>
      <c r="D603" s="153"/>
      <c r="E603" s="153"/>
      <c r="F603" s="153"/>
      <c r="G603" s="153"/>
      <c r="H603" s="189"/>
      <c r="I603" s="171">
        <f>SUM(I602)</f>
        <v>0</v>
      </c>
    </row>
    <row r="604" spans="1:9">
      <c r="A604" s="115"/>
      <c r="B604" s="115"/>
      <c r="C604" s="127" t="s">
        <v>182</v>
      </c>
      <c r="D604" s="155" t="s">
        <v>183</v>
      </c>
      <c r="E604" s="156"/>
      <c r="F604" s="157"/>
      <c r="G604" s="157"/>
      <c r="H604" s="158"/>
      <c r="I604" s="171">
        <f>SUM(I597,I600,I603)</f>
        <v>41482.5</v>
      </c>
    </row>
    <row r="605" spans="1:9">
      <c r="A605" s="115"/>
      <c r="B605" s="115"/>
      <c r="C605" s="127" t="s">
        <v>184</v>
      </c>
      <c r="D605" s="155" t="s">
        <v>185</v>
      </c>
      <c r="E605" s="156"/>
      <c r="F605" s="159">
        <v>0.15</v>
      </c>
      <c r="G605" s="157" t="s">
        <v>186</v>
      </c>
      <c r="H605" s="158"/>
      <c r="I605" s="171">
        <f>I604*F605</f>
        <v>6222.375</v>
      </c>
    </row>
    <row r="606" spans="1:9">
      <c r="A606" s="115"/>
      <c r="B606" s="115"/>
      <c r="C606" s="160" t="s">
        <v>187</v>
      </c>
      <c r="D606" s="161" t="s">
        <v>188</v>
      </c>
      <c r="E606" s="124"/>
      <c r="F606" s="125"/>
      <c r="G606" s="125"/>
      <c r="H606" s="162"/>
      <c r="I606" s="172">
        <f>SUM(I604:I605)</f>
        <v>47704.875</v>
      </c>
    </row>
    <row r="607" spans="1:9">
      <c r="A607" s="115"/>
      <c r="B607" s="115"/>
      <c r="C607" s="116"/>
      <c r="D607" s="117"/>
      <c r="E607" s="118"/>
      <c r="F607" s="119"/>
      <c r="G607" s="119"/>
      <c r="H607" s="120"/>
      <c r="I607" s="164"/>
    </row>
    <row r="608" spans="1:9">
      <c r="A608" s="118" t="s">
        <v>303</v>
      </c>
      <c r="B608" s="118"/>
      <c r="C608" s="174" t="s">
        <v>304</v>
      </c>
      <c r="D608" s="175"/>
      <c r="E608" s="175"/>
      <c r="F608" s="175"/>
      <c r="G608" s="175"/>
      <c r="H608" s="175"/>
      <c r="I608" s="178"/>
    </row>
    <row r="609" spans="1:9">
      <c r="A609" s="118"/>
      <c r="B609" s="118"/>
      <c r="C609" s="123" t="s">
        <v>108</v>
      </c>
      <c r="D609" s="124" t="s">
        <v>109</v>
      </c>
      <c r="E609" s="124" t="s">
        <v>156</v>
      </c>
      <c r="F609" s="125" t="s">
        <v>157</v>
      </c>
      <c r="G609" s="125" t="s">
        <v>158</v>
      </c>
      <c r="H609" s="126" t="s">
        <v>159</v>
      </c>
      <c r="I609" s="165" t="s">
        <v>160</v>
      </c>
    </row>
    <row r="610" spans="1:9">
      <c r="A610" s="118"/>
      <c r="B610" s="118"/>
      <c r="C610" s="127">
        <v>1</v>
      </c>
      <c r="D610" s="127">
        <v>2</v>
      </c>
      <c r="E610" s="127">
        <v>3</v>
      </c>
      <c r="F610" s="127">
        <v>4</v>
      </c>
      <c r="G610" s="127">
        <v>5</v>
      </c>
      <c r="H610" s="128">
        <v>6</v>
      </c>
      <c r="I610" s="127">
        <v>7</v>
      </c>
    </row>
    <row r="611" spans="1:9">
      <c r="A611" s="118"/>
      <c r="B611" s="118"/>
      <c r="C611" s="129" t="s">
        <v>4</v>
      </c>
      <c r="D611" s="130" t="s">
        <v>161</v>
      </c>
      <c r="E611" s="130"/>
      <c r="F611" s="131"/>
      <c r="G611" s="132"/>
      <c r="H611" s="133"/>
      <c r="I611" s="166"/>
    </row>
    <row r="612" spans="1:9">
      <c r="A612" s="118"/>
      <c r="B612" s="118"/>
      <c r="C612" s="134">
        <v>1</v>
      </c>
      <c r="D612" s="135" t="s">
        <v>268</v>
      </c>
      <c r="E612" s="136" t="s">
        <v>163</v>
      </c>
      <c r="F612" s="137" t="s">
        <v>164</v>
      </c>
      <c r="G612" s="138">
        <v>0.01</v>
      </c>
      <c r="H612" s="139">
        <f>H536</f>
        <v>80000</v>
      </c>
      <c r="I612" s="167">
        <f>G612*H612</f>
        <v>800</v>
      </c>
    </row>
    <row r="613" spans="1:9">
      <c r="A613" s="118"/>
      <c r="B613" s="118"/>
      <c r="C613" s="134">
        <v>2</v>
      </c>
      <c r="D613" s="135" t="s">
        <v>165</v>
      </c>
      <c r="E613" s="136" t="s">
        <v>166</v>
      </c>
      <c r="F613" s="137" t="s">
        <v>164</v>
      </c>
      <c r="G613" s="138">
        <v>0.5</v>
      </c>
      <c r="H613" s="139">
        <f>H537</f>
        <v>120000</v>
      </c>
      <c r="I613" s="167">
        <f>G613*H613</f>
        <v>60000</v>
      </c>
    </row>
    <row r="614" spans="1:9">
      <c r="A614" s="118"/>
      <c r="B614" s="118"/>
      <c r="C614" s="134">
        <v>3</v>
      </c>
      <c r="D614" s="135" t="s">
        <v>167</v>
      </c>
      <c r="E614" s="136" t="s">
        <v>168</v>
      </c>
      <c r="F614" s="137" t="s">
        <v>164</v>
      </c>
      <c r="G614" s="138">
        <v>0.05</v>
      </c>
      <c r="H614" s="139">
        <f>H538</f>
        <v>157500</v>
      </c>
      <c r="I614" s="167">
        <f>G614*H614</f>
        <v>7875</v>
      </c>
    </row>
    <row r="615" spans="1:9">
      <c r="A615" s="118"/>
      <c r="B615" s="118"/>
      <c r="C615" s="140">
        <v>4</v>
      </c>
      <c r="D615" s="141" t="s">
        <v>169</v>
      </c>
      <c r="E615" s="142" t="s">
        <v>170</v>
      </c>
      <c r="F615" s="137" t="s">
        <v>164</v>
      </c>
      <c r="G615" s="143">
        <v>0.005</v>
      </c>
      <c r="H615" s="139">
        <f>H539</f>
        <v>215000</v>
      </c>
      <c r="I615" s="167">
        <f>G615*H615</f>
        <v>1075</v>
      </c>
    </row>
    <row r="616" spans="1:9">
      <c r="A616" s="118"/>
      <c r="B616" s="118"/>
      <c r="C616" s="152" t="s">
        <v>171</v>
      </c>
      <c r="D616" s="153"/>
      <c r="E616" s="153"/>
      <c r="F616" s="153"/>
      <c r="G616" s="153"/>
      <c r="H616" s="189"/>
      <c r="I616" s="168">
        <f>SUM(I612:I615)</f>
        <v>69750</v>
      </c>
    </row>
    <row r="617" spans="1:9">
      <c r="A617" s="118"/>
      <c r="B617" s="118"/>
      <c r="C617" s="147" t="s">
        <v>172</v>
      </c>
      <c r="D617" s="130" t="s">
        <v>173</v>
      </c>
      <c r="E617" s="148"/>
      <c r="F617" s="132"/>
      <c r="G617" s="132"/>
      <c r="H617" s="131"/>
      <c r="I617" s="166"/>
    </row>
    <row r="618" spans="1:9">
      <c r="A618" s="118"/>
      <c r="B618" s="118"/>
      <c r="C618" s="134">
        <v>1</v>
      </c>
      <c r="D618" s="135" t="s">
        <v>305</v>
      </c>
      <c r="E618" s="136"/>
      <c r="F618" s="137" t="s">
        <v>291</v>
      </c>
      <c r="G618" s="138">
        <v>1</v>
      </c>
      <c r="H618" s="149">
        <f>'DAFTAR HARGA'!I71</f>
        <v>269250</v>
      </c>
      <c r="I618" s="167">
        <f>G618*H618</f>
        <v>269250</v>
      </c>
    </row>
    <row r="619" spans="1:9">
      <c r="A619" s="118"/>
      <c r="B619" s="118"/>
      <c r="C619" s="152" t="s">
        <v>178</v>
      </c>
      <c r="D619" s="153"/>
      <c r="E619" s="153"/>
      <c r="F619" s="153"/>
      <c r="G619" s="153"/>
      <c r="H619" s="189"/>
      <c r="I619" s="169">
        <f>SUM(I618:I618)</f>
        <v>269250</v>
      </c>
    </row>
    <row r="620" spans="1:9">
      <c r="A620" s="115"/>
      <c r="B620" s="115"/>
      <c r="C620" s="147" t="s">
        <v>179</v>
      </c>
      <c r="D620" s="130" t="s">
        <v>180</v>
      </c>
      <c r="E620" s="148"/>
      <c r="F620" s="132"/>
      <c r="G620" s="132"/>
      <c r="H620" s="133"/>
      <c r="I620" s="166"/>
    </row>
    <row r="621" spans="1:9">
      <c r="A621" s="115"/>
      <c r="B621" s="115"/>
      <c r="C621" s="140"/>
      <c r="D621" s="141"/>
      <c r="E621" s="142"/>
      <c r="F621" s="150"/>
      <c r="G621" s="154"/>
      <c r="H621" s="144"/>
      <c r="I621" s="170"/>
    </row>
    <row r="622" spans="1:9">
      <c r="A622" s="115"/>
      <c r="B622" s="115"/>
      <c r="C622" s="152" t="s">
        <v>181</v>
      </c>
      <c r="D622" s="153"/>
      <c r="E622" s="153"/>
      <c r="F622" s="153"/>
      <c r="G622" s="153"/>
      <c r="H622" s="189"/>
      <c r="I622" s="171">
        <f>SUM(I621)</f>
        <v>0</v>
      </c>
    </row>
    <row r="623" spans="1:9">
      <c r="A623" s="115"/>
      <c r="B623" s="115"/>
      <c r="C623" s="127" t="s">
        <v>182</v>
      </c>
      <c r="D623" s="155" t="s">
        <v>183</v>
      </c>
      <c r="E623" s="156"/>
      <c r="F623" s="157"/>
      <c r="G623" s="157"/>
      <c r="H623" s="158"/>
      <c r="I623" s="171">
        <f>SUM(I616,I619,I622)</f>
        <v>339000</v>
      </c>
    </row>
    <row r="624" spans="1:9">
      <c r="A624" s="115"/>
      <c r="B624" s="115"/>
      <c r="C624" s="127" t="s">
        <v>184</v>
      </c>
      <c r="D624" s="155" t="s">
        <v>185</v>
      </c>
      <c r="E624" s="156"/>
      <c r="F624" s="159">
        <v>0.15</v>
      </c>
      <c r="G624" s="157" t="s">
        <v>186</v>
      </c>
      <c r="H624" s="158"/>
      <c r="I624" s="171">
        <f>I623*F624</f>
        <v>50850</v>
      </c>
    </row>
    <row r="625" spans="1:9">
      <c r="A625" s="115"/>
      <c r="B625" s="115"/>
      <c r="C625" s="160" t="s">
        <v>187</v>
      </c>
      <c r="D625" s="161" t="s">
        <v>188</v>
      </c>
      <c r="E625" s="124"/>
      <c r="F625" s="125"/>
      <c r="G625" s="125"/>
      <c r="H625" s="162"/>
      <c r="I625" s="172">
        <f>SUM(I623:I624)</f>
        <v>389850</v>
      </c>
    </row>
    <row r="626" spans="1:9">
      <c r="A626" s="110"/>
      <c r="B626" s="2"/>
      <c r="C626" s="180"/>
      <c r="D626" s="175"/>
      <c r="E626" s="115"/>
      <c r="F626" s="184"/>
      <c r="G626" s="187"/>
      <c r="H626" s="183"/>
      <c r="I626" s="186"/>
    </row>
    <row r="627" spans="1:9">
      <c r="A627" s="118" t="s">
        <v>306</v>
      </c>
      <c r="B627" s="118"/>
      <c r="C627" s="174" t="s">
        <v>307</v>
      </c>
      <c r="D627" s="175"/>
      <c r="E627" s="175"/>
      <c r="F627" s="175"/>
      <c r="G627" s="175"/>
      <c r="H627" s="175"/>
      <c r="I627" s="178"/>
    </row>
    <row r="628" spans="1:9">
      <c r="A628" s="118"/>
      <c r="B628" s="118"/>
      <c r="C628" s="123" t="s">
        <v>108</v>
      </c>
      <c r="D628" s="124" t="s">
        <v>109</v>
      </c>
      <c r="E628" s="124" t="s">
        <v>156</v>
      </c>
      <c r="F628" s="125" t="s">
        <v>157</v>
      </c>
      <c r="G628" s="125" t="s">
        <v>158</v>
      </c>
      <c r="H628" s="126" t="s">
        <v>159</v>
      </c>
      <c r="I628" s="165" t="s">
        <v>160</v>
      </c>
    </row>
    <row r="629" spans="1:9">
      <c r="A629" s="118"/>
      <c r="B629" s="118"/>
      <c r="C629" s="127">
        <v>1</v>
      </c>
      <c r="D629" s="127">
        <v>2</v>
      </c>
      <c r="E629" s="127">
        <v>3</v>
      </c>
      <c r="F629" s="127">
        <v>4</v>
      </c>
      <c r="G629" s="127">
        <v>5</v>
      </c>
      <c r="H629" s="128">
        <v>6</v>
      </c>
      <c r="I629" s="127">
        <v>7</v>
      </c>
    </row>
    <row r="630" spans="1:9">
      <c r="A630" s="118"/>
      <c r="B630" s="118"/>
      <c r="C630" s="129" t="s">
        <v>4</v>
      </c>
      <c r="D630" s="130" t="s">
        <v>161</v>
      </c>
      <c r="E630" s="130"/>
      <c r="F630" s="131"/>
      <c r="G630" s="132"/>
      <c r="H630" s="133"/>
      <c r="I630" s="166"/>
    </row>
    <row r="631" spans="1:9">
      <c r="A631" s="118"/>
      <c r="B631" s="118"/>
      <c r="C631" s="134">
        <v>1</v>
      </c>
      <c r="D631" s="135" t="s">
        <v>268</v>
      </c>
      <c r="E631" s="136" t="s">
        <v>163</v>
      </c>
      <c r="F631" s="137" t="s">
        <v>164</v>
      </c>
      <c r="G631" s="138">
        <v>0.2</v>
      </c>
      <c r="H631" s="139">
        <f>'DAFTAR HARGA'!I15</f>
        <v>80000</v>
      </c>
      <c r="I631" s="167">
        <f>G631*H631</f>
        <v>16000</v>
      </c>
    </row>
    <row r="632" spans="1:9">
      <c r="A632" s="118"/>
      <c r="B632" s="118"/>
      <c r="C632" s="134">
        <v>2</v>
      </c>
      <c r="D632" s="135" t="s">
        <v>165</v>
      </c>
      <c r="E632" s="136" t="s">
        <v>166</v>
      </c>
      <c r="F632" s="137" t="s">
        <v>164</v>
      </c>
      <c r="G632" s="138">
        <v>0.1</v>
      </c>
      <c r="H632" s="139">
        <f>'DAFTAR HARGA'!I14</f>
        <v>120000</v>
      </c>
      <c r="I632" s="167">
        <f>G632*H632</f>
        <v>12000</v>
      </c>
    </row>
    <row r="633" spans="1:9">
      <c r="A633" s="118"/>
      <c r="B633" s="118"/>
      <c r="C633" s="134">
        <v>3</v>
      </c>
      <c r="D633" s="135" t="s">
        <v>167</v>
      </c>
      <c r="E633" s="136" t="s">
        <v>168</v>
      </c>
      <c r="F633" s="137" t="s">
        <v>164</v>
      </c>
      <c r="G633" s="138">
        <v>0.01</v>
      </c>
      <c r="H633" s="139">
        <f>'DAFTAR HARGA'!I13</f>
        <v>157500</v>
      </c>
      <c r="I633" s="167">
        <f>G633*H633</f>
        <v>1575</v>
      </c>
    </row>
    <row r="634" spans="1:9">
      <c r="A634" s="118"/>
      <c r="B634" s="118"/>
      <c r="C634" s="140">
        <v>4</v>
      </c>
      <c r="D634" s="141" t="s">
        <v>169</v>
      </c>
      <c r="E634" s="142" t="s">
        <v>170</v>
      </c>
      <c r="F634" s="137" t="s">
        <v>164</v>
      </c>
      <c r="G634" s="143">
        <v>0.001</v>
      </c>
      <c r="H634" s="139">
        <f>'DAFTAR HARGA'!I8</f>
        <v>215000</v>
      </c>
      <c r="I634" s="167">
        <f>G634*H634</f>
        <v>215</v>
      </c>
    </row>
    <row r="635" spans="1:9">
      <c r="A635" s="118"/>
      <c r="B635" s="118"/>
      <c r="C635" s="152" t="s">
        <v>171</v>
      </c>
      <c r="D635" s="153"/>
      <c r="E635" s="153"/>
      <c r="F635" s="153"/>
      <c r="G635" s="153"/>
      <c r="H635" s="189"/>
      <c r="I635" s="168">
        <f>SUM(I631:I634)</f>
        <v>29790</v>
      </c>
    </row>
    <row r="636" spans="1:9">
      <c r="A636" s="118"/>
      <c r="B636" s="118"/>
      <c r="C636" s="147" t="s">
        <v>172</v>
      </c>
      <c r="D636" s="130" t="s">
        <v>173</v>
      </c>
      <c r="E636" s="148"/>
      <c r="F636" s="132"/>
      <c r="G636" s="132"/>
      <c r="H636" s="131"/>
      <c r="I636" s="166"/>
    </row>
    <row r="637" spans="1:9">
      <c r="A637" s="118"/>
      <c r="B637" s="118"/>
      <c r="C637" s="134">
        <v>1</v>
      </c>
      <c r="D637" s="135" t="s">
        <v>308</v>
      </c>
      <c r="E637" s="136"/>
      <c r="F637" s="137" t="s">
        <v>235</v>
      </c>
      <c r="G637" s="138">
        <v>1.62</v>
      </c>
      <c r="H637" s="149">
        <f>'DAFTAR HARGA'!I36</f>
        <v>41500</v>
      </c>
      <c r="I637" s="167">
        <f>G637*H637</f>
        <v>67230</v>
      </c>
    </row>
    <row r="638" spans="1:9">
      <c r="A638" s="118"/>
      <c r="B638" s="118"/>
      <c r="C638" s="140">
        <v>2</v>
      </c>
      <c r="D638" s="141" t="s">
        <v>309</v>
      </c>
      <c r="E638" s="142"/>
      <c r="F638" s="150" t="s">
        <v>176</v>
      </c>
      <c r="G638" s="143">
        <v>0.2</v>
      </c>
      <c r="H638" s="151">
        <f>'DAFTAR HARGA'!I93</f>
        <v>21450</v>
      </c>
      <c r="I638" s="167">
        <f>G638*H638</f>
        <v>4290</v>
      </c>
    </row>
    <row r="639" spans="1:9">
      <c r="A639" s="118"/>
      <c r="B639" s="118"/>
      <c r="C639" s="152" t="s">
        <v>178</v>
      </c>
      <c r="D639" s="153"/>
      <c r="E639" s="153"/>
      <c r="F639" s="153"/>
      <c r="G639" s="153"/>
      <c r="H639" s="189"/>
      <c r="I639" s="169">
        <f>SUM(I637:I638)</f>
        <v>71520</v>
      </c>
    </row>
    <row r="640" spans="1:9">
      <c r="A640" s="115"/>
      <c r="B640" s="115"/>
      <c r="C640" s="147" t="s">
        <v>179</v>
      </c>
      <c r="D640" s="130" t="s">
        <v>180</v>
      </c>
      <c r="E640" s="148"/>
      <c r="F640" s="132"/>
      <c r="G640" s="132"/>
      <c r="H640" s="133"/>
      <c r="I640" s="166"/>
    </row>
    <row r="641" spans="1:9">
      <c r="A641" s="115"/>
      <c r="B641" s="115"/>
      <c r="C641" s="140"/>
      <c r="D641" s="141"/>
      <c r="E641" s="142"/>
      <c r="F641" s="150"/>
      <c r="G641" s="154"/>
      <c r="H641" s="144"/>
      <c r="I641" s="170"/>
    </row>
    <row r="642" spans="1:9">
      <c r="A642" s="115"/>
      <c r="B642" s="115"/>
      <c r="C642" s="152" t="s">
        <v>181</v>
      </c>
      <c r="D642" s="153"/>
      <c r="E642" s="153"/>
      <c r="F642" s="153"/>
      <c r="G642" s="153"/>
      <c r="H642" s="189"/>
      <c r="I642" s="171">
        <f>SUM(I641)</f>
        <v>0</v>
      </c>
    </row>
    <row r="643" spans="1:9">
      <c r="A643" s="115"/>
      <c r="B643" s="115"/>
      <c r="C643" s="127" t="s">
        <v>182</v>
      </c>
      <c r="D643" s="155" t="s">
        <v>183</v>
      </c>
      <c r="E643" s="156"/>
      <c r="F643" s="157"/>
      <c r="G643" s="157"/>
      <c r="H643" s="158"/>
      <c r="I643" s="171">
        <f>SUM(I635,I639,I642)</f>
        <v>101310</v>
      </c>
    </row>
    <row r="644" spans="1:9">
      <c r="A644" s="115"/>
      <c r="B644" s="115"/>
      <c r="C644" s="127" t="s">
        <v>184</v>
      </c>
      <c r="D644" s="155" t="s">
        <v>185</v>
      </c>
      <c r="E644" s="156"/>
      <c r="F644" s="159">
        <v>0.15</v>
      </c>
      <c r="G644" s="157" t="s">
        <v>186</v>
      </c>
      <c r="H644" s="158"/>
      <c r="I644" s="171">
        <f>I643*F644</f>
        <v>15196.5</v>
      </c>
    </row>
    <row r="645" spans="1:9">
      <c r="A645" s="115"/>
      <c r="B645" s="115"/>
      <c r="C645" s="160" t="s">
        <v>187</v>
      </c>
      <c r="D645" s="161" t="s">
        <v>188</v>
      </c>
      <c r="E645" s="124"/>
      <c r="F645" s="125"/>
      <c r="G645" s="125"/>
      <c r="H645" s="162"/>
      <c r="I645" s="172">
        <f>SUM(I643:I644)</f>
        <v>116506.5</v>
      </c>
    </row>
    <row r="646" spans="1:9">
      <c r="A646" s="115"/>
      <c r="B646" s="115"/>
      <c r="C646" s="116"/>
      <c r="D646" s="117"/>
      <c r="E646" s="118"/>
      <c r="F646" s="119"/>
      <c r="G646" s="119"/>
      <c r="H646" s="120"/>
      <c r="I646" s="164"/>
    </row>
    <row r="647" spans="1:9">
      <c r="A647" s="118" t="s">
        <v>310</v>
      </c>
      <c r="C647" s="181" t="s">
        <v>311</v>
      </c>
      <c r="D647" s="175"/>
      <c r="E647" s="175"/>
      <c r="F647" s="175"/>
      <c r="G647" s="175"/>
      <c r="H647" s="175"/>
      <c r="I647" s="178"/>
    </row>
    <row r="648" spans="1:9">
      <c r="A648" s="118"/>
      <c r="B648" s="118"/>
      <c r="C648" s="123" t="s">
        <v>108</v>
      </c>
      <c r="D648" s="124" t="s">
        <v>109</v>
      </c>
      <c r="E648" s="124" t="s">
        <v>156</v>
      </c>
      <c r="F648" s="125" t="s">
        <v>157</v>
      </c>
      <c r="G648" s="125" t="s">
        <v>158</v>
      </c>
      <c r="H648" s="126" t="s">
        <v>159</v>
      </c>
      <c r="I648" s="165" t="s">
        <v>160</v>
      </c>
    </row>
    <row r="649" spans="1:9">
      <c r="A649" s="118"/>
      <c r="B649" s="118"/>
      <c r="C649" s="127">
        <v>1</v>
      </c>
      <c r="D649" s="127">
        <v>2</v>
      </c>
      <c r="E649" s="127">
        <v>3</v>
      </c>
      <c r="F649" s="127">
        <v>4</v>
      </c>
      <c r="G649" s="127">
        <v>5</v>
      </c>
      <c r="H649" s="128">
        <v>6</v>
      </c>
      <c r="I649" s="127">
        <v>7</v>
      </c>
    </row>
    <row r="650" spans="1:9">
      <c r="A650" s="118"/>
      <c r="B650" s="118"/>
      <c r="C650" s="129" t="s">
        <v>4</v>
      </c>
      <c r="D650" s="130" t="s">
        <v>161</v>
      </c>
      <c r="E650" s="130"/>
      <c r="F650" s="131"/>
      <c r="G650" s="132"/>
      <c r="H650" s="133"/>
      <c r="I650" s="166"/>
    </row>
    <row r="651" spans="1:9">
      <c r="A651" s="118"/>
      <c r="B651" s="118"/>
      <c r="C651" s="134">
        <v>1</v>
      </c>
      <c r="D651" s="135" t="s">
        <v>268</v>
      </c>
      <c r="E651" s="136" t="s">
        <v>163</v>
      </c>
      <c r="F651" s="137" t="s">
        <v>164</v>
      </c>
      <c r="G651" s="138">
        <v>0.1</v>
      </c>
      <c r="H651" s="139">
        <f>H631</f>
        <v>80000</v>
      </c>
      <c r="I651" s="167">
        <f>G651*H651</f>
        <v>8000</v>
      </c>
    </row>
    <row r="652" spans="1:9">
      <c r="A652" s="118"/>
      <c r="B652" s="118"/>
      <c r="C652" s="134">
        <v>2</v>
      </c>
      <c r="D652" s="135" t="s">
        <v>165</v>
      </c>
      <c r="E652" s="136" t="s">
        <v>166</v>
      </c>
      <c r="F652" s="137" t="s">
        <v>164</v>
      </c>
      <c r="G652" s="138">
        <v>0.2</v>
      </c>
      <c r="H652" s="139">
        <f>H632</f>
        <v>120000</v>
      </c>
      <c r="I652" s="167">
        <f>G652*H652</f>
        <v>24000</v>
      </c>
    </row>
    <row r="653" spans="1:9">
      <c r="A653" s="118"/>
      <c r="B653" s="118"/>
      <c r="C653" s="134">
        <v>3</v>
      </c>
      <c r="D653" s="135" t="s">
        <v>167</v>
      </c>
      <c r="E653" s="136" t="s">
        <v>168</v>
      </c>
      <c r="F653" s="137" t="s">
        <v>164</v>
      </c>
      <c r="G653" s="138">
        <v>0.02</v>
      </c>
      <c r="H653" s="139">
        <f>H633</f>
        <v>157500</v>
      </c>
      <c r="I653" s="167">
        <f>G653*H653</f>
        <v>3150</v>
      </c>
    </row>
    <row r="654" spans="1:9">
      <c r="A654" s="118"/>
      <c r="B654" s="118"/>
      <c r="C654" s="140">
        <v>4</v>
      </c>
      <c r="D654" s="141" t="s">
        <v>169</v>
      </c>
      <c r="E654" s="142" t="s">
        <v>170</v>
      </c>
      <c r="F654" s="137" t="s">
        <v>164</v>
      </c>
      <c r="G654" s="143">
        <v>0.005</v>
      </c>
      <c r="H654" s="139">
        <f>H634</f>
        <v>215000</v>
      </c>
      <c r="I654" s="167">
        <f>G654*H654</f>
        <v>1075</v>
      </c>
    </row>
    <row r="655" spans="1:9">
      <c r="A655" s="118"/>
      <c r="B655" s="118"/>
      <c r="C655" s="152" t="s">
        <v>171</v>
      </c>
      <c r="D655" s="153"/>
      <c r="E655" s="153"/>
      <c r="F655" s="153"/>
      <c r="G655" s="153"/>
      <c r="H655" s="189"/>
      <c r="I655" s="168">
        <f>SUM(I651:I654)</f>
        <v>36225</v>
      </c>
    </row>
    <row r="656" spans="1:9">
      <c r="A656" s="118"/>
      <c r="B656" s="118"/>
      <c r="C656" s="147" t="s">
        <v>172</v>
      </c>
      <c r="D656" s="130" t="s">
        <v>173</v>
      </c>
      <c r="E656" s="148"/>
      <c r="F656" s="132"/>
      <c r="G656" s="132"/>
      <c r="H656" s="131"/>
      <c r="I656" s="166"/>
    </row>
    <row r="657" spans="1:9">
      <c r="A657" s="118"/>
      <c r="B657" s="118"/>
      <c r="C657" s="134">
        <v>1</v>
      </c>
      <c r="D657" s="135" t="s">
        <v>312</v>
      </c>
      <c r="E657" s="136"/>
      <c r="F657" s="137" t="s">
        <v>235</v>
      </c>
      <c r="G657" s="138">
        <f>(1*0.2)/(2.4*1.2)</f>
        <v>0.0694444444444444</v>
      </c>
      <c r="H657" s="149">
        <f>'DAFTAR HARGA'!I74</f>
        <v>255850</v>
      </c>
      <c r="I657" s="167">
        <f>G657*H657</f>
        <v>17767.3611111111</v>
      </c>
    </row>
    <row r="658" spans="1:9">
      <c r="A658" s="118"/>
      <c r="B658" s="118"/>
      <c r="C658" s="140">
        <v>2</v>
      </c>
      <c r="D658" s="141" t="s">
        <v>313</v>
      </c>
      <c r="E658" s="142"/>
      <c r="F658" s="150" t="s">
        <v>291</v>
      </c>
      <c r="G658" s="143">
        <v>6</v>
      </c>
      <c r="H658" s="151">
        <f>'DAFTAR HARGA'!I96</f>
        <v>1000</v>
      </c>
      <c r="I658" s="167">
        <f>G658*H658</f>
        <v>6000</v>
      </c>
    </row>
    <row r="659" spans="1:9">
      <c r="A659" s="118"/>
      <c r="B659" s="118"/>
      <c r="C659" s="152" t="s">
        <v>178</v>
      </c>
      <c r="D659" s="153"/>
      <c r="E659" s="153"/>
      <c r="F659" s="153"/>
      <c r="G659" s="153"/>
      <c r="H659" s="189"/>
      <c r="I659" s="169">
        <f>SUM(I657:I658)</f>
        <v>23767.3611111111</v>
      </c>
    </row>
    <row r="660" spans="1:9">
      <c r="A660" s="115"/>
      <c r="B660" s="115"/>
      <c r="C660" s="147" t="s">
        <v>179</v>
      </c>
      <c r="D660" s="130" t="s">
        <v>180</v>
      </c>
      <c r="E660" s="148"/>
      <c r="F660" s="132"/>
      <c r="G660" s="132"/>
      <c r="H660" s="133"/>
      <c r="I660" s="166"/>
    </row>
    <row r="661" spans="1:9">
      <c r="A661" s="115"/>
      <c r="B661" s="115"/>
      <c r="C661" s="140"/>
      <c r="D661" s="141"/>
      <c r="E661" s="142"/>
      <c r="F661" s="150"/>
      <c r="G661" s="154"/>
      <c r="H661" s="144"/>
      <c r="I661" s="170"/>
    </row>
    <row r="662" spans="1:9">
      <c r="A662" s="115"/>
      <c r="B662" s="115"/>
      <c r="C662" s="152" t="s">
        <v>181</v>
      </c>
      <c r="D662" s="153"/>
      <c r="E662" s="153"/>
      <c r="F662" s="153"/>
      <c r="G662" s="153"/>
      <c r="H662" s="189"/>
      <c r="I662" s="171">
        <f>SUM(I661)</f>
        <v>0</v>
      </c>
    </row>
    <row r="663" spans="1:9">
      <c r="A663" s="115"/>
      <c r="B663" s="115"/>
      <c r="C663" s="127" t="s">
        <v>182</v>
      </c>
      <c r="D663" s="155" t="s">
        <v>183</v>
      </c>
      <c r="E663" s="156"/>
      <c r="F663" s="157"/>
      <c r="G663" s="157"/>
      <c r="H663" s="158"/>
      <c r="I663" s="171">
        <f>SUM(I655,I659,I662)</f>
        <v>59992.3611111111</v>
      </c>
    </row>
    <row r="664" spans="1:9">
      <c r="A664" s="115"/>
      <c r="B664" s="115"/>
      <c r="C664" s="127" t="s">
        <v>184</v>
      </c>
      <c r="D664" s="155" t="s">
        <v>185</v>
      </c>
      <c r="E664" s="156"/>
      <c r="F664" s="159">
        <v>0.15</v>
      </c>
      <c r="G664" s="157" t="s">
        <v>186</v>
      </c>
      <c r="H664" s="158"/>
      <c r="I664" s="171">
        <f>I663*F664</f>
        <v>8998.85416666667</v>
      </c>
    </row>
    <row r="665" spans="1:9">
      <c r="A665" s="115"/>
      <c r="B665" s="115"/>
      <c r="C665" s="160" t="s">
        <v>187</v>
      </c>
      <c r="D665" s="161" t="s">
        <v>188</v>
      </c>
      <c r="E665" s="124"/>
      <c r="F665" s="125"/>
      <c r="G665" s="125"/>
      <c r="H665" s="162"/>
      <c r="I665" s="172">
        <f>SUM(I663:I664)</f>
        <v>68991.2152777778</v>
      </c>
    </row>
    <row r="666" spans="1:9">
      <c r="A666" s="115"/>
      <c r="B666" s="115"/>
      <c r="C666" s="116"/>
      <c r="D666" s="117"/>
      <c r="E666" s="118"/>
      <c r="F666" s="119"/>
      <c r="G666" s="119"/>
      <c r="H666" s="120"/>
      <c r="I666" s="164"/>
    </row>
    <row r="667" spans="1:9">
      <c r="A667" s="118" t="s">
        <v>314</v>
      </c>
      <c r="C667" s="64" t="s">
        <v>315</v>
      </c>
      <c r="D667" s="175"/>
      <c r="E667" s="175"/>
      <c r="F667" s="175"/>
      <c r="G667" s="175"/>
      <c r="H667" s="175"/>
      <c r="I667" s="178"/>
    </row>
    <row r="668" spans="1:9">
      <c r="A668" s="118"/>
      <c r="B668" s="118"/>
      <c r="C668" s="123" t="s">
        <v>108</v>
      </c>
      <c r="D668" s="124" t="s">
        <v>109</v>
      </c>
      <c r="E668" s="124" t="s">
        <v>156</v>
      </c>
      <c r="F668" s="125" t="s">
        <v>157</v>
      </c>
      <c r="G668" s="125" t="s">
        <v>158</v>
      </c>
      <c r="H668" s="126" t="s">
        <v>159</v>
      </c>
      <c r="I668" s="165" t="s">
        <v>160</v>
      </c>
    </row>
    <row r="669" spans="1:9">
      <c r="A669" s="118"/>
      <c r="B669" s="118"/>
      <c r="C669" s="127">
        <v>1</v>
      </c>
      <c r="D669" s="127">
        <v>2</v>
      </c>
      <c r="E669" s="127">
        <v>3</v>
      </c>
      <c r="F669" s="127">
        <v>4</v>
      </c>
      <c r="G669" s="127">
        <v>5</v>
      </c>
      <c r="H669" s="128">
        <v>6</v>
      </c>
      <c r="I669" s="127">
        <v>7</v>
      </c>
    </row>
    <row r="670" spans="1:9">
      <c r="A670" s="118"/>
      <c r="B670" s="118"/>
      <c r="C670" s="129" t="s">
        <v>4</v>
      </c>
      <c r="D670" s="130" t="s">
        <v>161</v>
      </c>
      <c r="E670" s="130"/>
      <c r="F670" s="131"/>
      <c r="G670" s="132"/>
      <c r="H670" s="133"/>
      <c r="I670" s="166"/>
    </row>
    <row r="671" spans="1:9">
      <c r="A671" s="118"/>
      <c r="B671" s="118"/>
      <c r="C671" s="134">
        <v>1</v>
      </c>
      <c r="D671" s="135" t="s">
        <v>268</v>
      </c>
      <c r="E671" s="136" t="s">
        <v>163</v>
      </c>
      <c r="F671" s="137" t="s">
        <v>164</v>
      </c>
      <c r="G671" s="138">
        <v>0.1</v>
      </c>
      <c r="H671" s="139">
        <f>H651</f>
        <v>80000</v>
      </c>
      <c r="I671" s="167">
        <f>G671*H671</f>
        <v>8000</v>
      </c>
    </row>
    <row r="672" spans="1:9">
      <c r="A672" s="118"/>
      <c r="B672" s="118"/>
      <c r="C672" s="134">
        <v>2</v>
      </c>
      <c r="D672" s="135" t="s">
        <v>165</v>
      </c>
      <c r="E672" s="136" t="s">
        <v>166</v>
      </c>
      <c r="F672" s="137" t="s">
        <v>164</v>
      </c>
      <c r="G672" s="138">
        <v>0.05</v>
      </c>
      <c r="H672" s="139">
        <f>H652</f>
        <v>120000</v>
      </c>
      <c r="I672" s="167">
        <f>G672*H672</f>
        <v>6000</v>
      </c>
    </row>
    <row r="673" spans="1:9">
      <c r="A673" s="118"/>
      <c r="B673" s="118"/>
      <c r="C673" s="134">
        <v>3</v>
      </c>
      <c r="D673" s="135" t="s">
        <v>167</v>
      </c>
      <c r="E673" s="136" t="s">
        <v>168</v>
      </c>
      <c r="F673" s="137" t="s">
        <v>164</v>
      </c>
      <c r="G673" s="138">
        <v>0.005</v>
      </c>
      <c r="H673" s="139">
        <f>H653</f>
        <v>157500</v>
      </c>
      <c r="I673" s="167">
        <f>G673*H673</f>
        <v>787.5</v>
      </c>
    </row>
    <row r="674" spans="1:9">
      <c r="A674" s="118"/>
      <c r="B674" s="118"/>
      <c r="C674" s="140">
        <v>4</v>
      </c>
      <c r="D674" s="141" t="s">
        <v>169</v>
      </c>
      <c r="E674" s="142" t="s">
        <v>170</v>
      </c>
      <c r="F674" s="137" t="s">
        <v>164</v>
      </c>
      <c r="G674" s="143">
        <v>0.005</v>
      </c>
      <c r="H674" s="139">
        <f>H654</f>
        <v>215000</v>
      </c>
      <c r="I674" s="167">
        <f>G674*H674</f>
        <v>1075</v>
      </c>
    </row>
    <row r="675" spans="1:9">
      <c r="A675" s="118"/>
      <c r="B675" s="118"/>
      <c r="C675" s="152" t="s">
        <v>171</v>
      </c>
      <c r="D675" s="153"/>
      <c r="E675" s="153"/>
      <c r="F675" s="153"/>
      <c r="G675" s="153"/>
      <c r="H675" s="189"/>
      <c r="I675" s="168">
        <f>SUM(I671:I674)</f>
        <v>15862.5</v>
      </c>
    </row>
    <row r="676" spans="1:9">
      <c r="A676" s="118"/>
      <c r="B676" s="118"/>
      <c r="C676" s="147" t="s">
        <v>172</v>
      </c>
      <c r="D676" s="130" t="s">
        <v>173</v>
      </c>
      <c r="E676" s="148"/>
      <c r="F676" s="132"/>
      <c r="G676" s="132"/>
      <c r="H676" s="131"/>
      <c r="I676" s="166"/>
    </row>
    <row r="677" spans="1:9">
      <c r="A677" s="118"/>
      <c r="B677" s="118"/>
      <c r="C677" s="134">
        <v>1</v>
      </c>
      <c r="D677" s="135" t="s">
        <v>312</v>
      </c>
      <c r="E677" s="136"/>
      <c r="F677" s="137" t="s">
        <v>316</v>
      </c>
      <c r="G677" s="138">
        <v>0.364</v>
      </c>
      <c r="H677" s="149">
        <f>H657</f>
        <v>255850</v>
      </c>
      <c r="I677" s="167">
        <f>G677*H677</f>
        <v>93129.4</v>
      </c>
    </row>
    <row r="678" spans="1:9">
      <c r="A678" s="118"/>
      <c r="B678" s="118"/>
      <c r="C678" s="140">
        <v>2</v>
      </c>
      <c r="D678" s="141" t="s">
        <v>317</v>
      </c>
      <c r="E678" s="142"/>
      <c r="F678" s="150" t="s">
        <v>291</v>
      </c>
      <c r="G678" s="143">
        <v>10</v>
      </c>
      <c r="H678" s="151">
        <f>'DAFTAR HARGA'!I96</f>
        <v>1000</v>
      </c>
      <c r="I678" s="167">
        <f>G678*H678</f>
        <v>10000</v>
      </c>
    </row>
    <row r="679" spans="1:9">
      <c r="A679" s="118"/>
      <c r="B679" s="118"/>
      <c r="C679" s="152" t="s">
        <v>178</v>
      </c>
      <c r="D679" s="153"/>
      <c r="E679" s="153"/>
      <c r="F679" s="153"/>
      <c r="G679" s="153"/>
      <c r="H679" s="189"/>
      <c r="I679" s="169">
        <f>SUM(I677:I678)</f>
        <v>103129.4</v>
      </c>
    </row>
    <row r="680" spans="1:9">
      <c r="A680" s="115"/>
      <c r="B680" s="115"/>
      <c r="C680" s="147" t="s">
        <v>179</v>
      </c>
      <c r="D680" s="130" t="s">
        <v>180</v>
      </c>
      <c r="E680" s="148"/>
      <c r="F680" s="132"/>
      <c r="G680" s="132"/>
      <c r="H680" s="133"/>
      <c r="I680" s="166"/>
    </row>
    <row r="681" spans="1:9">
      <c r="A681" s="115"/>
      <c r="B681" s="115"/>
      <c r="C681" s="140"/>
      <c r="D681" s="141"/>
      <c r="E681" s="142"/>
      <c r="F681" s="150"/>
      <c r="G681" s="154"/>
      <c r="H681" s="144"/>
      <c r="I681" s="170"/>
    </row>
    <row r="682" spans="1:9">
      <c r="A682" s="115"/>
      <c r="B682" s="115"/>
      <c r="C682" s="152" t="s">
        <v>181</v>
      </c>
      <c r="D682" s="153"/>
      <c r="E682" s="153"/>
      <c r="F682" s="153"/>
      <c r="G682" s="153"/>
      <c r="H682" s="189"/>
      <c r="I682" s="171">
        <f>SUM(I681)</f>
        <v>0</v>
      </c>
    </row>
    <row r="683" spans="1:9">
      <c r="A683" s="115"/>
      <c r="B683" s="115"/>
      <c r="C683" s="127" t="s">
        <v>182</v>
      </c>
      <c r="D683" s="155" t="s">
        <v>183</v>
      </c>
      <c r="E683" s="156"/>
      <c r="F683" s="157"/>
      <c r="G683" s="157"/>
      <c r="H683" s="158"/>
      <c r="I683" s="171">
        <f>SUM(I675,I679,I682)</f>
        <v>118991.9</v>
      </c>
    </row>
    <row r="684" spans="1:9">
      <c r="A684" s="115"/>
      <c r="B684" s="115"/>
      <c r="C684" s="127" t="s">
        <v>184</v>
      </c>
      <c r="D684" s="155" t="s">
        <v>185</v>
      </c>
      <c r="E684" s="156"/>
      <c r="F684" s="159">
        <v>0.15</v>
      </c>
      <c r="G684" s="157" t="s">
        <v>186</v>
      </c>
      <c r="H684" s="158"/>
      <c r="I684" s="171">
        <f>I683*F684</f>
        <v>17848.785</v>
      </c>
    </row>
    <row r="685" spans="1:9">
      <c r="A685" s="115"/>
      <c r="B685" s="115"/>
      <c r="C685" s="160" t="s">
        <v>187</v>
      </c>
      <c r="D685" s="161" t="s">
        <v>188</v>
      </c>
      <c r="E685" s="124"/>
      <c r="F685" s="125"/>
      <c r="G685" s="125"/>
      <c r="H685" s="162"/>
      <c r="I685" s="172">
        <f>SUM(I683:I684)</f>
        <v>136840.685</v>
      </c>
    </row>
    <row r="686" spans="1:9">
      <c r="A686" s="115"/>
      <c r="B686" s="115"/>
      <c r="C686" s="116"/>
      <c r="D686" s="117"/>
      <c r="E686" s="118"/>
      <c r="F686" s="119"/>
      <c r="G686" s="119"/>
      <c r="H686" s="120"/>
      <c r="I686" s="164"/>
    </row>
    <row r="687" spans="1:9">
      <c r="A687" s="118" t="s">
        <v>318</v>
      </c>
      <c r="C687" s="174" t="s">
        <v>319</v>
      </c>
      <c r="D687" s="175"/>
      <c r="E687" s="175"/>
      <c r="F687" s="175"/>
      <c r="G687" s="175"/>
      <c r="H687" s="175"/>
      <c r="I687" s="178"/>
    </row>
    <row r="688" spans="1:9">
      <c r="A688" s="118"/>
      <c r="B688" s="118"/>
      <c r="C688" s="123" t="s">
        <v>108</v>
      </c>
      <c r="D688" s="124" t="s">
        <v>109</v>
      </c>
      <c r="E688" s="124" t="s">
        <v>156</v>
      </c>
      <c r="F688" s="125" t="s">
        <v>157</v>
      </c>
      <c r="G688" s="125" t="s">
        <v>158</v>
      </c>
      <c r="H688" s="126" t="s">
        <v>159</v>
      </c>
      <c r="I688" s="165" t="s">
        <v>160</v>
      </c>
    </row>
    <row r="689" spans="1:9">
      <c r="A689" s="118"/>
      <c r="B689" s="118"/>
      <c r="C689" s="127">
        <v>1</v>
      </c>
      <c r="D689" s="127">
        <v>2</v>
      </c>
      <c r="E689" s="127">
        <v>3</v>
      </c>
      <c r="F689" s="127">
        <v>4</v>
      </c>
      <c r="G689" s="127">
        <v>5</v>
      </c>
      <c r="H689" s="128">
        <v>6</v>
      </c>
      <c r="I689" s="127">
        <v>7</v>
      </c>
    </row>
    <row r="690" spans="1:9">
      <c r="A690" s="118"/>
      <c r="B690" s="118"/>
      <c r="C690" s="129" t="s">
        <v>4</v>
      </c>
      <c r="D690" s="130" t="s">
        <v>161</v>
      </c>
      <c r="E690" s="130"/>
      <c r="F690" s="131"/>
      <c r="G690" s="132"/>
      <c r="H690" s="133"/>
      <c r="I690" s="166"/>
    </row>
    <row r="691" spans="1:9">
      <c r="A691" s="118"/>
      <c r="B691" s="118"/>
      <c r="C691" s="134">
        <v>1</v>
      </c>
      <c r="D691" s="135" t="s">
        <v>268</v>
      </c>
      <c r="E691" s="136" t="s">
        <v>163</v>
      </c>
      <c r="F691" s="137" t="s">
        <v>164</v>
      </c>
      <c r="G691" s="138">
        <v>0.1</v>
      </c>
      <c r="H691" s="139">
        <f>H671</f>
        <v>80000</v>
      </c>
      <c r="I691" s="167">
        <f>G691*H691</f>
        <v>8000</v>
      </c>
    </row>
    <row r="692" spans="1:9">
      <c r="A692" s="118"/>
      <c r="B692" s="118"/>
      <c r="C692" s="134">
        <v>2</v>
      </c>
      <c r="D692" s="135" t="s">
        <v>165</v>
      </c>
      <c r="E692" s="136" t="s">
        <v>166</v>
      </c>
      <c r="F692" s="137" t="s">
        <v>164</v>
      </c>
      <c r="G692" s="138">
        <v>0.05</v>
      </c>
      <c r="H692" s="139">
        <f>H672</f>
        <v>120000</v>
      </c>
      <c r="I692" s="167">
        <f>G692*H692</f>
        <v>6000</v>
      </c>
    </row>
    <row r="693" spans="1:9">
      <c r="A693" s="118"/>
      <c r="B693" s="118"/>
      <c r="C693" s="134">
        <v>3</v>
      </c>
      <c r="D693" s="135" t="s">
        <v>167</v>
      </c>
      <c r="E693" s="136" t="s">
        <v>168</v>
      </c>
      <c r="F693" s="137" t="s">
        <v>164</v>
      </c>
      <c r="G693" s="138">
        <v>0.005</v>
      </c>
      <c r="H693" s="139">
        <f>H673</f>
        <v>157500</v>
      </c>
      <c r="I693" s="167">
        <f>G693*H693</f>
        <v>787.5</v>
      </c>
    </row>
    <row r="694" spans="1:9">
      <c r="A694" s="118"/>
      <c r="B694" s="118"/>
      <c r="C694" s="140">
        <v>4</v>
      </c>
      <c r="D694" s="141" t="s">
        <v>169</v>
      </c>
      <c r="E694" s="142" t="s">
        <v>170</v>
      </c>
      <c r="F694" s="137" t="s">
        <v>164</v>
      </c>
      <c r="G694" s="143">
        <v>0.005</v>
      </c>
      <c r="H694" s="139">
        <f>H674</f>
        <v>215000</v>
      </c>
      <c r="I694" s="167">
        <f>G694*H694</f>
        <v>1075</v>
      </c>
    </row>
    <row r="695" spans="1:9">
      <c r="A695" s="118"/>
      <c r="B695" s="118"/>
      <c r="C695" s="152" t="s">
        <v>171</v>
      </c>
      <c r="D695" s="153"/>
      <c r="E695" s="153"/>
      <c r="F695" s="153"/>
      <c r="G695" s="153"/>
      <c r="H695" s="189"/>
      <c r="I695" s="168">
        <f>SUM(I691:I694)</f>
        <v>15862.5</v>
      </c>
    </row>
    <row r="696" spans="1:9">
      <c r="A696" s="118"/>
      <c r="B696" s="118"/>
      <c r="C696" s="147" t="s">
        <v>172</v>
      </c>
      <c r="D696" s="130" t="s">
        <v>173</v>
      </c>
      <c r="E696" s="148"/>
      <c r="F696" s="132"/>
      <c r="G696" s="132"/>
      <c r="H696" s="131"/>
      <c r="I696" s="166"/>
    </row>
    <row r="697" spans="1:9">
      <c r="A697" s="118"/>
      <c r="B697" s="118"/>
      <c r="C697" s="134">
        <v>1</v>
      </c>
      <c r="D697" s="135" t="s">
        <v>320</v>
      </c>
      <c r="E697" s="136"/>
      <c r="F697" s="137" t="s">
        <v>316</v>
      </c>
      <c r="G697" s="138">
        <v>0.364</v>
      </c>
      <c r="H697" s="149">
        <f>'DAFTAR HARGA'!I67</f>
        <v>50000</v>
      </c>
      <c r="I697" s="167">
        <f>G697*H697</f>
        <v>18200</v>
      </c>
    </row>
    <row r="698" spans="1:9">
      <c r="A698" s="118"/>
      <c r="B698" s="118"/>
      <c r="C698" s="140">
        <v>2</v>
      </c>
      <c r="D698" s="141" t="s">
        <v>317</v>
      </c>
      <c r="E698" s="142"/>
      <c r="F698" s="150" t="s">
        <v>291</v>
      </c>
      <c r="G698" s="143">
        <v>10</v>
      </c>
      <c r="H698" s="149">
        <f>H678</f>
        <v>1000</v>
      </c>
      <c r="I698" s="167">
        <f>G698*H698</f>
        <v>10000</v>
      </c>
    </row>
    <row r="699" spans="1:9">
      <c r="A699" s="118"/>
      <c r="B699" s="118"/>
      <c r="C699" s="152" t="s">
        <v>178</v>
      </c>
      <c r="D699" s="153"/>
      <c r="E699" s="153"/>
      <c r="F699" s="153"/>
      <c r="G699" s="153"/>
      <c r="H699" s="189"/>
      <c r="I699" s="169">
        <f>SUM(I697:I698)</f>
        <v>28200</v>
      </c>
    </row>
    <row r="700" spans="1:9">
      <c r="A700" s="115"/>
      <c r="B700" s="115"/>
      <c r="C700" s="147" t="s">
        <v>179</v>
      </c>
      <c r="D700" s="130" t="s">
        <v>180</v>
      </c>
      <c r="E700" s="148"/>
      <c r="F700" s="132"/>
      <c r="G700" s="132"/>
      <c r="H700" s="133"/>
      <c r="I700" s="166"/>
    </row>
    <row r="701" spans="1:9">
      <c r="A701" s="115"/>
      <c r="B701" s="115"/>
      <c r="C701" s="140"/>
      <c r="D701" s="141"/>
      <c r="E701" s="142"/>
      <c r="F701" s="150"/>
      <c r="G701" s="154"/>
      <c r="H701" s="144"/>
      <c r="I701" s="170"/>
    </row>
    <row r="702" spans="1:9">
      <c r="A702" s="115"/>
      <c r="B702" s="115"/>
      <c r="C702" s="152" t="s">
        <v>181</v>
      </c>
      <c r="D702" s="153"/>
      <c r="E702" s="153"/>
      <c r="F702" s="153"/>
      <c r="G702" s="153"/>
      <c r="H702" s="189"/>
      <c r="I702" s="171">
        <f>SUM(I701)</f>
        <v>0</v>
      </c>
    </row>
    <row r="703" spans="1:9">
      <c r="A703" s="115"/>
      <c r="B703" s="115"/>
      <c r="C703" s="127" t="s">
        <v>182</v>
      </c>
      <c r="D703" s="155" t="s">
        <v>183</v>
      </c>
      <c r="E703" s="156"/>
      <c r="F703" s="157"/>
      <c r="G703" s="157"/>
      <c r="H703" s="158"/>
      <c r="I703" s="171">
        <f>SUM(I695,I699,I702)</f>
        <v>44062.5</v>
      </c>
    </row>
    <row r="704" spans="1:9">
      <c r="A704" s="115"/>
      <c r="B704" s="115"/>
      <c r="C704" s="127" t="s">
        <v>184</v>
      </c>
      <c r="D704" s="155" t="s">
        <v>185</v>
      </c>
      <c r="E704" s="156"/>
      <c r="F704" s="159">
        <v>0.15</v>
      </c>
      <c r="G704" s="157" t="s">
        <v>186</v>
      </c>
      <c r="H704" s="158"/>
      <c r="I704" s="171">
        <f>I703*F704</f>
        <v>6609.375</v>
      </c>
    </row>
    <row r="705" spans="1:9">
      <c r="A705" s="115"/>
      <c r="B705" s="115"/>
      <c r="C705" s="160" t="s">
        <v>187</v>
      </c>
      <c r="D705" s="161" t="s">
        <v>188</v>
      </c>
      <c r="E705" s="124"/>
      <c r="F705" s="125"/>
      <c r="G705" s="125"/>
      <c r="H705" s="162"/>
      <c r="I705" s="172">
        <f>SUM(I703:I704)</f>
        <v>50671.875</v>
      </c>
    </row>
    <row r="706" spans="1:9">
      <c r="A706" s="115"/>
      <c r="B706" s="115"/>
      <c r="C706" s="116"/>
      <c r="D706" s="117"/>
      <c r="E706" s="118"/>
      <c r="F706" s="119"/>
      <c r="G706" s="119"/>
      <c r="H706" s="120"/>
      <c r="I706" s="164"/>
    </row>
    <row r="707" spans="1:9">
      <c r="A707" s="118" t="s">
        <v>321</v>
      </c>
      <c r="C707" s="174" t="s">
        <v>322</v>
      </c>
      <c r="D707" s="175"/>
      <c r="E707" s="175"/>
      <c r="F707" s="175"/>
      <c r="G707" s="175"/>
      <c r="H707" s="175"/>
      <c r="I707" s="178"/>
    </row>
    <row r="708" spans="1:9">
      <c r="A708" s="118"/>
      <c r="B708" s="118"/>
      <c r="C708" s="123" t="s">
        <v>108</v>
      </c>
      <c r="D708" s="124" t="s">
        <v>109</v>
      </c>
      <c r="E708" s="124" t="s">
        <v>156</v>
      </c>
      <c r="F708" s="125" t="s">
        <v>157</v>
      </c>
      <c r="G708" s="125" t="s">
        <v>158</v>
      </c>
      <c r="H708" s="126" t="s">
        <v>159</v>
      </c>
      <c r="I708" s="165" t="s">
        <v>160</v>
      </c>
    </row>
    <row r="709" spans="1:9">
      <c r="A709" s="118"/>
      <c r="B709" s="118"/>
      <c r="C709" s="127">
        <v>1</v>
      </c>
      <c r="D709" s="127">
        <v>2</v>
      </c>
      <c r="E709" s="127">
        <v>3</v>
      </c>
      <c r="F709" s="127">
        <v>4</v>
      </c>
      <c r="G709" s="127">
        <v>5</v>
      </c>
      <c r="H709" s="128">
        <v>6</v>
      </c>
      <c r="I709" s="127">
        <v>7</v>
      </c>
    </row>
    <row r="710" spans="1:9">
      <c r="A710" s="118"/>
      <c r="B710" s="118"/>
      <c r="C710" s="129" t="s">
        <v>4</v>
      </c>
      <c r="D710" s="130" t="s">
        <v>161</v>
      </c>
      <c r="E710" s="130"/>
      <c r="F710" s="131"/>
      <c r="G710" s="132"/>
      <c r="H710" s="133"/>
      <c r="I710" s="166"/>
    </row>
    <row r="711" spans="1:9">
      <c r="A711" s="118"/>
      <c r="B711" s="118"/>
      <c r="C711" s="134">
        <v>1</v>
      </c>
      <c r="D711" s="135" t="s">
        <v>268</v>
      </c>
      <c r="E711" s="136" t="s">
        <v>163</v>
      </c>
      <c r="F711" s="137" t="s">
        <v>164</v>
      </c>
      <c r="G711" s="138">
        <v>0.05</v>
      </c>
      <c r="H711" s="139">
        <f>H691</f>
        <v>80000</v>
      </c>
      <c r="I711" s="167">
        <f>G711*H711</f>
        <v>4000</v>
      </c>
    </row>
    <row r="712" spans="1:9">
      <c r="A712" s="118"/>
      <c r="B712" s="118"/>
      <c r="C712" s="134">
        <v>2</v>
      </c>
      <c r="D712" s="135" t="s">
        <v>165</v>
      </c>
      <c r="E712" s="136" t="s">
        <v>166</v>
      </c>
      <c r="F712" s="137" t="s">
        <v>164</v>
      </c>
      <c r="G712" s="138">
        <v>0.05</v>
      </c>
      <c r="H712" s="139">
        <f>H692</f>
        <v>120000</v>
      </c>
      <c r="I712" s="167">
        <f>G712*H712</f>
        <v>6000</v>
      </c>
    </row>
    <row r="713" spans="1:9">
      <c r="A713" s="118"/>
      <c r="B713" s="118"/>
      <c r="C713" s="134">
        <v>3</v>
      </c>
      <c r="D713" s="135" t="s">
        <v>167</v>
      </c>
      <c r="E713" s="136" t="s">
        <v>168</v>
      </c>
      <c r="F713" s="137" t="s">
        <v>164</v>
      </c>
      <c r="G713" s="138">
        <v>0.005</v>
      </c>
      <c r="H713" s="139">
        <f>H693</f>
        <v>157500</v>
      </c>
      <c r="I713" s="167">
        <f>G713*H713</f>
        <v>787.5</v>
      </c>
    </row>
    <row r="714" spans="1:9">
      <c r="A714" s="118"/>
      <c r="B714" s="118"/>
      <c r="C714" s="140">
        <v>4</v>
      </c>
      <c r="D714" s="141" t="s">
        <v>169</v>
      </c>
      <c r="E714" s="142" t="s">
        <v>170</v>
      </c>
      <c r="F714" s="137" t="s">
        <v>164</v>
      </c>
      <c r="G714" s="143">
        <v>0.003</v>
      </c>
      <c r="H714" s="139">
        <f>H694</f>
        <v>215000</v>
      </c>
      <c r="I714" s="167">
        <f>G714*H714</f>
        <v>645</v>
      </c>
    </row>
    <row r="715" spans="1:9">
      <c r="A715" s="118"/>
      <c r="B715" s="118"/>
      <c r="C715" s="152" t="s">
        <v>171</v>
      </c>
      <c r="D715" s="153"/>
      <c r="E715" s="153"/>
      <c r="F715" s="153"/>
      <c r="G715" s="153"/>
      <c r="H715" s="189"/>
      <c r="I715" s="168">
        <f>SUM(I711:I714)</f>
        <v>11432.5</v>
      </c>
    </row>
    <row r="716" spans="1:9">
      <c r="A716" s="118"/>
      <c r="B716" s="118"/>
      <c r="C716" s="147" t="s">
        <v>172</v>
      </c>
      <c r="D716" s="130" t="s">
        <v>173</v>
      </c>
      <c r="E716" s="148"/>
      <c r="F716" s="132"/>
      <c r="G716" s="132"/>
      <c r="H716" s="131"/>
      <c r="I716" s="166"/>
    </row>
    <row r="717" spans="1:9">
      <c r="A717" s="118"/>
      <c r="B717" s="118"/>
      <c r="C717" s="134">
        <v>1</v>
      </c>
      <c r="D717" s="135" t="s">
        <v>323</v>
      </c>
      <c r="E717" s="136"/>
      <c r="F717" s="137" t="s">
        <v>324</v>
      </c>
      <c r="G717" s="138">
        <v>1.05</v>
      </c>
      <c r="H717" s="149">
        <f>'DAFTAR HARGA'!I87/2</f>
        <v>4250</v>
      </c>
      <c r="I717" s="167">
        <f>G717*H717</f>
        <v>4462.5</v>
      </c>
    </row>
    <row r="718" spans="1:9">
      <c r="A718" s="118"/>
      <c r="B718" s="118"/>
      <c r="C718" s="140">
        <v>2</v>
      </c>
      <c r="D718" s="141" t="s">
        <v>317</v>
      </c>
      <c r="E718" s="142"/>
      <c r="F718" s="150" t="s">
        <v>291</v>
      </c>
      <c r="G718" s="143">
        <v>0.01</v>
      </c>
      <c r="H718" s="149">
        <f>H698</f>
        <v>1000</v>
      </c>
      <c r="I718" s="167">
        <f>G718*H718</f>
        <v>10</v>
      </c>
    </row>
    <row r="719" spans="1:9">
      <c r="A719" s="118"/>
      <c r="B719" s="118"/>
      <c r="C719" s="152" t="s">
        <v>178</v>
      </c>
      <c r="D719" s="153"/>
      <c r="E719" s="153"/>
      <c r="F719" s="153"/>
      <c r="G719" s="153"/>
      <c r="H719" s="189"/>
      <c r="I719" s="169">
        <f>SUM(I717:I718)</f>
        <v>4472.5</v>
      </c>
    </row>
    <row r="720" spans="1:9">
      <c r="A720" s="115"/>
      <c r="B720" s="115"/>
      <c r="C720" s="147" t="s">
        <v>179</v>
      </c>
      <c r="D720" s="130" t="s">
        <v>180</v>
      </c>
      <c r="E720" s="148"/>
      <c r="F720" s="132"/>
      <c r="G720" s="132"/>
      <c r="H720" s="133"/>
      <c r="I720" s="166"/>
    </row>
    <row r="721" spans="1:9">
      <c r="A721" s="115"/>
      <c r="B721" s="115"/>
      <c r="C721" s="140"/>
      <c r="D721" s="141"/>
      <c r="E721" s="142"/>
      <c r="F721" s="150"/>
      <c r="G721" s="154"/>
      <c r="H721" s="144"/>
      <c r="I721" s="170"/>
    </row>
    <row r="722" spans="1:9">
      <c r="A722" s="115"/>
      <c r="B722" s="115"/>
      <c r="C722" s="152" t="s">
        <v>181</v>
      </c>
      <c r="D722" s="153"/>
      <c r="E722" s="153"/>
      <c r="F722" s="153"/>
      <c r="G722" s="153"/>
      <c r="H722" s="189"/>
      <c r="I722" s="171">
        <f>SUM(I721)</f>
        <v>0</v>
      </c>
    </row>
    <row r="723" spans="1:9">
      <c r="A723" s="115"/>
      <c r="B723" s="115"/>
      <c r="C723" s="127" t="s">
        <v>182</v>
      </c>
      <c r="D723" s="155" t="s">
        <v>183</v>
      </c>
      <c r="E723" s="156"/>
      <c r="F723" s="157"/>
      <c r="G723" s="157"/>
      <c r="H723" s="158"/>
      <c r="I723" s="171">
        <f>SUM(I715,I719,I722)</f>
        <v>15905</v>
      </c>
    </row>
    <row r="724" spans="1:9">
      <c r="A724" s="115"/>
      <c r="B724" s="115"/>
      <c r="C724" s="127" t="s">
        <v>184</v>
      </c>
      <c r="D724" s="155" t="s">
        <v>185</v>
      </c>
      <c r="E724" s="156"/>
      <c r="F724" s="159">
        <v>0.15</v>
      </c>
      <c r="G724" s="157" t="s">
        <v>186</v>
      </c>
      <c r="H724" s="158"/>
      <c r="I724" s="171">
        <f>I723*F724</f>
        <v>2385.75</v>
      </c>
    </row>
    <row r="725" spans="1:9">
      <c r="A725" s="115"/>
      <c r="B725" s="115"/>
      <c r="C725" s="160" t="s">
        <v>187</v>
      </c>
      <c r="D725" s="161" t="s">
        <v>188</v>
      </c>
      <c r="E725" s="124"/>
      <c r="F725" s="125"/>
      <c r="G725" s="125"/>
      <c r="H725" s="162"/>
      <c r="I725" s="172">
        <f>SUM(I723:I724)</f>
        <v>18290.75</v>
      </c>
    </row>
    <row r="726" spans="1:9">
      <c r="A726" s="115"/>
      <c r="B726" s="115"/>
      <c r="C726" s="116"/>
      <c r="D726" s="117"/>
      <c r="E726" s="118"/>
      <c r="F726" s="119"/>
      <c r="G726" s="119"/>
      <c r="H726" s="120"/>
      <c r="I726" s="164"/>
    </row>
    <row r="727" spans="1:9">
      <c r="A727" s="118" t="s">
        <v>325</v>
      </c>
      <c r="B727" s="118"/>
      <c r="C727" s="174" t="s">
        <v>326</v>
      </c>
      <c r="D727" s="175"/>
      <c r="E727" s="175"/>
      <c r="F727" s="175"/>
      <c r="G727" s="175"/>
      <c r="H727" s="175"/>
      <c r="I727" s="178"/>
    </row>
    <row r="728" spans="1:9">
      <c r="A728" s="118"/>
      <c r="B728" s="118"/>
      <c r="C728" s="123" t="s">
        <v>108</v>
      </c>
      <c r="D728" s="124" t="s">
        <v>109</v>
      </c>
      <c r="E728" s="124" t="s">
        <v>156</v>
      </c>
      <c r="F728" s="125" t="s">
        <v>157</v>
      </c>
      <c r="G728" s="125" t="s">
        <v>158</v>
      </c>
      <c r="H728" s="126" t="s">
        <v>159</v>
      </c>
      <c r="I728" s="165" t="s">
        <v>160</v>
      </c>
    </row>
    <row r="729" spans="1:9">
      <c r="A729" s="118"/>
      <c r="B729" s="118"/>
      <c r="C729" s="127">
        <v>1</v>
      </c>
      <c r="D729" s="127">
        <v>2</v>
      </c>
      <c r="E729" s="127">
        <v>3</v>
      </c>
      <c r="F729" s="127">
        <v>4</v>
      </c>
      <c r="G729" s="127">
        <v>5</v>
      </c>
      <c r="H729" s="128">
        <v>6</v>
      </c>
      <c r="I729" s="127">
        <v>7</v>
      </c>
    </row>
    <row r="730" spans="1:9">
      <c r="A730" s="118"/>
      <c r="B730" s="118"/>
      <c r="C730" s="129" t="s">
        <v>4</v>
      </c>
      <c r="D730" s="130" t="s">
        <v>161</v>
      </c>
      <c r="E730" s="130"/>
      <c r="F730" s="131"/>
      <c r="G730" s="132"/>
      <c r="H730" s="133"/>
      <c r="I730" s="166"/>
    </row>
    <row r="731" spans="1:9">
      <c r="A731" s="118"/>
      <c r="B731" s="118"/>
      <c r="C731" s="134">
        <v>1</v>
      </c>
      <c r="D731" s="135" t="s">
        <v>162</v>
      </c>
      <c r="E731" s="136" t="s">
        <v>163</v>
      </c>
      <c r="F731" s="137" t="s">
        <v>164</v>
      </c>
      <c r="G731" s="138">
        <v>0.035</v>
      </c>
      <c r="H731" s="139">
        <f>'DAFTAR HARGA'!I21</f>
        <v>85000</v>
      </c>
      <c r="I731" s="167">
        <f>G731*H731</f>
        <v>2975</v>
      </c>
    </row>
    <row r="732" spans="1:9">
      <c r="A732" s="118"/>
      <c r="B732" s="118"/>
      <c r="C732" s="134">
        <v>2</v>
      </c>
      <c r="D732" s="135" t="s">
        <v>222</v>
      </c>
      <c r="E732" s="136" t="s">
        <v>166</v>
      </c>
      <c r="F732" s="137" t="s">
        <v>164</v>
      </c>
      <c r="G732" s="138">
        <v>0.035</v>
      </c>
      <c r="H732" s="139">
        <f>'DAFTAR HARGA'!I20</f>
        <v>100000</v>
      </c>
      <c r="I732" s="167">
        <f>G732*H732</f>
        <v>3500</v>
      </c>
    </row>
    <row r="733" spans="1:9">
      <c r="A733" s="118"/>
      <c r="B733" s="118"/>
      <c r="C733" s="134">
        <v>3</v>
      </c>
      <c r="D733" s="135" t="s">
        <v>327</v>
      </c>
      <c r="E733" s="136" t="s">
        <v>168</v>
      </c>
      <c r="F733" s="137" t="s">
        <v>164</v>
      </c>
      <c r="G733" s="138">
        <v>0.035</v>
      </c>
      <c r="H733" s="139">
        <f>'DAFTAR HARGA'!I19</f>
        <v>150000</v>
      </c>
      <c r="I733" s="167">
        <f>G733*H733</f>
        <v>5250</v>
      </c>
    </row>
    <row r="734" spans="1:9">
      <c r="A734" s="118"/>
      <c r="B734" s="118"/>
      <c r="C734" s="140">
        <v>4</v>
      </c>
      <c r="D734" s="141" t="s">
        <v>169</v>
      </c>
      <c r="E734" s="142" t="s">
        <v>170</v>
      </c>
      <c r="F734" s="137" t="s">
        <v>164</v>
      </c>
      <c r="G734" s="143">
        <v>0.018</v>
      </c>
      <c r="H734" s="139">
        <f>'DAFTAR HARGA'!I8</f>
        <v>215000</v>
      </c>
      <c r="I734" s="167">
        <f>G734*H734</f>
        <v>3870</v>
      </c>
    </row>
    <row r="735" spans="1:9">
      <c r="A735" s="118"/>
      <c r="B735" s="118"/>
      <c r="C735" s="152" t="s">
        <v>171</v>
      </c>
      <c r="D735" s="153"/>
      <c r="E735" s="153"/>
      <c r="F735" s="153"/>
      <c r="G735" s="153"/>
      <c r="H735" s="189"/>
      <c r="I735" s="168">
        <f>SUM(I731:I734)</f>
        <v>15595</v>
      </c>
    </row>
    <row r="736" spans="1:9">
      <c r="A736" s="118"/>
      <c r="B736" s="118"/>
      <c r="C736" s="147" t="s">
        <v>172</v>
      </c>
      <c r="D736" s="130" t="s">
        <v>173</v>
      </c>
      <c r="E736" s="148"/>
      <c r="F736" s="132"/>
      <c r="G736" s="132"/>
      <c r="H736" s="131"/>
      <c r="I736" s="166"/>
    </row>
    <row r="737" spans="1:9">
      <c r="A737" s="118"/>
      <c r="B737" s="118"/>
      <c r="C737" s="134">
        <v>1</v>
      </c>
      <c r="D737" s="135" t="s">
        <v>328</v>
      </c>
      <c r="E737" s="136"/>
      <c r="F737" s="137" t="s">
        <v>97</v>
      </c>
      <c r="G737" s="138">
        <v>6</v>
      </c>
      <c r="H737" s="149">
        <f>'DAFTAR HARGA'!I47/4</f>
        <v>6750</v>
      </c>
      <c r="I737" s="167">
        <f>G737*H737</f>
        <v>40500</v>
      </c>
    </row>
    <row r="738" spans="1:9">
      <c r="A738" s="118"/>
      <c r="B738" s="118"/>
      <c r="C738" s="140">
        <v>2</v>
      </c>
      <c r="D738" s="141" t="s">
        <v>329</v>
      </c>
      <c r="E738" s="142"/>
      <c r="F738" s="150" t="s">
        <v>31</v>
      </c>
      <c r="G738" s="143" t="s">
        <v>330</v>
      </c>
      <c r="H738" s="151"/>
      <c r="I738" s="167">
        <f>I737*50%</f>
        <v>20250</v>
      </c>
    </row>
    <row r="739" spans="1:9">
      <c r="A739" s="118"/>
      <c r="B739" s="118"/>
      <c r="C739" s="152" t="s">
        <v>178</v>
      </c>
      <c r="D739" s="153"/>
      <c r="E739" s="153"/>
      <c r="F739" s="153"/>
      <c r="G739" s="153"/>
      <c r="H739" s="189"/>
      <c r="I739" s="169">
        <f>SUM(I737:I738)</f>
        <v>60750</v>
      </c>
    </row>
    <row r="740" spans="1:9">
      <c r="A740" s="115"/>
      <c r="B740" s="115"/>
      <c r="C740" s="147" t="s">
        <v>179</v>
      </c>
      <c r="D740" s="130" t="s">
        <v>180</v>
      </c>
      <c r="E740" s="148"/>
      <c r="F740" s="132"/>
      <c r="G740" s="132"/>
      <c r="H740" s="133"/>
      <c r="I740" s="166"/>
    </row>
    <row r="741" spans="1:9">
      <c r="A741" s="115"/>
      <c r="B741" s="115"/>
      <c r="C741" s="140"/>
      <c r="D741" s="141"/>
      <c r="E741" s="142"/>
      <c r="F741" s="150"/>
      <c r="G741" s="154"/>
      <c r="H741" s="144"/>
      <c r="I741" s="170"/>
    </row>
    <row r="742" spans="1:9">
      <c r="A742" s="115"/>
      <c r="B742" s="115"/>
      <c r="C742" s="152" t="s">
        <v>181</v>
      </c>
      <c r="D742" s="153"/>
      <c r="E742" s="153"/>
      <c r="F742" s="153"/>
      <c r="G742" s="153"/>
      <c r="H742" s="189"/>
      <c r="I742" s="171">
        <f>SUM(I741)</f>
        <v>0</v>
      </c>
    </row>
    <row r="743" spans="1:9">
      <c r="A743" s="115"/>
      <c r="B743" s="115"/>
      <c r="C743" s="127" t="s">
        <v>182</v>
      </c>
      <c r="D743" s="155" t="s">
        <v>183</v>
      </c>
      <c r="E743" s="156"/>
      <c r="F743" s="157"/>
      <c r="G743" s="157"/>
      <c r="H743" s="158"/>
      <c r="I743" s="171">
        <f>SUM(I735,I739,I742)</f>
        <v>76345</v>
      </c>
    </row>
    <row r="744" spans="1:9">
      <c r="A744" s="115"/>
      <c r="B744" s="115"/>
      <c r="C744" s="127" t="s">
        <v>184</v>
      </c>
      <c r="D744" s="155" t="s">
        <v>185</v>
      </c>
      <c r="E744" s="156"/>
      <c r="F744" s="159">
        <v>0.15</v>
      </c>
      <c r="G744" s="157" t="s">
        <v>186</v>
      </c>
      <c r="H744" s="158"/>
      <c r="I744" s="171">
        <f>I743*F744</f>
        <v>11451.75</v>
      </c>
    </row>
    <row r="745" spans="1:9">
      <c r="A745" s="115"/>
      <c r="B745" s="115"/>
      <c r="C745" s="160" t="s">
        <v>187</v>
      </c>
      <c r="D745" s="161" t="s">
        <v>188</v>
      </c>
      <c r="E745" s="124"/>
      <c r="F745" s="125"/>
      <c r="G745" s="125"/>
      <c r="H745" s="162"/>
      <c r="I745" s="172">
        <f>SUM(I743:I744)</f>
        <v>87796.75</v>
      </c>
    </row>
    <row r="746" spans="1:9">
      <c r="A746" s="110"/>
      <c r="B746" s="2"/>
      <c r="C746" s="180"/>
      <c r="D746" s="175"/>
      <c r="E746" s="115"/>
      <c r="F746" s="184"/>
      <c r="G746" s="187"/>
      <c r="H746" s="183"/>
      <c r="I746" s="186"/>
    </row>
    <row r="747" spans="1:9">
      <c r="A747" s="118" t="s">
        <v>331</v>
      </c>
      <c r="B747" s="118"/>
      <c r="C747" s="174" t="s">
        <v>332</v>
      </c>
      <c r="D747" s="175"/>
      <c r="E747" s="175"/>
      <c r="F747" s="175"/>
      <c r="G747" s="175"/>
      <c r="H747" s="175"/>
      <c r="I747" s="178"/>
    </row>
    <row r="748" spans="1:9">
      <c r="A748" s="118"/>
      <c r="B748" s="118"/>
      <c r="C748" s="123" t="s">
        <v>108</v>
      </c>
      <c r="D748" s="124" t="s">
        <v>109</v>
      </c>
      <c r="E748" s="124" t="s">
        <v>156</v>
      </c>
      <c r="F748" s="125" t="s">
        <v>157</v>
      </c>
      <c r="G748" s="125" t="s">
        <v>158</v>
      </c>
      <c r="H748" s="126" t="s">
        <v>159</v>
      </c>
      <c r="I748" s="165" t="s">
        <v>160</v>
      </c>
    </row>
    <row r="749" spans="1:9">
      <c r="A749" s="118"/>
      <c r="B749" s="118"/>
      <c r="C749" s="127">
        <v>1</v>
      </c>
      <c r="D749" s="127">
        <v>2</v>
      </c>
      <c r="E749" s="127">
        <v>3</v>
      </c>
      <c r="F749" s="127">
        <v>4</v>
      </c>
      <c r="G749" s="127">
        <v>5</v>
      </c>
      <c r="H749" s="128">
        <v>6</v>
      </c>
      <c r="I749" s="127">
        <v>7</v>
      </c>
    </row>
    <row r="750" spans="1:9">
      <c r="A750" s="118"/>
      <c r="B750" s="118"/>
      <c r="C750" s="129" t="s">
        <v>4</v>
      </c>
      <c r="D750" s="130" t="s">
        <v>161</v>
      </c>
      <c r="E750" s="130"/>
      <c r="F750" s="131"/>
      <c r="G750" s="132"/>
      <c r="H750" s="133"/>
      <c r="I750" s="166"/>
    </row>
    <row r="751" spans="1:9">
      <c r="A751" s="118"/>
      <c r="B751" s="118"/>
      <c r="C751" s="134">
        <v>1</v>
      </c>
      <c r="D751" s="135" t="s">
        <v>333</v>
      </c>
      <c r="E751" s="136" t="s">
        <v>163</v>
      </c>
      <c r="F751" s="137" t="s">
        <v>164</v>
      </c>
      <c r="G751" s="138">
        <v>1</v>
      </c>
      <c r="H751" s="139">
        <f>'DAFTAR HARGA'!I12</f>
        <v>90000</v>
      </c>
      <c r="I751" s="167">
        <f>G751*H751</f>
        <v>90000</v>
      </c>
    </row>
    <row r="752" spans="1:9">
      <c r="A752" s="118"/>
      <c r="B752" s="118"/>
      <c r="C752" s="134">
        <v>2</v>
      </c>
      <c r="D752" s="135" t="s">
        <v>203</v>
      </c>
      <c r="E752" s="136" t="s">
        <v>166</v>
      </c>
      <c r="F752" s="137" t="s">
        <v>164</v>
      </c>
      <c r="G752" s="138">
        <v>1.5</v>
      </c>
      <c r="H752" s="139">
        <f>'DAFTAR HARGA'!I11</f>
        <v>120000</v>
      </c>
      <c r="I752" s="167">
        <f>G752*H752</f>
        <v>180000</v>
      </c>
    </row>
    <row r="753" spans="1:9">
      <c r="A753" s="118"/>
      <c r="B753" s="118"/>
      <c r="C753" s="134">
        <v>3</v>
      </c>
      <c r="D753" s="135" t="s">
        <v>204</v>
      </c>
      <c r="E753" s="136" t="s">
        <v>168</v>
      </c>
      <c r="F753" s="137" t="s">
        <v>164</v>
      </c>
      <c r="G753" s="138">
        <v>0.15</v>
      </c>
      <c r="H753" s="139">
        <f>'DAFTAR HARGA'!I10</f>
        <v>170000</v>
      </c>
      <c r="I753" s="167">
        <f>G753*H753</f>
        <v>25500</v>
      </c>
    </row>
    <row r="754" spans="1:9">
      <c r="A754" s="118"/>
      <c r="B754" s="118"/>
      <c r="C754" s="140">
        <v>4</v>
      </c>
      <c r="D754" s="141" t="s">
        <v>169</v>
      </c>
      <c r="E754" s="142" t="s">
        <v>170</v>
      </c>
      <c r="F754" s="137" t="s">
        <v>164</v>
      </c>
      <c r="G754" s="143">
        <v>0.16</v>
      </c>
      <c r="H754" s="139">
        <f>'DAFTAR HARGA'!I8</f>
        <v>215000</v>
      </c>
      <c r="I754" s="167">
        <f>G754*H754</f>
        <v>34400</v>
      </c>
    </row>
    <row r="755" spans="1:9">
      <c r="A755" s="118"/>
      <c r="B755" s="118"/>
      <c r="C755" s="152" t="s">
        <v>171</v>
      </c>
      <c r="D755" s="153"/>
      <c r="E755" s="153"/>
      <c r="F755" s="153"/>
      <c r="G755" s="153"/>
      <c r="H755" s="189"/>
      <c r="I755" s="168">
        <f>SUM(I751:I754)</f>
        <v>329900</v>
      </c>
    </row>
    <row r="756" spans="1:9">
      <c r="A756" s="118"/>
      <c r="B756" s="118"/>
      <c r="C756" s="147" t="s">
        <v>172</v>
      </c>
      <c r="D756" s="130" t="s">
        <v>173</v>
      </c>
      <c r="E756" s="148"/>
      <c r="F756" s="132"/>
      <c r="G756" s="132"/>
      <c r="H756" s="131"/>
      <c r="I756" s="166"/>
    </row>
    <row r="757" spans="1:9">
      <c r="A757" s="118"/>
      <c r="B757" s="118"/>
      <c r="C757" s="134">
        <v>1</v>
      </c>
      <c r="D757" s="135" t="s">
        <v>334</v>
      </c>
      <c r="E757" s="136"/>
      <c r="F757" s="137" t="s">
        <v>335</v>
      </c>
      <c r="G757" s="138">
        <v>1</v>
      </c>
      <c r="H757" s="149">
        <f>'DAFTAR HARGA'!I62</f>
        <v>230000</v>
      </c>
      <c r="I757" s="167">
        <f>G757*H757</f>
        <v>230000</v>
      </c>
    </row>
    <row r="758" spans="1:9">
      <c r="A758" s="118"/>
      <c r="B758" s="118"/>
      <c r="C758" s="134">
        <v>2</v>
      </c>
      <c r="D758" s="135" t="s">
        <v>336</v>
      </c>
      <c r="E758" s="136"/>
      <c r="F758" s="137" t="s">
        <v>244</v>
      </c>
      <c r="G758" s="138">
        <v>6</v>
      </c>
      <c r="H758" s="149">
        <f>'DAFTAR HARGA'!I128</f>
        <v>1200</v>
      </c>
      <c r="I758" s="167">
        <f>G758*H758</f>
        <v>7200</v>
      </c>
    </row>
    <row r="759" spans="1:9">
      <c r="A759" s="118"/>
      <c r="B759" s="118"/>
      <c r="C759" s="140">
        <v>3</v>
      </c>
      <c r="D759" s="141" t="s">
        <v>207</v>
      </c>
      <c r="E759" s="142"/>
      <c r="F759" s="150" t="s">
        <v>270</v>
      </c>
      <c r="G759" s="143">
        <v>0.01</v>
      </c>
      <c r="H759" s="151">
        <f>'DAFTAR HARGA'!I108</f>
        <v>84400</v>
      </c>
      <c r="I759" s="167">
        <f>G759*H759</f>
        <v>844</v>
      </c>
    </row>
    <row r="760" spans="1:9">
      <c r="A760" s="118"/>
      <c r="B760" s="118"/>
      <c r="C760" s="152" t="s">
        <v>178</v>
      </c>
      <c r="D760" s="153"/>
      <c r="E760" s="153"/>
      <c r="F760" s="153"/>
      <c r="G760" s="153"/>
      <c r="H760" s="189"/>
      <c r="I760" s="169">
        <f>SUM(I757:I759)</f>
        <v>238044</v>
      </c>
    </row>
    <row r="761" spans="1:9">
      <c r="A761" s="115"/>
      <c r="B761" s="115"/>
      <c r="C761" s="147" t="s">
        <v>179</v>
      </c>
      <c r="D761" s="130" t="s">
        <v>180</v>
      </c>
      <c r="E761" s="148"/>
      <c r="F761" s="132"/>
      <c r="G761" s="132"/>
      <c r="H761" s="133"/>
      <c r="I761" s="166"/>
    </row>
    <row r="762" spans="1:9">
      <c r="A762" s="115"/>
      <c r="B762" s="115"/>
      <c r="C762" s="140"/>
      <c r="D762" s="141"/>
      <c r="E762" s="142"/>
      <c r="F762" s="150"/>
      <c r="G762" s="154"/>
      <c r="H762" s="144"/>
      <c r="I762" s="170"/>
    </row>
    <row r="763" spans="1:9">
      <c r="A763" s="115"/>
      <c r="B763" s="115"/>
      <c r="C763" s="152" t="s">
        <v>181</v>
      </c>
      <c r="D763" s="153"/>
      <c r="E763" s="153"/>
      <c r="F763" s="153"/>
      <c r="G763" s="153"/>
      <c r="H763" s="189"/>
      <c r="I763" s="171">
        <f>SUM(I762)</f>
        <v>0</v>
      </c>
    </row>
    <row r="764" spans="1:9">
      <c r="A764" s="115"/>
      <c r="B764" s="115"/>
      <c r="C764" s="127" t="s">
        <v>182</v>
      </c>
      <c r="D764" s="155" t="s">
        <v>183</v>
      </c>
      <c r="E764" s="156"/>
      <c r="F764" s="157"/>
      <c r="G764" s="157"/>
      <c r="H764" s="158"/>
      <c r="I764" s="171">
        <f>SUM(I755,I760,I763)</f>
        <v>567944</v>
      </c>
    </row>
    <row r="765" spans="1:9">
      <c r="A765" s="115"/>
      <c r="B765" s="115"/>
      <c r="C765" s="127" t="s">
        <v>184</v>
      </c>
      <c r="D765" s="155" t="s">
        <v>185</v>
      </c>
      <c r="E765" s="156"/>
      <c r="F765" s="159">
        <v>0.15</v>
      </c>
      <c r="G765" s="157" t="s">
        <v>186</v>
      </c>
      <c r="H765" s="158"/>
      <c r="I765" s="171">
        <f>I764*F765</f>
        <v>85191.6</v>
      </c>
    </row>
    <row r="766" spans="1:9">
      <c r="A766" s="115"/>
      <c r="B766" s="115"/>
      <c r="C766" s="160" t="s">
        <v>187</v>
      </c>
      <c r="D766" s="161" t="s">
        <v>188</v>
      </c>
      <c r="E766" s="124"/>
      <c r="F766" s="125"/>
      <c r="G766" s="125"/>
      <c r="H766" s="162"/>
      <c r="I766" s="172">
        <f>SUM(I764:I765)</f>
        <v>653135.6</v>
      </c>
    </row>
    <row r="767" spans="1:9">
      <c r="A767" s="110"/>
      <c r="B767" s="2"/>
      <c r="C767" s="180"/>
      <c r="D767" s="175"/>
      <c r="E767" s="115"/>
      <c r="F767" s="184"/>
      <c r="G767" s="187"/>
      <c r="H767" s="183"/>
      <c r="I767" s="186"/>
    </row>
    <row r="768" spans="1:9">
      <c r="A768" s="110"/>
      <c r="B768" s="2"/>
      <c r="C768" s="180"/>
      <c r="D768" s="175"/>
      <c r="E768" s="115"/>
      <c r="F768" s="184"/>
      <c r="G768" s="187"/>
      <c r="H768" s="183"/>
      <c r="I768" s="186"/>
    </row>
    <row r="769" spans="1:9">
      <c r="A769" s="118" t="s">
        <v>337</v>
      </c>
      <c r="B769" s="118"/>
      <c r="C769" s="174" t="s">
        <v>338</v>
      </c>
      <c r="D769" s="175"/>
      <c r="E769" s="175"/>
      <c r="F769" s="175"/>
      <c r="G769" s="175"/>
      <c r="H769" s="175"/>
      <c r="I769" s="178"/>
    </row>
    <row r="770" spans="1:9">
      <c r="A770" s="118"/>
      <c r="B770" s="118"/>
      <c r="C770" s="123" t="s">
        <v>108</v>
      </c>
      <c r="D770" s="124" t="s">
        <v>109</v>
      </c>
      <c r="E770" s="124" t="s">
        <v>156</v>
      </c>
      <c r="F770" s="125" t="s">
        <v>157</v>
      </c>
      <c r="G770" s="125" t="s">
        <v>158</v>
      </c>
      <c r="H770" s="126" t="s">
        <v>159</v>
      </c>
      <c r="I770" s="165" t="s">
        <v>160</v>
      </c>
    </row>
    <row r="771" spans="1:9">
      <c r="A771" s="118"/>
      <c r="B771" s="118"/>
      <c r="C771" s="127">
        <v>1</v>
      </c>
      <c r="D771" s="127">
        <v>2</v>
      </c>
      <c r="E771" s="127">
        <v>3</v>
      </c>
      <c r="F771" s="127">
        <v>4</v>
      </c>
      <c r="G771" s="127">
        <v>5</v>
      </c>
      <c r="H771" s="128">
        <v>6</v>
      </c>
      <c r="I771" s="127">
        <v>7</v>
      </c>
    </row>
    <row r="772" spans="1:9">
      <c r="A772" s="118"/>
      <c r="B772" s="118"/>
      <c r="C772" s="129" t="s">
        <v>4</v>
      </c>
      <c r="D772" s="130" t="s">
        <v>161</v>
      </c>
      <c r="E772" s="130"/>
      <c r="F772" s="131"/>
      <c r="G772" s="132"/>
      <c r="H772" s="133"/>
      <c r="I772" s="166"/>
    </row>
    <row r="773" spans="1:9">
      <c r="A773" s="118"/>
      <c r="B773" s="118"/>
      <c r="C773" s="134">
        <v>1</v>
      </c>
      <c r="D773" s="135" t="s">
        <v>333</v>
      </c>
      <c r="E773" s="136" t="s">
        <v>163</v>
      </c>
      <c r="F773" s="137" t="s">
        <v>164</v>
      </c>
      <c r="G773" s="138">
        <v>1</v>
      </c>
      <c r="H773" s="139">
        <f>H751</f>
        <v>90000</v>
      </c>
      <c r="I773" s="167">
        <f>G773*H773</f>
        <v>90000</v>
      </c>
    </row>
    <row r="774" spans="1:9">
      <c r="A774" s="118"/>
      <c r="B774" s="118"/>
      <c r="C774" s="134">
        <v>2</v>
      </c>
      <c r="D774" s="135" t="s">
        <v>203</v>
      </c>
      <c r="E774" s="136" t="s">
        <v>166</v>
      </c>
      <c r="F774" s="137" t="s">
        <v>164</v>
      </c>
      <c r="G774" s="138">
        <v>1.5</v>
      </c>
      <c r="H774" s="139">
        <f>H752</f>
        <v>120000</v>
      </c>
      <c r="I774" s="167">
        <f>G774*H774</f>
        <v>180000</v>
      </c>
    </row>
    <row r="775" spans="1:9">
      <c r="A775" s="118"/>
      <c r="B775" s="118"/>
      <c r="C775" s="134">
        <v>3</v>
      </c>
      <c r="D775" s="135" t="s">
        <v>204</v>
      </c>
      <c r="E775" s="136" t="s">
        <v>168</v>
      </c>
      <c r="F775" s="137" t="s">
        <v>164</v>
      </c>
      <c r="G775" s="138">
        <v>0.15</v>
      </c>
      <c r="H775" s="139">
        <f>H753</f>
        <v>170000</v>
      </c>
      <c r="I775" s="167">
        <f>G775*H775</f>
        <v>25500</v>
      </c>
    </row>
    <row r="776" spans="1:9">
      <c r="A776" s="118"/>
      <c r="B776" s="118"/>
      <c r="C776" s="140">
        <v>4</v>
      </c>
      <c r="D776" s="141" t="s">
        <v>169</v>
      </c>
      <c r="E776" s="142" t="s">
        <v>170</v>
      </c>
      <c r="F776" s="137" t="s">
        <v>164</v>
      </c>
      <c r="G776" s="143">
        <v>0.16</v>
      </c>
      <c r="H776" s="139">
        <f>H754</f>
        <v>215000</v>
      </c>
      <c r="I776" s="167">
        <f>G776*H776</f>
        <v>34400</v>
      </c>
    </row>
    <row r="777" spans="1:9">
      <c r="A777" s="118"/>
      <c r="B777" s="118"/>
      <c r="C777" s="152" t="s">
        <v>171</v>
      </c>
      <c r="D777" s="153"/>
      <c r="E777" s="153"/>
      <c r="F777" s="153"/>
      <c r="G777" s="153"/>
      <c r="H777" s="189"/>
      <c r="I777" s="168">
        <f>SUM(I773:I776)</f>
        <v>329900</v>
      </c>
    </row>
    <row r="778" spans="1:9">
      <c r="A778" s="118"/>
      <c r="B778" s="118"/>
      <c r="C778" s="147" t="s">
        <v>172</v>
      </c>
      <c r="D778" s="130" t="s">
        <v>173</v>
      </c>
      <c r="E778" s="148"/>
      <c r="F778" s="132"/>
      <c r="G778" s="132"/>
      <c r="H778" s="131"/>
      <c r="I778" s="166"/>
    </row>
    <row r="779" spans="1:9">
      <c r="A779" s="118"/>
      <c r="B779" s="118"/>
      <c r="C779" s="134">
        <v>1</v>
      </c>
      <c r="D779" s="135" t="s">
        <v>339</v>
      </c>
      <c r="E779" s="136"/>
      <c r="F779" s="137" t="s">
        <v>335</v>
      </c>
      <c r="G779" s="138">
        <v>1</v>
      </c>
      <c r="H779" s="149">
        <f>'DAFTAR HARGA'!I61</f>
        <v>1400000</v>
      </c>
      <c r="I779" s="167">
        <f>G779*H779</f>
        <v>1400000</v>
      </c>
    </row>
    <row r="780" spans="1:9">
      <c r="A780" s="118"/>
      <c r="B780" s="118"/>
      <c r="C780" s="134">
        <v>2</v>
      </c>
      <c r="D780" s="135" t="s">
        <v>336</v>
      </c>
      <c r="E780" s="136"/>
      <c r="F780" s="137" t="s">
        <v>244</v>
      </c>
      <c r="G780" s="138">
        <v>6</v>
      </c>
      <c r="H780" s="149">
        <f>'DAFTAR HARGA'!I128</f>
        <v>1200</v>
      </c>
      <c r="I780" s="167">
        <f>G780*H780</f>
        <v>7200</v>
      </c>
    </row>
    <row r="781" spans="1:9">
      <c r="A781" s="118"/>
      <c r="B781" s="118"/>
      <c r="C781" s="140">
        <v>3</v>
      </c>
      <c r="D781" s="141" t="s">
        <v>207</v>
      </c>
      <c r="E781" s="142"/>
      <c r="F781" s="150" t="s">
        <v>270</v>
      </c>
      <c r="G781" s="143">
        <v>0.01</v>
      </c>
      <c r="H781" s="151">
        <f>'DAFTAR HARGA'!I108</f>
        <v>84400</v>
      </c>
      <c r="I781" s="167">
        <f>G781*H781</f>
        <v>844</v>
      </c>
    </row>
    <row r="782" spans="1:9">
      <c r="A782" s="118"/>
      <c r="B782" s="118"/>
      <c r="C782" s="152" t="s">
        <v>178</v>
      </c>
      <c r="D782" s="153"/>
      <c r="E782" s="153"/>
      <c r="F782" s="153"/>
      <c r="G782" s="153"/>
      <c r="H782" s="189"/>
      <c r="I782" s="169">
        <f>SUM(I779:I781)</f>
        <v>1408044</v>
      </c>
    </row>
    <row r="783" spans="1:9">
      <c r="A783" s="115"/>
      <c r="B783" s="115"/>
      <c r="C783" s="147" t="s">
        <v>179</v>
      </c>
      <c r="D783" s="130" t="s">
        <v>180</v>
      </c>
      <c r="E783" s="148"/>
      <c r="F783" s="132"/>
      <c r="G783" s="132"/>
      <c r="H783" s="133"/>
      <c r="I783" s="166"/>
    </row>
    <row r="784" spans="1:9">
      <c r="A784" s="115"/>
      <c r="B784" s="115"/>
      <c r="C784" s="140"/>
      <c r="D784" s="141"/>
      <c r="E784" s="142"/>
      <c r="F784" s="150"/>
      <c r="G784" s="154"/>
      <c r="H784" s="144"/>
      <c r="I784" s="170"/>
    </row>
    <row r="785" spans="1:9">
      <c r="A785" s="115"/>
      <c r="B785" s="115"/>
      <c r="C785" s="152" t="s">
        <v>181</v>
      </c>
      <c r="D785" s="153"/>
      <c r="E785" s="153"/>
      <c r="F785" s="153"/>
      <c r="G785" s="153"/>
      <c r="H785" s="189"/>
      <c r="I785" s="171">
        <f>SUM(I784)</f>
        <v>0</v>
      </c>
    </row>
    <row r="786" spans="1:9">
      <c r="A786" s="115"/>
      <c r="B786" s="115"/>
      <c r="C786" s="127" t="s">
        <v>182</v>
      </c>
      <c r="D786" s="155" t="s">
        <v>183</v>
      </c>
      <c r="E786" s="156"/>
      <c r="F786" s="157"/>
      <c r="G786" s="157"/>
      <c r="H786" s="158"/>
      <c r="I786" s="171">
        <f>SUM(I777,I782,I785)</f>
        <v>1737944</v>
      </c>
    </row>
    <row r="787" spans="1:9">
      <c r="A787" s="115"/>
      <c r="B787" s="115"/>
      <c r="C787" s="127" t="s">
        <v>184</v>
      </c>
      <c r="D787" s="155" t="s">
        <v>185</v>
      </c>
      <c r="E787" s="156"/>
      <c r="F787" s="159">
        <v>0.15</v>
      </c>
      <c r="G787" s="157" t="s">
        <v>186</v>
      </c>
      <c r="H787" s="158"/>
      <c r="I787" s="171">
        <f>I786*F787</f>
        <v>260691.6</v>
      </c>
    </row>
    <row r="788" spans="1:9">
      <c r="A788" s="115"/>
      <c r="B788" s="115"/>
      <c r="C788" s="160" t="s">
        <v>187</v>
      </c>
      <c r="D788" s="161" t="s">
        <v>188</v>
      </c>
      <c r="E788" s="124"/>
      <c r="F788" s="125"/>
      <c r="G788" s="125"/>
      <c r="H788" s="162"/>
      <c r="I788" s="172">
        <f>SUM(I786:I787)</f>
        <v>1998635.6</v>
      </c>
    </row>
    <row r="789" spans="1:9">
      <c r="A789" s="115"/>
      <c r="B789" s="115"/>
      <c r="C789" s="116"/>
      <c r="D789" s="117"/>
      <c r="E789" s="118"/>
      <c r="F789" s="119"/>
      <c r="G789" s="119"/>
      <c r="H789" s="120"/>
      <c r="I789" s="164"/>
    </row>
    <row r="790" spans="1:9">
      <c r="A790" s="118" t="s">
        <v>340</v>
      </c>
      <c r="B790" s="118"/>
      <c r="C790" s="174" t="s">
        <v>341</v>
      </c>
      <c r="D790" s="175"/>
      <c r="E790" s="175"/>
      <c r="F790" s="175"/>
      <c r="G790" s="175"/>
      <c r="H790" s="175"/>
      <c r="I790" s="178"/>
    </row>
    <row r="791" spans="1:9">
      <c r="A791" s="118"/>
      <c r="B791" s="118"/>
      <c r="C791" s="123" t="s">
        <v>108</v>
      </c>
      <c r="D791" s="124" t="s">
        <v>109</v>
      </c>
      <c r="E791" s="124" t="s">
        <v>156</v>
      </c>
      <c r="F791" s="125" t="s">
        <v>157</v>
      </c>
      <c r="G791" s="125" t="s">
        <v>158</v>
      </c>
      <c r="H791" s="126" t="s">
        <v>159</v>
      </c>
      <c r="I791" s="165" t="s">
        <v>160</v>
      </c>
    </row>
    <row r="792" spans="1:9">
      <c r="A792" s="118"/>
      <c r="B792" s="118"/>
      <c r="C792" s="127">
        <v>1</v>
      </c>
      <c r="D792" s="127">
        <v>2</v>
      </c>
      <c r="E792" s="127">
        <v>3</v>
      </c>
      <c r="F792" s="127">
        <v>4</v>
      </c>
      <c r="G792" s="127">
        <v>5</v>
      </c>
      <c r="H792" s="128">
        <v>6</v>
      </c>
      <c r="I792" s="127">
        <v>7</v>
      </c>
    </row>
    <row r="793" spans="1:9">
      <c r="A793" s="118"/>
      <c r="B793" s="118"/>
      <c r="C793" s="129" t="s">
        <v>4</v>
      </c>
      <c r="D793" s="130" t="s">
        <v>161</v>
      </c>
      <c r="E793" s="130"/>
      <c r="F793" s="131"/>
      <c r="G793" s="132"/>
      <c r="H793" s="133"/>
      <c r="I793" s="166"/>
    </row>
    <row r="794" spans="1:9">
      <c r="A794" s="118"/>
      <c r="B794" s="118"/>
      <c r="C794" s="134">
        <v>1</v>
      </c>
      <c r="D794" s="135" t="s">
        <v>333</v>
      </c>
      <c r="E794" s="136" t="s">
        <v>163</v>
      </c>
      <c r="F794" s="137" t="s">
        <v>164</v>
      </c>
      <c r="G794" s="138">
        <v>1</v>
      </c>
      <c r="H794" s="139">
        <f>H731</f>
        <v>85000</v>
      </c>
      <c r="I794" s="167">
        <f>G794*H794</f>
        <v>85000</v>
      </c>
    </row>
    <row r="795" spans="1:9">
      <c r="A795" s="118"/>
      <c r="B795" s="118"/>
      <c r="C795" s="134">
        <v>2</v>
      </c>
      <c r="D795" s="135" t="s">
        <v>203</v>
      </c>
      <c r="E795" s="136" t="s">
        <v>166</v>
      </c>
      <c r="F795" s="137" t="s">
        <v>164</v>
      </c>
      <c r="G795" s="138">
        <v>1</v>
      </c>
      <c r="H795" s="139">
        <f>H732</f>
        <v>100000</v>
      </c>
      <c r="I795" s="167">
        <f>G795*H795</f>
        <v>100000</v>
      </c>
    </row>
    <row r="796" spans="1:9">
      <c r="A796" s="118"/>
      <c r="B796" s="118"/>
      <c r="C796" s="134">
        <v>3</v>
      </c>
      <c r="D796" s="135" t="s">
        <v>204</v>
      </c>
      <c r="E796" s="136" t="s">
        <v>168</v>
      </c>
      <c r="F796" s="137" t="s">
        <v>164</v>
      </c>
      <c r="G796" s="138">
        <v>0.1</v>
      </c>
      <c r="H796" s="139">
        <f>H733</f>
        <v>150000</v>
      </c>
      <c r="I796" s="167">
        <f>G796*H796</f>
        <v>15000</v>
      </c>
    </row>
    <row r="797" spans="1:9">
      <c r="A797" s="118"/>
      <c r="B797" s="118"/>
      <c r="C797" s="140">
        <v>4</v>
      </c>
      <c r="D797" s="141" t="s">
        <v>169</v>
      </c>
      <c r="E797" s="142" t="s">
        <v>170</v>
      </c>
      <c r="F797" s="137" t="s">
        <v>164</v>
      </c>
      <c r="G797" s="143">
        <v>0.05</v>
      </c>
      <c r="H797" s="139">
        <f>H734</f>
        <v>215000</v>
      </c>
      <c r="I797" s="167">
        <f>G797*H797</f>
        <v>10750</v>
      </c>
    </row>
    <row r="798" spans="1:9">
      <c r="A798" s="118"/>
      <c r="B798" s="118"/>
      <c r="C798" s="152" t="s">
        <v>171</v>
      </c>
      <c r="D798" s="153"/>
      <c r="E798" s="153"/>
      <c r="F798" s="153"/>
      <c r="G798" s="153"/>
      <c r="H798" s="189"/>
      <c r="I798" s="168">
        <f>SUM(I794:I797)</f>
        <v>210750</v>
      </c>
    </row>
    <row r="799" spans="1:9">
      <c r="A799" s="118"/>
      <c r="B799" s="118"/>
      <c r="C799" s="147" t="s">
        <v>172</v>
      </c>
      <c r="D799" s="130" t="s">
        <v>173</v>
      </c>
      <c r="E799" s="148"/>
      <c r="F799" s="132"/>
      <c r="G799" s="132"/>
      <c r="H799" s="131"/>
      <c r="I799" s="166"/>
    </row>
    <row r="800" spans="1:9">
      <c r="A800" s="118"/>
      <c r="B800" s="118"/>
      <c r="C800" s="134">
        <v>1</v>
      </c>
      <c r="D800" s="135" t="s">
        <v>342</v>
      </c>
      <c r="E800" s="136"/>
      <c r="F800" s="137" t="s">
        <v>335</v>
      </c>
      <c r="G800" s="138">
        <v>1</v>
      </c>
      <c r="H800" s="149">
        <f>'DAFTAR HARGA'!I125</f>
        <v>850000</v>
      </c>
      <c r="I800" s="167">
        <f>G800*H800</f>
        <v>850000</v>
      </c>
    </row>
    <row r="801" spans="1:9">
      <c r="A801" s="118"/>
      <c r="B801" s="118"/>
      <c r="C801" s="134">
        <v>2</v>
      </c>
      <c r="D801" s="135" t="s">
        <v>336</v>
      </c>
      <c r="E801" s="136"/>
      <c r="F801" s="137" t="s">
        <v>244</v>
      </c>
      <c r="G801" s="138">
        <v>6</v>
      </c>
      <c r="H801" s="149">
        <f>H780</f>
        <v>1200</v>
      </c>
      <c r="I801" s="167">
        <f>G801*H801</f>
        <v>7200</v>
      </c>
    </row>
    <row r="802" spans="1:9">
      <c r="A802" s="118"/>
      <c r="B802" s="118"/>
      <c r="C802" s="134">
        <v>3</v>
      </c>
      <c r="D802" s="135" t="s">
        <v>207</v>
      </c>
      <c r="E802" s="136"/>
      <c r="F802" s="137" t="s">
        <v>270</v>
      </c>
      <c r="G802" s="138">
        <v>0.01</v>
      </c>
      <c r="H802" s="149">
        <f>H781</f>
        <v>84400</v>
      </c>
      <c r="I802" s="167">
        <f>G802*H802</f>
        <v>844</v>
      </c>
    </row>
    <row r="803" spans="1:9">
      <c r="A803" s="118"/>
      <c r="B803" s="118"/>
      <c r="C803" s="140">
        <v>4</v>
      </c>
      <c r="D803" s="141" t="s">
        <v>343</v>
      </c>
      <c r="E803" s="142"/>
      <c r="F803" s="150" t="s">
        <v>344</v>
      </c>
      <c r="G803" s="143">
        <v>30</v>
      </c>
      <c r="H803" s="151">
        <f>H800*0.3</f>
        <v>255000</v>
      </c>
      <c r="I803" s="167">
        <f>H803</f>
        <v>255000</v>
      </c>
    </row>
    <row r="804" spans="1:9">
      <c r="A804" s="118"/>
      <c r="B804" s="118"/>
      <c r="C804" s="152" t="s">
        <v>178</v>
      </c>
      <c r="D804" s="153"/>
      <c r="E804" s="153"/>
      <c r="F804" s="153"/>
      <c r="G804" s="153"/>
      <c r="H804" s="189"/>
      <c r="I804" s="169">
        <f>SUM(I800:I803)</f>
        <v>1113044</v>
      </c>
    </row>
    <row r="805" spans="1:9">
      <c r="A805" s="115"/>
      <c r="B805" s="115"/>
      <c r="C805" s="147" t="s">
        <v>179</v>
      </c>
      <c r="D805" s="130" t="s">
        <v>180</v>
      </c>
      <c r="E805" s="148"/>
      <c r="F805" s="132"/>
      <c r="G805" s="132"/>
      <c r="H805" s="133"/>
      <c r="I805" s="166"/>
    </row>
    <row r="806" spans="1:9">
      <c r="A806" s="115"/>
      <c r="B806" s="115"/>
      <c r="C806" s="140"/>
      <c r="D806" s="141"/>
      <c r="E806" s="142"/>
      <c r="F806" s="150"/>
      <c r="G806" s="154"/>
      <c r="H806" s="144"/>
      <c r="I806" s="170"/>
    </row>
    <row r="807" spans="1:9">
      <c r="A807" s="115"/>
      <c r="B807" s="115"/>
      <c r="C807" s="152" t="s">
        <v>181</v>
      </c>
      <c r="D807" s="153"/>
      <c r="E807" s="153"/>
      <c r="F807" s="153"/>
      <c r="G807" s="153"/>
      <c r="H807" s="189"/>
      <c r="I807" s="171">
        <f>SUM(I806)</f>
        <v>0</v>
      </c>
    </row>
    <row r="808" spans="1:9">
      <c r="A808" s="115"/>
      <c r="B808" s="115"/>
      <c r="C808" s="127" t="s">
        <v>182</v>
      </c>
      <c r="D808" s="155" t="s">
        <v>183</v>
      </c>
      <c r="E808" s="156"/>
      <c r="F808" s="157"/>
      <c r="G808" s="157"/>
      <c r="H808" s="158"/>
      <c r="I808" s="171">
        <f>SUM(I798,I804,I807)</f>
        <v>1323794</v>
      </c>
    </row>
    <row r="809" spans="1:9">
      <c r="A809" s="115"/>
      <c r="B809" s="115"/>
      <c r="C809" s="127" t="s">
        <v>184</v>
      </c>
      <c r="D809" s="155" t="s">
        <v>185</v>
      </c>
      <c r="E809" s="156"/>
      <c r="F809" s="159">
        <v>0.15</v>
      </c>
      <c r="G809" s="157" t="s">
        <v>186</v>
      </c>
      <c r="H809" s="158"/>
      <c r="I809" s="171">
        <f>I808*F809</f>
        <v>198569.1</v>
      </c>
    </row>
    <row r="810" spans="1:9">
      <c r="A810" s="115"/>
      <c r="B810" s="115"/>
      <c r="C810" s="160" t="s">
        <v>187</v>
      </c>
      <c r="D810" s="161" t="s">
        <v>188</v>
      </c>
      <c r="E810" s="124"/>
      <c r="F810" s="125"/>
      <c r="G810" s="125"/>
      <c r="H810" s="162"/>
      <c r="I810" s="172">
        <f>SUM(I808:I809)</f>
        <v>1522363.1</v>
      </c>
    </row>
    <row r="811" spans="1:9">
      <c r="A811" s="115"/>
      <c r="B811" s="115"/>
      <c r="C811" s="116"/>
      <c r="D811" s="117"/>
      <c r="E811" s="118"/>
      <c r="F811" s="119"/>
      <c r="G811" s="119"/>
      <c r="H811" s="120"/>
      <c r="I811" s="164"/>
    </row>
    <row r="812" spans="1:9">
      <c r="A812" s="110"/>
      <c r="B812" s="2"/>
      <c r="C812" s="180"/>
      <c r="D812" s="175"/>
      <c r="E812" s="115"/>
      <c r="F812" s="184"/>
      <c r="G812" s="187"/>
      <c r="H812" s="183"/>
      <c r="I812" s="186"/>
    </row>
    <row r="813" spans="1:9">
      <c r="A813" s="118" t="s">
        <v>345</v>
      </c>
      <c r="B813" s="118"/>
      <c r="C813" s="174" t="s">
        <v>346</v>
      </c>
      <c r="D813" s="175"/>
      <c r="E813" s="175"/>
      <c r="F813" s="175"/>
      <c r="G813" s="175"/>
      <c r="H813" s="175"/>
      <c r="I813" s="178"/>
    </row>
    <row r="814" spans="1:9">
      <c r="A814" s="118"/>
      <c r="B814" s="118"/>
      <c r="C814" s="123" t="s">
        <v>108</v>
      </c>
      <c r="D814" s="124" t="s">
        <v>109</v>
      </c>
      <c r="E814" s="124" t="s">
        <v>156</v>
      </c>
      <c r="F814" s="125" t="s">
        <v>157</v>
      </c>
      <c r="G814" s="125" t="s">
        <v>158</v>
      </c>
      <c r="H814" s="126" t="s">
        <v>159</v>
      </c>
      <c r="I814" s="165" t="s">
        <v>160</v>
      </c>
    </row>
    <row r="815" spans="1:9">
      <c r="A815" s="118"/>
      <c r="B815" s="118"/>
      <c r="C815" s="127">
        <v>1</v>
      </c>
      <c r="D815" s="127">
        <v>2</v>
      </c>
      <c r="E815" s="127">
        <v>3</v>
      </c>
      <c r="F815" s="127">
        <v>4</v>
      </c>
      <c r="G815" s="127">
        <v>5</v>
      </c>
      <c r="H815" s="128">
        <v>6</v>
      </c>
      <c r="I815" s="127">
        <v>7</v>
      </c>
    </row>
    <row r="816" spans="1:9">
      <c r="A816" s="118"/>
      <c r="B816" s="118"/>
      <c r="C816" s="129" t="s">
        <v>4</v>
      </c>
      <c r="D816" s="130" t="s">
        <v>161</v>
      </c>
      <c r="E816" s="130"/>
      <c r="F816" s="131"/>
      <c r="G816" s="132"/>
      <c r="H816" s="133"/>
      <c r="I816" s="166"/>
    </row>
    <row r="817" spans="1:9">
      <c r="A817" s="118"/>
      <c r="B817" s="118"/>
      <c r="C817" s="134">
        <v>1</v>
      </c>
      <c r="D817" s="135" t="s">
        <v>333</v>
      </c>
      <c r="E817" s="136" t="s">
        <v>163</v>
      </c>
      <c r="F817" s="137" t="s">
        <v>164</v>
      </c>
      <c r="G817" s="138">
        <v>1.2</v>
      </c>
      <c r="H817" s="139">
        <f>H794</f>
        <v>85000</v>
      </c>
      <c r="I817" s="167">
        <f>G817*H817</f>
        <v>102000</v>
      </c>
    </row>
    <row r="818" spans="1:9">
      <c r="A818" s="118"/>
      <c r="B818" s="118"/>
      <c r="C818" s="134">
        <v>2</v>
      </c>
      <c r="D818" s="135" t="s">
        <v>203</v>
      </c>
      <c r="E818" s="136" t="s">
        <v>166</v>
      </c>
      <c r="F818" s="137" t="s">
        <v>164</v>
      </c>
      <c r="G818" s="138">
        <v>1.45</v>
      </c>
      <c r="H818" s="139">
        <f>H795</f>
        <v>100000</v>
      </c>
      <c r="I818" s="167">
        <f>G818*H818</f>
        <v>145000</v>
      </c>
    </row>
    <row r="819" spans="1:9">
      <c r="A819" s="118"/>
      <c r="B819" s="118"/>
      <c r="C819" s="134">
        <v>3</v>
      </c>
      <c r="D819" s="135" t="s">
        <v>204</v>
      </c>
      <c r="E819" s="136" t="s">
        <v>168</v>
      </c>
      <c r="F819" s="137" t="s">
        <v>164</v>
      </c>
      <c r="G819" s="138">
        <v>0.15</v>
      </c>
      <c r="H819" s="139">
        <f>H796</f>
        <v>150000</v>
      </c>
      <c r="I819" s="167">
        <f>G819*H819</f>
        <v>22500</v>
      </c>
    </row>
    <row r="820" spans="1:9">
      <c r="A820" s="118"/>
      <c r="B820" s="118"/>
      <c r="C820" s="140">
        <v>4</v>
      </c>
      <c r="D820" s="141" t="s">
        <v>169</v>
      </c>
      <c r="E820" s="142" t="s">
        <v>170</v>
      </c>
      <c r="F820" s="137" t="s">
        <v>164</v>
      </c>
      <c r="G820" s="143">
        <v>0.06</v>
      </c>
      <c r="H820" s="139">
        <f>H797</f>
        <v>215000</v>
      </c>
      <c r="I820" s="167">
        <f>G820*H820</f>
        <v>12900</v>
      </c>
    </row>
    <row r="821" spans="1:9">
      <c r="A821" s="118"/>
      <c r="B821" s="118"/>
      <c r="C821" s="152" t="s">
        <v>171</v>
      </c>
      <c r="D821" s="153"/>
      <c r="E821" s="153"/>
      <c r="F821" s="153"/>
      <c r="G821" s="153"/>
      <c r="H821" s="189"/>
      <c r="I821" s="168">
        <f>SUM(I817:I820)</f>
        <v>282400</v>
      </c>
    </row>
    <row r="822" spans="1:9">
      <c r="A822" s="118"/>
      <c r="B822" s="118"/>
      <c r="C822" s="147" t="s">
        <v>172</v>
      </c>
      <c r="D822" s="130" t="s">
        <v>173</v>
      </c>
      <c r="E822" s="148"/>
      <c r="F822" s="132"/>
      <c r="G822" s="132"/>
      <c r="H822" s="131"/>
      <c r="I822" s="166"/>
    </row>
    <row r="823" spans="1:9">
      <c r="A823" s="118"/>
      <c r="B823" s="118"/>
      <c r="C823" s="134">
        <v>1</v>
      </c>
      <c r="D823" s="135" t="s">
        <v>347</v>
      </c>
      <c r="E823" s="136"/>
      <c r="F823" s="137" t="s">
        <v>335</v>
      </c>
      <c r="G823" s="138">
        <v>1.2</v>
      </c>
      <c r="H823" s="149">
        <f>'DAFTAR HARGA'!I131</f>
        <v>457000</v>
      </c>
      <c r="I823" s="167">
        <f>G823*H823</f>
        <v>548400</v>
      </c>
    </row>
    <row r="824" spans="1:9">
      <c r="A824" s="118"/>
      <c r="B824" s="118"/>
      <c r="C824" s="134">
        <v>2</v>
      </c>
      <c r="D824" s="135" t="s">
        <v>336</v>
      </c>
      <c r="E824" s="136"/>
      <c r="F824" s="137" t="s">
        <v>244</v>
      </c>
      <c r="G824" s="138">
        <v>6</v>
      </c>
      <c r="H824" s="149">
        <f>'DAFTAR HARGA'!I128</f>
        <v>1200</v>
      </c>
      <c r="I824" s="167">
        <f>G824*H824</f>
        <v>7200</v>
      </c>
    </row>
    <row r="825" spans="1:9">
      <c r="A825" s="118"/>
      <c r="B825" s="118"/>
      <c r="C825" s="134">
        <v>3</v>
      </c>
      <c r="D825" s="135" t="s">
        <v>207</v>
      </c>
      <c r="E825" s="136"/>
      <c r="F825" s="137" t="s">
        <v>270</v>
      </c>
      <c r="G825" s="138">
        <v>0.01</v>
      </c>
      <c r="H825" s="149">
        <f>'DAFTAR HARGA'!I108</f>
        <v>84400</v>
      </c>
      <c r="I825" s="167">
        <f>G825*H825</f>
        <v>844</v>
      </c>
    </row>
    <row r="826" spans="1:9">
      <c r="A826" s="118"/>
      <c r="B826" s="118"/>
      <c r="C826" s="140">
        <v>4</v>
      </c>
      <c r="D826" s="141" t="s">
        <v>343</v>
      </c>
      <c r="E826" s="142"/>
      <c r="F826" s="150" t="s">
        <v>344</v>
      </c>
      <c r="G826" s="143">
        <v>12</v>
      </c>
      <c r="H826" s="151">
        <f>H823*0.12</f>
        <v>54840</v>
      </c>
      <c r="I826" s="167">
        <f>H826</f>
        <v>54840</v>
      </c>
    </row>
    <row r="827" spans="1:9">
      <c r="A827" s="118"/>
      <c r="B827" s="118"/>
      <c r="C827" s="152" t="s">
        <v>178</v>
      </c>
      <c r="D827" s="153"/>
      <c r="E827" s="153"/>
      <c r="F827" s="153"/>
      <c r="G827" s="153"/>
      <c r="H827" s="189"/>
      <c r="I827" s="169">
        <f>SUM(I823:I826)</f>
        <v>611284</v>
      </c>
    </row>
    <row r="828" spans="1:9">
      <c r="A828" s="115"/>
      <c r="B828" s="115"/>
      <c r="C828" s="147" t="s">
        <v>179</v>
      </c>
      <c r="D828" s="130" t="s">
        <v>180</v>
      </c>
      <c r="E828" s="148"/>
      <c r="F828" s="132"/>
      <c r="G828" s="132"/>
      <c r="H828" s="133"/>
      <c r="I828" s="166"/>
    </row>
    <row r="829" spans="1:9">
      <c r="A829" s="115"/>
      <c r="B829" s="115"/>
      <c r="C829" s="140"/>
      <c r="D829" s="141"/>
      <c r="E829" s="142"/>
      <c r="F829" s="150"/>
      <c r="G829" s="154"/>
      <c r="H829" s="144"/>
      <c r="I829" s="170"/>
    </row>
    <row r="830" spans="1:9">
      <c r="A830" s="115"/>
      <c r="B830" s="115"/>
      <c r="C830" s="152" t="s">
        <v>181</v>
      </c>
      <c r="D830" s="153"/>
      <c r="E830" s="153"/>
      <c r="F830" s="153"/>
      <c r="G830" s="153"/>
      <c r="H830" s="189"/>
      <c r="I830" s="171">
        <f>SUM(I829)</f>
        <v>0</v>
      </c>
    </row>
    <row r="831" spans="1:9">
      <c r="A831" s="115"/>
      <c r="B831" s="115"/>
      <c r="C831" s="127" t="s">
        <v>182</v>
      </c>
      <c r="D831" s="155" t="s">
        <v>183</v>
      </c>
      <c r="E831" s="156"/>
      <c r="F831" s="157"/>
      <c r="G831" s="157"/>
      <c r="H831" s="158"/>
      <c r="I831" s="171">
        <f>SUM(I821,I827,I830)</f>
        <v>893684</v>
      </c>
    </row>
    <row r="832" spans="1:9">
      <c r="A832" s="115"/>
      <c r="B832" s="115"/>
      <c r="C832" s="127" t="s">
        <v>184</v>
      </c>
      <c r="D832" s="155" t="s">
        <v>185</v>
      </c>
      <c r="E832" s="156"/>
      <c r="F832" s="159">
        <v>0.15</v>
      </c>
      <c r="G832" s="157" t="s">
        <v>186</v>
      </c>
      <c r="H832" s="158"/>
      <c r="I832" s="171">
        <f>I831*F832</f>
        <v>134052.6</v>
      </c>
    </row>
    <row r="833" spans="1:9">
      <c r="A833" s="115"/>
      <c r="B833" s="115"/>
      <c r="C833" s="160" t="s">
        <v>187</v>
      </c>
      <c r="D833" s="161" t="s">
        <v>188</v>
      </c>
      <c r="E833" s="124"/>
      <c r="F833" s="125"/>
      <c r="G833" s="125"/>
      <c r="H833" s="162"/>
      <c r="I833" s="172">
        <f>SUM(I831:I832)</f>
        <v>1027736.6</v>
      </c>
    </row>
    <row r="834" spans="1:9">
      <c r="A834" s="115"/>
      <c r="B834" s="115"/>
      <c r="C834" s="116"/>
      <c r="D834" s="117"/>
      <c r="E834" s="118"/>
      <c r="F834" s="119"/>
      <c r="G834" s="119"/>
      <c r="H834" s="120"/>
      <c r="I834" s="164"/>
    </row>
    <row r="835" spans="1:9">
      <c r="A835" s="118" t="s">
        <v>348</v>
      </c>
      <c r="C835" s="181" t="s">
        <v>349</v>
      </c>
      <c r="D835" s="175"/>
      <c r="E835" s="175"/>
      <c r="F835" s="175"/>
      <c r="G835" s="175"/>
      <c r="H835" s="175"/>
      <c r="I835" s="178"/>
    </row>
    <row r="836" spans="1:9">
      <c r="A836" s="118"/>
      <c r="B836" s="118"/>
      <c r="C836" s="123" t="s">
        <v>108</v>
      </c>
      <c r="D836" s="124" t="s">
        <v>109</v>
      </c>
      <c r="E836" s="124" t="s">
        <v>156</v>
      </c>
      <c r="F836" s="125" t="s">
        <v>157</v>
      </c>
      <c r="G836" s="125" t="s">
        <v>158</v>
      </c>
      <c r="H836" s="126" t="s">
        <v>159</v>
      </c>
      <c r="I836" s="165" t="s">
        <v>160</v>
      </c>
    </row>
    <row r="837" spans="1:9">
      <c r="A837" s="118"/>
      <c r="B837" s="118"/>
      <c r="C837" s="127">
        <v>1</v>
      </c>
      <c r="D837" s="127">
        <v>2</v>
      </c>
      <c r="E837" s="127">
        <v>3</v>
      </c>
      <c r="F837" s="127">
        <v>4</v>
      </c>
      <c r="G837" s="127">
        <v>5</v>
      </c>
      <c r="H837" s="128">
        <v>6</v>
      </c>
      <c r="I837" s="127">
        <v>7</v>
      </c>
    </row>
    <row r="838" spans="1:9">
      <c r="A838" s="118"/>
      <c r="B838" s="118"/>
      <c r="C838" s="129" t="s">
        <v>4</v>
      </c>
      <c r="D838" s="130" t="s">
        <v>161</v>
      </c>
      <c r="E838" s="130"/>
      <c r="F838" s="131"/>
      <c r="G838" s="132"/>
      <c r="H838" s="133"/>
      <c r="I838" s="166"/>
    </row>
    <row r="839" spans="1:9">
      <c r="A839" s="118"/>
      <c r="B839" s="118"/>
      <c r="C839" s="134">
        <v>1</v>
      </c>
      <c r="D839" s="135" t="s">
        <v>333</v>
      </c>
      <c r="E839" s="136" t="s">
        <v>163</v>
      </c>
      <c r="F839" s="137" t="s">
        <v>164</v>
      </c>
      <c r="G839" s="138">
        <v>3</v>
      </c>
      <c r="H839" s="139">
        <f>H817</f>
        <v>85000</v>
      </c>
      <c r="I839" s="167">
        <f>G839*H839</f>
        <v>255000</v>
      </c>
    </row>
    <row r="840" spans="1:9">
      <c r="A840" s="118"/>
      <c r="B840" s="118"/>
      <c r="C840" s="134">
        <v>2</v>
      </c>
      <c r="D840" s="135" t="s">
        <v>203</v>
      </c>
      <c r="E840" s="136" t="s">
        <v>166</v>
      </c>
      <c r="F840" s="137" t="s">
        <v>164</v>
      </c>
      <c r="G840" s="138">
        <v>4.5</v>
      </c>
      <c r="H840" s="139">
        <f>H818</f>
        <v>100000</v>
      </c>
      <c r="I840" s="167">
        <f>G840*H840</f>
        <v>450000</v>
      </c>
    </row>
    <row r="841" spans="1:9">
      <c r="A841" s="118"/>
      <c r="B841" s="118"/>
      <c r="C841" s="134">
        <v>3</v>
      </c>
      <c r="D841" s="135" t="s">
        <v>204</v>
      </c>
      <c r="E841" s="136" t="s">
        <v>168</v>
      </c>
      <c r="F841" s="137" t="s">
        <v>164</v>
      </c>
      <c r="G841" s="138">
        <v>0.05</v>
      </c>
      <c r="H841" s="139">
        <f>H819</f>
        <v>150000</v>
      </c>
      <c r="I841" s="167">
        <f>G841*H841</f>
        <v>7500</v>
      </c>
    </row>
    <row r="842" spans="1:9">
      <c r="A842" s="118"/>
      <c r="B842" s="118"/>
      <c r="C842" s="140">
        <v>4</v>
      </c>
      <c r="D842" s="141" t="s">
        <v>169</v>
      </c>
      <c r="E842" s="142" t="s">
        <v>170</v>
      </c>
      <c r="F842" s="137" t="s">
        <v>164</v>
      </c>
      <c r="G842" s="143">
        <v>0.9</v>
      </c>
      <c r="H842" s="139">
        <f>H820</f>
        <v>215000</v>
      </c>
      <c r="I842" s="167">
        <f>G842*H842</f>
        <v>193500</v>
      </c>
    </row>
    <row r="843" spans="1:9">
      <c r="A843" s="118"/>
      <c r="B843" s="118"/>
      <c r="C843" s="152" t="s">
        <v>171</v>
      </c>
      <c r="D843" s="153"/>
      <c r="E843" s="153"/>
      <c r="F843" s="153"/>
      <c r="G843" s="153"/>
      <c r="H843" s="189"/>
      <c r="I843" s="168">
        <f>SUM(I839:I842)</f>
        <v>906000</v>
      </c>
    </row>
    <row r="844" spans="1:9">
      <c r="A844" s="118"/>
      <c r="B844" s="118"/>
      <c r="C844" s="147" t="s">
        <v>172</v>
      </c>
      <c r="D844" s="130" t="s">
        <v>173</v>
      </c>
      <c r="E844" s="148"/>
      <c r="F844" s="132"/>
      <c r="G844" s="132"/>
      <c r="H844" s="131"/>
      <c r="I844" s="166"/>
    </row>
    <row r="845" spans="1:9">
      <c r="A845" s="118"/>
      <c r="B845" s="118"/>
      <c r="C845" s="134">
        <v>1</v>
      </c>
      <c r="D845" s="135" t="s">
        <v>350</v>
      </c>
      <c r="E845" s="136"/>
      <c r="F845" s="137" t="s">
        <v>335</v>
      </c>
      <c r="G845" s="138">
        <v>1</v>
      </c>
      <c r="H845" s="149">
        <v>224675</v>
      </c>
      <c r="I845" s="167">
        <f>G845*H845</f>
        <v>224675</v>
      </c>
    </row>
    <row r="846" spans="1:9">
      <c r="A846" s="118"/>
      <c r="B846" s="118"/>
      <c r="C846" s="140">
        <v>2</v>
      </c>
      <c r="D846" s="141" t="s">
        <v>343</v>
      </c>
      <c r="E846" s="142"/>
      <c r="F846" s="150" t="s">
        <v>31</v>
      </c>
      <c r="G846" s="143" t="s">
        <v>351</v>
      </c>
      <c r="H846" s="151">
        <f>H845*0.12</f>
        <v>26961</v>
      </c>
      <c r="I846" s="167">
        <f>H846</f>
        <v>26961</v>
      </c>
    </row>
    <row r="847" spans="1:9">
      <c r="A847" s="118"/>
      <c r="B847" s="118"/>
      <c r="C847" s="152" t="s">
        <v>178</v>
      </c>
      <c r="D847" s="153"/>
      <c r="E847" s="153"/>
      <c r="F847" s="153"/>
      <c r="G847" s="153"/>
      <c r="H847" s="189"/>
      <c r="I847" s="169">
        <f>SUM(I845:I846)</f>
        <v>251636</v>
      </c>
    </row>
    <row r="848" spans="1:9">
      <c r="A848" s="115"/>
      <c r="B848" s="115"/>
      <c r="C848" s="147" t="s">
        <v>179</v>
      </c>
      <c r="D848" s="130" t="s">
        <v>180</v>
      </c>
      <c r="E848" s="148"/>
      <c r="F848" s="132"/>
      <c r="G848" s="132"/>
      <c r="H848" s="133"/>
      <c r="I848" s="166"/>
    </row>
    <row r="849" spans="1:9">
      <c r="A849" s="115"/>
      <c r="B849" s="115"/>
      <c r="C849" s="140"/>
      <c r="D849" s="141"/>
      <c r="E849" s="142"/>
      <c r="F849" s="150"/>
      <c r="G849" s="154"/>
      <c r="H849" s="144"/>
      <c r="I849" s="170"/>
    </row>
    <row r="850" spans="1:9">
      <c r="A850" s="115"/>
      <c r="B850" s="115"/>
      <c r="C850" s="152" t="s">
        <v>181</v>
      </c>
      <c r="D850" s="153"/>
      <c r="E850" s="153"/>
      <c r="F850" s="153"/>
      <c r="G850" s="153"/>
      <c r="H850" s="189"/>
      <c r="I850" s="171">
        <f>SUM(I849)</f>
        <v>0</v>
      </c>
    </row>
    <row r="851" spans="1:9">
      <c r="A851" s="115"/>
      <c r="B851" s="115"/>
      <c r="C851" s="127" t="s">
        <v>182</v>
      </c>
      <c r="D851" s="155" t="s">
        <v>183</v>
      </c>
      <c r="E851" s="156"/>
      <c r="F851" s="157"/>
      <c r="G851" s="157"/>
      <c r="H851" s="158"/>
      <c r="I851" s="171">
        <f>SUM(I843,I847,I850)</f>
        <v>1157636</v>
      </c>
    </row>
    <row r="852" spans="1:9">
      <c r="A852" s="115"/>
      <c r="B852" s="115"/>
      <c r="C852" s="127" t="s">
        <v>184</v>
      </c>
      <c r="D852" s="155" t="s">
        <v>185</v>
      </c>
      <c r="E852" s="156"/>
      <c r="F852" s="159">
        <v>0.15</v>
      </c>
      <c r="G852" s="157" t="s">
        <v>186</v>
      </c>
      <c r="H852" s="158"/>
      <c r="I852" s="171">
        <f>I851*F852</f>
        <v>173645.4</v>
      </c>
    </row>
    <row r="853" spans="1:9">
      <c r="A853" s="115"/>
      <c r="B853" s="115"/>
      <c r="C853" s="160" t="s">
        <v>187</v>
      </c>
      <c r="D853" s="161" t="s">
        <v>188</v>
      </c>
      <c r="E853" s="124"/>
      <c r="F853" s="125"/>
      <c r="G853" s="125"/>
      <c r="H853" s="162"/>
      <c r="I853" s="172">
        <f>SUM(I851:I852)</f>
        <v>1331281.4</v>
      </c>
    </row>
    <row r="854" spans="1:9">
      <c r="A854" s="115"/>
      <c r="B854" s="115"/>
      <c r="C854" s="116"/>
      <c r="D854" s="117"/>
      <c r="E854" s="118"/>
      <c r="F854" s="119"/>
      <c r="G854" s="119"/>
      <c r="H854" s="120"/>
      <c r="I854" s="164"/>
    </row>
    <row r="855" spans="1:9">
      <c r="A855" s="115"/>
      <c r="B855" s="115"/>
      <c r="C855" s="116"/>
      <c r="D855" s="117"/>
      <c r="E855" s="118"/>
      <c r="F855" s="119"/>
      <c r="G855" s="119"/>
      <c r="H855" s="120"/>
      <c r="I855" s="164"/>
    </row>
    <row r="856" spans="1:9">
      <c r="A856" s="118" t="s">
        <v>352</v>
      </c>
      <c r="C856" s="181" t="s">
        <v>353</v>
      </c>
      <c r="D856" s="175"/>
      <c r="E856" s="175"/>
      <c r="F856" s="175"/>
      <c r="G856" s="175"/>
      <c r="H856" s="175"/>
      <c r="I856" s="178"/>
    </row>
    <row r="857" spans="1:9">
      <c r="A857" s="118"/>
      <c r="B857" s="118"/>
      <c r="C857" s="123" t="s">
        <v>108</v>
      </c>
      <c r="D857" s="124" t="s">
        <v>109</v>
      </c>
      <c r="E857" s="124" t="s">
        <v>156</v>
      </c>
      <c r="F857" s="125" t="s">
        <v>157</v>
      </c>
      <c r="G857" s="125" t="s">
        <v>158</v>
      </c>
      <c r="H857" s="126" t="s">
        <v>159</v>
      </c>
      <c r="I857" s="165" t="s">
        <v>160</v>
      </c>
    </row>
    <row r="858" spans="1:9">
      <c r="A858" s="118"/>
      <c r="B858" s="118"/>
      <c r="C858" s="127">
        <v>1</v>
      </c>
      <c r="D858" s="127">
        <v>2</v>
      </c>
      <c r="E858" s="127">
        <v>3</v>
      </c>
      <c r="F858" s="127">
        <v>4</v>
      </c>
      <c r="G858" s="127">
        <v>5</v>
      </c>
      <c r="H858" s="128">
        <v>6</v>
      </c>
      <c r="I858" s="127">
        <v>7</v>
      </c>
    </row>
    <row r="859" spans="1:9">
      <c r="A859" s="118"/>
      <c r="B859" s="118"/>
      <c r="C859" s="129" t="s">
        <v>4</v>
      </c>
      <c r="D859" s="130" t="s">
        <v>161</v>
      </c>
      <c r="E859" s="130"/>
      <c r="F859" s="131"/>
      <c r="G859" s="132"/>
      <c r="H859" s="133"/>
      <c r="I859" s="166"/>
    </row>
    <row r="860" spans="1:9">
      <c r="A860" s="118"/>
      <c r="B860" s="118"/>
      <c r="C860" s="134">
        <v>1</v>
      </c>
      <c r="D860" s="135" t="s">
        <v>333</v>
      </c>
      <c r="E860" s="136" t="s">
        <v>163</v>
      </c>
      <c r="F860" s="137" t="s">
        <v>164</v>
      </c>
      <c r="G860" s="138">
        <v>0.01</v>
      </c>
      <c r="H860" s="139">
        <f>H839</f>
        <v>85000</v>
      </c>
      <c r="I860" s="167">
        <f>G860*H860</f>
        <v>850</v>
      </c>
    </row>
    <row r="861" spans="1:9">
      <c r="A861" s="118"/>
      <c r="B861" s="118"/>
      <c r="C861" s="134">
        <v>2</v>
      </c>
      <c r="D861" s="135" t="s">
        <v>203</v>
      </c>
      <c r="E861" s="136" t="s">
        <v>166</v>
      </c>
      <c r="F861" s="137" t="s">
        <v>164</v>
      </c>
      <c r="G861" s="138">
        <v>0.1</v>
      </c>
      <c r="H861" s="139">
        <f>H840</f>
        <v>100000</v>
      </c>
      <c r="I861" s="167">
        <f>G861*H861</f>
        <v>10000</v>
      </c>
    </row>
    <row r="862" spans="1:9">
      <c r="A862" s="118"/>
      <c r="B862" s="118"/>
      <c r="C862" s="134">
        <v>3</v>
      </c>
      <c r="D862" s="135" t="s">
        <v>204</v>
      </c>
      <c r="E862" s="136" t="s">
        <v>168</v>
      </c>
      <c r="F862" s="137" t="s">
        <v>164</v>
      </c>
      <c r="G862" s="138">
        <v>0.01</v>
      </c>
      <c r="H862" s="139">
        <f>H841</f>
        <v>150000</v>
      </c>
      <c r="I862" s="167">
        <f>G862*H862</f>
        <v>1500</v>
      </c>
    </row>
    <row r="863" spans="1:9">
      <c r="A863" s="118"/>
      <c r="B863" s="118"/>
      <c r="C863" s="140">
        <v>4</v>
      </c>
      <c r="D863" s="141" t="s">
        <v>169</v>
      </c>
      <c r="E863" s="142" t="s">
        <v>170</v>
      </c>
      <c r="F863" s="137" t="s">
        <v>164</v>
      </c>
      <c r="G863" s="143">
        <v>0.005</v>
      </c>
      <c r="H863" s="139">
        <f>H842</f>
        <v>215000</v>
      </c>
      <c r="I863" s="167">
        <f>G863*H863</f>
        <v>1075</v>
      </c>
    </row>
    <row r="864" spans="1:9">
      <c r="A864" s="118"/>
      <c r="B864" s="118"/>
      <c r="C864" s="152" t="s">
        <v>171</v>
      </c>
      <c r="D864" s="153"/>
      <c r="E864" s="153"/>
      <c r="F864" s="153"/>
      <c r="G864" s="153"/>
      <c r="H864" s="189"/>
      <c r="I864" s="168">
        <f>SUM(I860:I863)</f>
        <v>13425</v>
      </c>
    </row>
    <row r="865" spans="1:9">
      <c r="A865" s="118"/>
      <c r="B865" s="118"/>
      <c r="C865" s="147" t="s">
        <v>172</v>
      </c>
      <c r="D865" s="130" t="s">
        <v>173</v>
      </c>
      <c r="E865" s="148"/>
      <c r="F865" s="132"/>
      <c r="G865" s="132"/>
      <c r="H865" s="131"/>
      <c r="I865" s="166"/>
    </row>
    <row r="866" spans="1:9">
      <c r="A866" s="118"/>
      <c r="B866" s="118"/>
      <c r="C866" s="134">
        <v>1</v>
      </c>
      <c r="D866" s="135" t="s">
        <v>354</v>
      </c>
      <c r="E866" s="136"/>
      <c r="F866" s="137" t="s">
        <v>335</v>
      </c>
      <c r="G866" s="138">
        <v>1</v>
      </c>
      <c r="H866" s="149">
        <f>'DAFTAR HARGA'!I66</f>
        <v>76000</v>
      </c>
      <c r="I866" s="167">
        <f>G866*H866</f>
        <v>76000</v>
      </c>
    </row>
    <row r="867" spans="1:9">
      <c r="A867" s="118"/>
      <c r="B867" s="118"/>
      <c r="C867" s="152" t="s">
        <v>178</v>
      </c>
      <c r="D867" s="153"/>
      <c r="E867" s="153"/>
      <c r="F867" s="153"/>
      <c r="G867" s="153"/>
      <c r="H867" s="189"/>
      <c r="I867" s="169">
        <f>SUM(I866:I866)</f>
        <v>76000</v>
      </c>
    </row>
    <row r="868" spans="1:9">
      <c r="A868" s="115"/>
      <c r="B868" s="115"/>
      <c r="C868" s="147" t="s">
        <v>179</v>
      </c>
      <c r="D868" s="130" t="s">
        <v>180</v>
      </c>
      <c r="E868" s="148"/>
      <c r="F868" s="132"/>
      <c r="G868" s="132"/>
      <c r="H868" s="133"/>
      <c r="I868" s="166"/>
    </row>
    <row r="869" spans="1:9">
      <c r="A869" s="115"/>
      <c r="B869" s="115"/>
      <c r="C869" s="140"/>
      <c r="D869" s="141"/>
      <c r="E869" s="142"/>
      <c r="F869" s="150"/>
      <c r="G869" s="154"/>
      <c r="H869" s="144"/>
      <c r="I869" s="170"/>
    </row>
    <row r="870" spans="1:9">
      <c r="A870" s="115"/>
      <c r="B870" s="115"/>
      <c r="C870" s="152" t="s">
        <v>181</v>
      </c>
      <c r="D870" s="153"/>
      <c r="E870" s="153"/>
      <c r="F870" s="153"/>
      <c r="G870" s="153"/>
      <c r="H870" s="189"/>
      <c r="I870" s="171">
        <f>SUM(I869)</f>
        <v>0</v>
      </c>
    </row>
    <row r="871" spans="1:9">
      <c r="A871" s="115"/>
      <c r="B871" s="115"/>
      <c r="C871" s="127" t="s">
        <v>182</v>
      </c>
      <c r="D871" s="155" t="s">
        <v>183</v>
      </c>
      <c r="E871" s="156"/>
      <c r="F871" s="157"/>
      <c r="G871" s="157"/>
      <c r="H871" s="158"/>
      <c r="I871" s="171">
        <f>SUM(I864,I867,I870)</f>
        <v>89425</v>
      </c>
    </row>
    <row r="872" spans="1:9">
      <c r="A872" s="115"/>
      <c r="B872" s="115"/>
      <c r="C872" s="127" t="s">
        <v>184</v>
      </c>
      <c r="D872" s="155" t="s">
        <v>185</v>
      </c>
      <c r="E872" s="156"/>
      <c r="F872" s="159">
        <v>0.15</v>
      </c>
      <c r="G872" s="157" t="s">
        <v>186</v>
      </c>
      <c r="H872" s="158"/>
      <c r="I872" s="171">
        <f>I871*F872</f>
        <v>13413.75</v>
      </c>
    </row>
    <row r="873" spans="1:9">
      <c r="A873" s="115"/>
      <c r="B873" s="115"/>
      <c r="C873" s="160" t="s">
        <v>187</v>
      </c>
      <c r="D873" s="161" t="s">
        <v>188</v>
      </c>
      <c r="E873" s="124"/>
      <c r="F873" s="125"/>
      <c r="G873" s="125"/>
      <c r="H873" s="162"/>
      <c r="I873" s="172">
        <f>SUM(I871:I872)</f>
        <v>102838.75</v>
      </c>
    </row>
    <row r="874" spans="1:9">
      <c r="A874" s="110"/>
      <c r="B874" s="2"/>
      <c r="C874" s="180"/>
      <c r="D874" s="175"/>
      <c r="E874" s="115"/>
      <c r="F874" s="184"/>
      <c r="G874" s="187"/>
      <c r="H874" s="183"/>
      <c r="I874" s="186"/>
    </row>
    <row r="875" spans="1:9">
      <c r="A875" s="118" t="s">
        <v>355</v>
      </c>
      <c r="C875" s="64" t="s">
        <v>356</v>
      </c>
      <c r="D875" s="175"/>
      <c r="E875" s="175"/>
      <c r="F875" s="175"/>
      <c r="G875" s="175"/>
      <c r="H875" s="175"/>
      <c r="I875" s="178"/>
    </row>
    <row r="876" spans="1:9">
      <c r="A876" s="118"/>
      <c r="B876" s="118"/>
      <c r="C876" s="123" t="s">
        <v>108</v>
      </c>
      <c r="D876" s="124" t="s">
        <v>109</v>
      </c>
      <c r="E876" s="124" t="s">
        <v>156</v>
      </c>
      <c r="F876" s="125" t="s">
        <v>157</v>
      </c>
      <c r="G876" s="125" t="s">
        <v>158</v>
      </c>
      <c r="H876" s="126" t="s">
        <v>159</v>
      </c>
      <c r="I876" s="165" t="s">
        <v>160</v>
      </c>
    </row>
    <row r="877" spans="1:9">
      <c r="A877" s="118"/>
      <c r="B877" s="118"/>
      <c r="C877" s="127">
        <v>1</v>
      </c>
      <c r="D877" s="127">
        <v>2</v>
      </c>
      <c r="E877" s="127">
        <v>3</v>
      </c>
      <c r="F877" s="127">
        <v>4</v>
      </c>
      <c r="G877" s="127">
        <v>5</v>
      </c>
      <c r="H877" s="128">
        <v>6</v>
      </c>
      <c r="I877" s="127">
        <v>7</v>
      </c>
    </row>
    <row r="878" spans="1:9">
      <c r="A878" s="118"/>
      <c r="B878" s="118"/>
      <c r="C878" s="129" t="s">
        <v>4</v>
      </c>
      <c r="D878" s="130" t="s">
        <v>161</v>
      </c>
      <c r="E878" s="130"/>
      <c r="F878" s="131"/>
      <c r="G878" s="132"/>
      <c r="H878" s="133"/>
      <c r="I878" s="166"/>
    </row>
    <row r="879" spans="1:9">
      <c r="A879" s="118"/>
      <c r="B879" s="118"/>
      <c r="C879" s="134">
        <v>1</v>
      </c>
      <c r="D879" s="135" t="s">
        <v>333</v>
      </c>
      <c r="E879" s="136" t="s">
        <v>163</v>
      </c>
      <c r="F879" s="137" t="s">
        <v>164</v>
      </c>
      <c r="G879" s="138">
        <v>0.054</v>
      </c>
      <c r="H879" s="139">
        <f>'DAFTAR HARGA'!I12</f>
        <v>90000</v>
      </c>
      <c r="I879" s="167">
        <f>G879*H879</f>
        <v>4860</v>
      </c>
    </row>
    <row r="880" spans="1:9">
      <c r="A880" s="118"/>
      <c r="B880" s="118"/>
      <c r="C880" s="134">
        <v>2</v>
      </c>
      <c r="D880" s="135" t="s">
        <v>203</v>
      </c>
      <c r="E880" s="136" t="s">
        <v>166</v>
      </c>
      <c r="F880" s="137" t="s">
        <v>164</v>
      </c>
      <c r="G880" s="138">
        <v>0.09</v>
      </c>
      <c r="H880" s="139">
        <f>'DAFTAR HARGA'!I11</f>
        <v>120000</v>
      </c>
      <c r="I880" s="167">
        <f>G880*H880</f>
        <v>10800</v>
      </c>
    </row>
    <row r="881" spans="1:9">
      <c r="A881" s="118"/>
      <c r="B881" s="118"/>
      <c r="C881" s="134">
        <v>3</v>
      </c>
      <c r="D881" s="135" t="s">
        <v>204</v>
      </c>
      <c r="E881" s="136" t="s">
        <v>168</v>
      </c>
      <c r="F881" s="137" t="s">
        <v>164</v>
      </c>
      <c r="G881" s="138">
        <v>0.009</v>
      </c>
      <c r="H881" s="139">
        <f>'DAFTAR HARGA'!I10</f>
        <v>170000</v>
      </c>
      <c r="I881" s="167">
        <f>G881*H881</f>
        <v>1530</v>
      </c>
    </row>
    <row r="882" spans="1:9">
      <c r="A882" s="118"/>
      <c r="B882" s="118"/>
      <c r="C882" s="140">
        <v>4</v>
      </c>
      <c r="D882" s="141" t="s">
        <v>169</v>
      </c>
      <c r="E882" s="142" t="s">
        <v>170</v>
      </c>
      <c r="F882" s="137" t="s">
        <v>164</v>
      </c>
      <c r="G882" s="143">
        <v>0.003</v>
      </c>
      <c r="H882" s="139">
        <f>'DAFTAR HARGA'!I8</f>
        <v>215000</v>
      </c>
      <c r="I882" s="167">
        <f>G882*H882</f>
        <v>645</v>
      </c>
    </row>
    <row r="883" spans="1:9">
      <c r="A883" s="118"/>
      <c r="B883" s="118"/>
      <c r="C883" s="152" t="s">
        <v>171</v>
      </c>
      <c r="D883" s="153"/>
      <c r="E883" s="153"/>
      <c r="F883" s="153"/>
      <c r="G883" s="153"/>
      <c r="H883" s="189"/>
      <c r="I883" s="168">
        <f>SUM(I879:I882)</f>
        <v>17835</v>
      </c>
    </row>
    <row r="884" spans="1:9">
      <c r="A884" s="118"/>
      <c r="B884" s="118"/>
      <c r="C884" s="147" t="s">
        <v>172</v>
      </c>
      <c r="D884" s="130" t="s">
        <v>173</v>
      </c>
      <c r="E884" s="148"/>
      <c r="F884" s="132"/>
      <c r="G884" s="132"/>
      <c r="H884" s="131"/>
      <c r="I884" s="166"/>
    </row>
    <row r="885" spans="1:9">
      <c r="A885" s="118"/>
      <c r="B885" s="118"/>
      <c r="C885" s="134">
        <v>1</v>
      </c>
      <c r="D885" s="135" t="s">
        <v>357</v>
      </c>
      <c r="E885" s="136"/>
      <c r="F885" s="137" t="s">
        <v>358</v>
      </c>
      <c r="G885" s="137">
        <v>1.2</v>
      </c>
      <c r="H885" s="149">
        <f>'DAFTAR HARGA'!I102/4</f>
        <v>36700</v>
      </c>
      <c r="I885" s="191">
        <f>G885*H885</f>
        <v>44040</v>
      </c>
    </row>
    <row r="886" spans="1:9">
      <c r="A886" s="118"/>
      <c r="B886" s="118"/>
      <c r="C886" s="134">
        <v>2</v>
      </c>
      <c r="D886" s="135" t="s">
        <v>343</v>
      </c>
      <c r="E886" s="136"/>
      <c r="F886" s="137" t="s">
        <v>344</v>
      </c>
      <c r="G886" s="138">
        <v>0.35</v>
      </c>
      <c r="H886" s="149">
        <f>H885*0.35</f>
        <v>12845</v>
      </c>
      <c r="I886" s="167">
        <f>G886*H886</f>
        <v>4495.75</v>
      </c>
    </row>
    <row r="887" spans="1:9">
      <c r="A887" s="118"/>
      <c r="B887" s="118"/>
      <c r="C887" s="152" t="s">
        <v>178</v>
      </c>
      <c r="D887" s="153"/>
      <c r="E887" s="153"/>
      <c r="F887" s="153"/>
      <c r="G887" s="153"/>
      <c r="H887" s="189"/>
      <c r="I887" s="169">
        <f>SUM(I885:I886)</f>
        <v>48535.75</v>
      </c>
    </row>
    <row r="888" spans="1:9">
      <c r="A888" s="115"/>
      <c r="B888" s="115"/>
      <c r="C888" s="147" t="s">
        <v>179</v>
      </c>
      <c r="D888" s="130" t="s">
        <v>180</v>
      </c>
      <c r="E888" s="148"/>
      <c r="F888" s="132"/>
      <c r="G888" s="132"/>
      <c r="H888" s="133"/>
      <c r="I888" s="166"/>
    </row>
    <row r="889" spans="1:9">
      <c r="A889" s="115"/>
      <c r="B889" s="115"/>
      <c r="C889" s="140"/>
      <c r="D889" s="141"/>
      <c r="E889" s="142"/>
      <c r="F889" s="150"/>
      <c r="G889" s="154"/>
      <c r="H889" s="144"/>
      <c r="I889" s="170"/>
    </row>
    <row r="890" spans="1:9">
      <c r="A890" s="115"/>
      <c r="B890" s="115"/>
      <c r="C890" s="152" t="s">
        <v>181</v>
      </c>
      <c r="D890" s="153"/>
      <c r="E890" s="153"/>
      <c r="F890" s="153"/>
      <c r="G890" s="153"/>
      <c r="H890" s="189"/>
      <c r="I890" s="171">
        <f>SUM(I889)</f>
        <v>0</v>
      </c>
    </row>
    <row r="891" spans="1:9">
      <c r="A891" s="115"/>
      <c r="B891" s="115"/>
      <c r="C891" s="127" t="s">
        <v>182</v>
      </c>
      <c r="D891" s="155" t="s">
        <v>183</v>
      </c>
      <c r="E891" s="156"/>
      <c r="F891" s="157"/>
      <c r="G891" s="157"/>
      <c r="H891" s="158"/>
      <c r="I891" s="171">
        <f>SUM(I883,I887,I890)</f>
        <v>66370.75</v>
      </c>
    </row>
    <row r="892" spans="1:9">
      <c r="A892" s="115"/>
      <c r="B892" s="115"/>
      <c r="C892" s="127" t="s">
        <v>184</v>
      </c>
      <c r="D892" s="155" t="s">
        <v>185</v>
      </c>
      <c r="E892" s="156"/>
      <c r="F892" s="159">
        <v>0.15</v>
      </c>
      <c r="G892" s="157" t="s">
        <v>186</v>
      </c>
      <c r="H892" s="158"/>
      <c r="I892" s="171">
        <f>I891*F892</f>
        <v>9955.6125</v>
      </c>
    </row>
    <row r="893" spans="1:9">
      <c r="A893" s="115"/>
      <c r="B893" s="115"/>
      <c r="C893" s="160" t="s">
        <v>187</v>
      </c>
      <c r="D893" s="161" t="s">
        <v>188</v>
      </c>
      <c r="E893" s="124"/>
      <c r="F893" s="125"/>
      <c r="G893" s="125"/>
      <c r="H893" s="162"/>
      <c r="I893" s="172">
        <f>SUM(I891:I892)</f>
        <v>76326.3625</v>
      </c>
    </row>
    <row r="894" spans="1:9">
      <c r="A894" s="110"/>
      <c r="B894" s="2"/>
      <c r="C894" s="180"/>
      <c r="D894" s="175"/>
      <c r="E894" s="115"/>
      <c r="F894" s="184"/>
      <c r="G894" s="187"/>
      <c r="H894" s="183"/>
      <c r="I894" s="186"/>
    </row>
    <row r="895" spans="1:9">
      <c r="A895" s="118" t="s">
        <v>359</v>
      </c>
      <c r="C895" s="64" t="s">
        <v>360</v>
      </c>
      <c r="D895" s="175"/>
      <c r="E895" s="175"/>
      <c r="F895" s="175"/>
      <c r="G895" s="175"/>
      <c r="H895" s="175"/>
      <c r="I895" s="178"/>
    </row>
    <row r="896" spans="1:9">
      <c r="A896" s="118"/>
      <c r="B896" s="118"/>
      <c r="C896" s="123" t="s">
        <v>108</v>
      </c>
      <c r="D896" s="124" t="s">
        <v>109</v>
      </c>
      <c r="E896" s="124" t="s">
        <v>156</v>
      </c>
      <c r="F896" s="125" t="s">
        <v>157</v>
      </c>
      <c r="G896" s="125" t="s">
        <v>158</v>
      </c>
      <c r="H896" s="126" t="s">
        <v>159</v>
      </c>
      <c r="I896" s="165" t="s">
        <v>160</v>
      </c>
    </row>
    <row r="897" spans="1:9">
      <c r="A897" s="118"/>
      <c r="B897" s="118"/>
      <c r="C897" s="127">
        <v>1</v>
      </c>
      <c r="D897" s="127">
        <v>2</v>
      </c>
      <c r="E897" s="127">
        <v>3</v>
      </c>
      <c r="F897" s="127">
        <v>4</v>
      </c>
      <c r="G897" s="127">
        <v>5</v>
      </c>
      <c r="H897" s="128">
        <v>6</v>
      </c>
      <c r="I897" s="127">
        <v>7</v>
      </c>
    </row>
    <row r="898" spans="1:9">
      <c r="A898" s="118"/>
      <c r="B898" s="118"/>
      <c r="C898" s="129" t="s">
        <v>4</v>
      </c>
      <c r="D898" s="130" t="s">
        <v>161</v>
      </c>
      <c r="E898" s="130"/>
      <c r="F898" s="131"/>
      <c r="G898" s="132"/>
      <c r="H898" s="133"/>
      <c r="I898" s="166"/>
    </row>
    <row r="899" spans="1:9">
      <c r="A899" s="118"/>
      <c r="B899" s="118"/>
      <c r="C899" s="134">
        <v>1</v>
      </c>
      <c r="D899" s="135" t="s">
        <v>333</v>
      </c>
      <c r="E899" s="136" t="s">
        <v>163</v>
      </c>
      <c r="F899" s="137" t="s">
        <v>164</v>
      </c>
      <c r="G899" s="138">
        <v>0.036</v>
      </c>
      <c r="H899" s="139">
        <f>H879</f>
        <v>90000</v>
      </c>
      <c r="I899" s="167">
        <f>G899*H899</f>
        <v>3240</v>
      </c>
    </row>
    <row r="900" spans="1:9">
      <c r="A900" s="118"/>
      <c r="B900" s="118"/>
      <c r="C900" s="134">
        <v>2</v>
      </c>
      <c r="D900" s="135" t="s">
        <v>203</v>
      </c>
      <c r="E900" s="136" t="s">
        <v>166</v>
      </c>
      <c r="F900" s="137" t="s">
        <v>164</v>
      </c>
      <c r="G900" s="138">
        <v>0.06</v>
      </c>
      <c r="H900" s="139">
        <f>H880</f>
        <v>120000</v>
      </c>
      <c r="I900" s="167">
        <f>G900*H900</f>
        <v>7200</v>
      </c>
    </row>
    <row r="901" spans="1:9">
      <c r="A901" s="118"/>
      <c r="B901" s="118"/>
      <c r="C901" s="134">
        <v>3</v>
      </c>
      <c r="D901" s="135" t="s">
        <v>204</v>
      </c>
      <c r="E901" s="136" t="s">
        <v>168</v>
      </c>
      <c r="F901" s="137" t="s">
        <v>164</v>
      </c>
      <c r="G901" s="138">
        <v>0.006</v>
      </c>
      <c r="H901" s="139">
        <f>H881</f>
        <v>170000</v>
      </c>
      <c r="I901" s="167">
        <f>G901*H901</f>
        <v>1020</v>
      </c>
    </row>
    <row r="902" spans="1:9">
      <c r="A902" s="118"/>
      <c r="B902" s="118"/>
      <c r="C902" s="140">
        <v>4</v>
      </c>
      <c r="D902" s="141" t="s">
        <v>169</v>
      </c>
      <c r="E902" s="142" t="s">
        <v>170</v>
      </c>
      <c r="F902" s="137" t="s">
        <v>164</v>
      </c>
      <c r="G902" s="143">
        <v>0.002</v>
      </c>
      <c r="H902" s="139">
        <f>H882</f>
        <v>215000</v>
      </c>
      <c r="I902" s="167">
        <f>G902*H902</f>
        <v>430</v>
      </c>
    </row>
    <row r="903" spans="1:9">
      <c r="A903" s="118"/>
      <c r="B903" s="118"/>
      <c r="C903" s="152" t="s">
        <v>171</v>
      </c>
      <c r="D903" s="153"/>
      <c r="E903" s="153"/>
      <c r="F903" s="153"/>
      <c r="G903" s="153"/>
      <c r="H903" s="189"/>
      <c r="I903" s="168">
        <f>SUM(I899:I902)</f>
        <v>11890</v>
      </c>
    </row>
    <row r="904" spans="1:9">
      <c r="A904" s="118"/>
      <c r="B904" s="118"/>
      <c r="C904" s="147" t="s">
        <v>172</v>
      </c>
      <c r="D904" s="130" t="s">
        <v>173</v>
      </c>
      <c r="E904" s="148"/>
      <c r="F904" s="132"/>
      <c r="G904" s="132"/>
      <c r="H904" s="131"/>
      <c r="I904" s="166"/>
    </row>
    <row r="905" spans="1:9">
      <c r="A905" s="118"/>
      <c r="B905" s="118"/>
      <c r="C905" s="134">
        <v>1</v>
      </c>
      <c r="D905" s="135" t="s">
        <v>361</v>
      </c>
      <c r="E905" s="136"/>
      <c r="F905" s="137" t="s">
        <v>358</v>
      </c>
      <c r="G905" s="137">
        <v>1.2</v>
      </c>
      <c r="H905" s="149">
        <f>'DAFTAR HARGA'!I101/4</f>
        <v>9775</v>
      </c>
      <c r="I905" s="167">
        <f>G905*H905</f>
        <v>11730</v>
      </c>
    </row>
    <row r="906" spans="1:9">
      <c r="A906" s="118"/>
      <c r="B906" s="118"/>
      <c r="C906" s="134">
        <v>2</v>
      </c>
      <c r="D906" s="135" t="s">
        <v>343</v>
      </c>
      <c r="E906" s="136"/>
      <c r="F906" s="137" t="s">
        <v>344</v>
      </c>
      <c r="G906" s="138">
        <v>0.35</v>
      </c>
      <c r="H906" s="149">
        <f>H905*0.35</f>
        <v>3421.25</v>
      </c>
      <c r="I906" s="167">
        <f>G906*H906</f>
        <v>1197.4375</v>
      </c>
    </row>
    <row r="907" spans="1:9">
      <c r="A907" s="118"/>
      <c r="B907" s="118"/>
      <c r="C907" s="152" t="s">
        <v>178</v>
      </c>
      <c r="D907" s="153"/>
      <c r="E907" s="153"/>
      <c r="F907" s="153"/>
      <c r="G907" s="153"/>
      <c r="H907" s="189"/>
      <c r="I907" s="169">
        <f>SUM(I905:I906)</f>
        <v>12927.4375</v>
      </c>
    </row>
    <row r="908" spans="1:9">
      <c r="A908" s="115"/>
      <c r="B908" s="115"/>
      <c r="C908" s="147" t="s">
        <v>179</v>
      </c>
      <c r="D908" s="130" t="s">
        <v>180</v>
      </c>
      <c r="E908" s="148"/>
      <c r="F908" s="132"/>
      <c r="G908" s="132"/>
      <c r="H908" s="133"/>
      <c r="I908" s="166"/>
    </row>
    <row r="909" spans="1:9">
      <c r="A909" s="115"/>
      <c r="B909" s="115"/>
      <c r="C909" s="140"/>
      <c r="D909" s="141"/>
      <c r="E909" s="142"/>
      <c r="F909" s="150"/>
      <c r="G909" s="154"/>
      <c r="H909" s="144"/>
      <c r="I909" s="170"/>
    </row>
    <row r="910" spans="1:9">
      <c r="A910" s="115"/>
      <c r="B910" s="115"/>
      <c r="C910" s="152" t="s">
        <v>181</v>
      </c>
      <c r="D910" s="153"/>
      <c r="E910" s="153"/>
      <c r="F910" s="153"/>
      <c r="G910" s="153"/>
      <c r="H910" s="189"/>
      <c r="I910" s="171">
        <f>SUM(I909)</f>
        <v>0</v>
      </c>
    </row>
    <row r="911" spans="1:9">
      <c r="A911" s="115"/>
      <c r="B911" s="115"/>
      <c r="C911" s="127" t="s">
        <v>182</v>
      </c>
      <c r="D911" s="155" t="s">
        <v>183</v>
      </c>
      <c r="E911" s="156"/>
      <c r="F911" s="157"/>
      <c r="G911" s="157"/>
      <c r="H911" s="158"/>
      <c r="I911" s="171">
        <f>SUM(I903,I907,I910)</f>
        <v>24817.4375</v>
      </c>
    </row>
    <row r="912" spans="1:9">
      <c r="A912" s="115"/>
      <c r="B912" s="115"/>
      <c r="C912" s="127" t="s">
        <v>184</v>
      </c>
      <c r="D912" s="155" t="s">
        <v>185</v>
      </c>
      <c r="E912" s="156"/>
      <c r="F912" s="159">
        <v>0.15</v>
      </c>
      <c r="G912" s="157" t="s">
        <v>186</v>
      </c>
      <c r="H912" s="158"/>
      <c r="I912" s="171">
        <f>I911*F912</f>
        <v>3722.615625</v>
      </c>
    </row>
    <row r="913" spans="1:9">
      <c r="A913" s="115"/>
      <c r="B913" s="115"/>
      <c r="C913" s="160" t="s">
        <v>187</v>
      </c>
      <c r="D913" s="161" t="s">
        <v>188</v>
      </c>
      <c r="E913" s="124"/>
      <c r="F913" s="125"/>
      <c r="G913" s="125"/>
      <c r="H913" s="162"/>
      <c r="I913" s="172">
        <f>SUM(I911:I912)</f>
        <v>28540.053125</v>
      </c>
    </row>
    <row r="914" spans="1:9">
      <c r="A914" s="115"/>
      <c r="B914" s="115"/>
      <c r="C914" s="116"/>
      <c r="D914" s="117"/>
      <c r="E914" s="118"/>
      <c r="F914" s="119"/>
      <c r="G914" s="119"/>
      <c r="H914" s="120"/>
      <c r="I914" s="164"/>
    </row>
    <row r="915" spans="1:9">
      <c r="A915" s="110"/>
      <c r="B915" s="2"/>
      <c r="C915" s="180"/>
      <c r="D915" s="175"/>
      <c r="E915" s="115"/>
      <c r="F915" s="184"/>
      <c r="G915" s="187"/>
      <c r="H915" s="183"/>
      <c r="I915" s="186"/>
    </row>
    <row r="916" spans="1:9">
      <c r="A916" s="118" t="s">
        <v>362</v>
      </c>
      <c r="C916" s="64" t="s">
        <v>363</v>
      </c>
      <c r="D916" s="175"/>
      <c r="E916" s="175"/>
      <c r="F916" s="175"/>
      <c r="G916" s="175"/>
      <c r="H916" s="175"/>
      <c r="I916" s="178"/>
    </row>
    <row r="917" spans="1:9">
      <c r="A917" s="118"/>
      <c r="B917" s="118"/>
      <c r="C917" s="123" t="s">
        <v>108</v>
      </c>
      <c r="D917" s="124" t="s">
        <v>109</v>
      </c>
      <c r="E917" s="124" t="s">
        <v>156</v>
      </c>
      <c r="F917" s="125" t="s">
        <v>157</v>
      </c>
      <c r="G917" s="125" t="s">
        <v>158</v>
      </c>
      <c r="H917" s="126" t="s">
        <v>159</v>
      </c>
      <c r="I917" s="165" t="s">
        <v>160</v>
      </c>
    </row>
    <row r="918" spans="1:9">
      <c r="A918" s="118"/>
      <c r="B918" s="118"/>
      <c r="C918" s="127">
        <v>1</v>
      </c>
      <c r="D918" s="127">
        <v>2</v>
      </c>
      <c r="E918" s="127">
        <v>3</v>
      </c>
      <c r="F918" s="127">
        <v>4</v>
      </c>
      <c r="G918" s="127">
        <v>5</v>
      </c>
      <c r="H918" s="128">
        <v>6</v>
      </c>
      <c r="I918" s="127">
        <v>7</v>
      </c>
    </row>
    <row r="919" spans="1:9">
      <c r="A919" s="118"/>
      <c r="B919" s="118"/>
      <c r="C919" s="129" t="s">
        <v>4</v>
      </c>
      <c r="D919" s="130" t="s">
        <v>161</v>
      </c>
      <c r="E919" s="130"/>
      <c r="F919" s="131"/>
      <c r="G919" s="132"/>
      <c r="H919" s="133"/>
      <c r="I919" s="166"/>
    </row>
    <row r="920" spans="1:9">
      <c r="A920" s="118"/>
      <c r="B920" s="118"/>
      <c r="C920" s="134">
        <v>1</v>
      </c>
      <c r="D920" s="135" t="s">
        <v>333</v>
      </c>
      <c r="E920" s="136" t="s">
        <v>163</v>
      </c>
      <c r="F920" s="137" t="s">
        <v>164</v>
      </c>
      <c r="G920" s="138">
        <v>0.081</v>
      </c>
      <c r="H920" s="139">
        <f>H899</f>
        <v>90000</v>
      </c>
      <c r="I920" s="167">
        <f>G920*H920</f>
        <v>7290</v>
      </c>
    </row>
    <row r="921" spans="1:9">
      <c r="A921" s="118"/>
      <c r="B921" s="118"/>
      <c r="C921" s="134">
        <v>2</v>
      </c>
      <c r="D921" s="135" t="s">
        <v>203</v>
      </c>
      <c r="E921" s="136" t="s">
        <v>166</v>
      </c>
      <c r="F921" s="137" t="s">
        <v>164</v>
      </c>
      <c r="G921" s="138">
        <v>0.135</v>
      </c>
      <c r="H921" s="139">
        <f>H900</f>
        <v>120000</v>
      </c>
      <c r="I921" s="167">
        <f>G921*H921</f>
        <v>16200</v>
      </c>
    </row>
    <row r="922" spans="1:9">
      <c r="A922" s="118"/>
      <c r="B922" s="118"/>
      <c r="C922" s="134">
        <v>3</v>
      </c>
      <c r="D922" s="135" t="s">
        <v>204</v>
      </c>
      <c r="E922" s="136" t="s">
        <v>168</v>
      </c>
      <c r="F922" s="137" t="s">
        <v>164</v>
      </c>
      <c r="G922" s="138">
        <v>0.0135</v>
      </c>
      <c r="H922" s="139">
        <f>H901</f>
        <v>170000</v>
      </c>
      <c r="I922" s="167">
        <f>G922*H922</f>
        <v>2295</v>
      </c>
    </row>
    <row r="923" spans="1:9">
      <c r="A923" s="118"/>
      <c r="B923" s="118"/>
      <c r="C923" s="140">
        <v>4</v>
      </c>
      <c r="D923" s="141" t="s">
        <v>169</v>
      </c>
      <c r="E923" s="142" t="s">
        <v>170</v>
      </c>
      <c r="F923" s="137" t="s">
        <v>164</v>
      </c>
      <c r="G923" s="143">
        <v>0.004</v>
      </c>
      <c r="H923" s="139">
        <f>H902</f>
        <v>215000</v>
      </c>
      <c r="I923" s="167">
        <f>G923*H923</f>
        <v>860</v>
      </c>
    </row>
    <row r="924" spans="1:9">
      <c r="A924" s="118"/>
      <c r="B924" s="118"/>
      <c r="C924" s="152" t="s">
        <v>171</v>
      </c>
      <c r="D924" s="153"/>
      <c r="E924" s="153"/>
      <c r="F924" s="153"/>
      <c r="G924" s="153"/>
      <c r="H924" s="189"/>
      <c r="I924" s="168">
        <f>SUM(I920:I923)</f>
        <v>26645</v>
      </c>
    </row>
    <row r="925" spans="1:9">
      <c r="A925" s="118"/>
      <c r="B925" s="118"/>
      <c r="C925" s="147" t="s">
        <v>172</v>
      </c>
      <c r="D925" s="130" t="s">
        <v>173</v>
      </c>
      <c r="E925" s="148"/>
      <c r="F925" s="132"/>
      <c r="G925" s="132"/>
      <c r="H925" s="131"/>
      <c r="I925" s="166"/>
    </row>
    <row r="926" spans="1:9">
      <c r="A926" s="118"/>
      <c r="B926" s="118"/>
      <c r="C926" s="134">
        <v>1</v>
      </c>
      <c r="D926" s="135" t="s">
        <v>364</v>
      </c>
      <c r="E926" s="136"/>
      <c r="F926" s="137" t="s">
        <v>358</v>
      </c>
      <c r="G926" s="137">
        <v>1.2</v>
      </c>
      <c r="H926" s="149">
        <f>'DAFTAR HARGA'!I103/4</f>
        <v>42100</v>
      </c>
      <c r="I926" s="167">
        <f>G926*H926</f>
        <v>50520</v>
      </c>
    </row>
    <row r="927" spans="1:9">
      <c r="A927" s="118"/>
      <c r="B927" s="118"/>
      <c r="C927" s="134">
        <v>2</v>
      </c>
      <c r="D927" s="135" t="s">
        <v>343</v>
      </c>
      <c r="E927" s="136"/>
      <c r="F927" s="137" t="s">
        <v>344</v>
      </c>
      <c r="G927" s="138">
        <v>0.35</v>
      </c>
      <c r="H927" s="149">
        <f>H926*0.35</f>
        <v>14735</v>
      </c>
      <c r="I927" s="167">
        <f>G927*H927</f>
        <v>5157.25</v>
      </c>
    </row>
    <row r="928" spans="1:9">
      <c r="A928" s="118"/>
      <c r="B928" s="118"/>
      <c r="C928" s="152" t="s">
        <v>178</v>
      </c>
      <c r="D928" s="153"/>
      <c r="E928" s="153"/>
      <c r="F928" s="153"/>
      <c r="G928" s="153"/>
      <c r="H928" s="189"/>
      <c r="I928" s="169">
        <f>SUM(I926:I927)</f>
        <v>55677.25</v>
      </c>
    </row>
    <row r="929" spans="1:9">
      <c r="A929" s="115"/>
      <c r="B929" s="115"/>
      <c r="C929" s="147" t="s">
        <v>179</v>
      </c>
      <c r="D929" s="130" t="s">
        <v>180</v>
      </c>
      <c r="E929" s="148"/>
      <c r="F929" s="132"/>
      <c r="G929" s="132"/>
      <c r="H929" s="133"/>
      <c r="I929" s="166"/>
    </row>
    <row r="930" spans="1:9">
      <c r="A930" s="115"/>
      <c r="B930" s="115"/>
      <c r="C930" s="140"/>
      <c r="D930" s="141"/>
      <c r="E930" s="142"/>
      <c r="F930" s="150"/>
      <c r="G930" s="154"/>
      <c r="H930" s="144"/>
      <c r="I930" s="170"/>
    </row>
    <row r="931" spans="1:9">
      <c r="A931" s="115"/>
      <c r="B931" s="115"/>
      <c r="C931" s="152" t="s">
        <v>181</v>
      </c>
      <c r="D931" s="153"/>
      <c r="E931" s="153"/>
      <c r="F931" s="153"/>
      <c r="G931" s="153"/>
      <c r="H931" s="189"/>
      <c r="I931" s="171">
        <f>SUM(I930)</f>
        <v>0</v>
      </c>
    </row>
    <row r="932" spans="1:9">
      <c r="A932" s="115"/>
      <c r="B932" s="115"/>
      <c r="C932" s="127" t="s">
        <v>182</v>
      </c>
      <c r="D932" s="155" t="s">
        <v>183</v>
      </c>
      <c r="E932" s="156"/>
      <c r="F932" s="157"/>
      <c r="G932" s="157"/>
      <c r="H932" s="158"/>
      <c r="I932" s="171">
        <f>SUM(I924,I928,I931)</f>
        <v>82322.25</v>
      </c>
    </row>
    <row r="933" spans="1:9">
      <c r="A933" s="115"/>
      <c r="B933" s="115"/>
      <c r="C933" s="127" t="s">
        <v>184</v>
      </c>
      <c r="D933" s="155" t="s">
        <v>185</v>
      </c>
      <c r="E933" s="156"/>
      <c r="F933" s="159">
        <v>0.15</v>
      </c>
      <c r="G933" s="157" t="s">
        <v>186</v>
      </c>
      <c r="H933" s="158"/>
      <c r="I933" s="171">
        <f>I932*F933</f>
        <v>12348.3375</v>
      </c>
    </row>
    <row r="934" spans="1:9">
      <c r="A934" s="115"/>
      <c r="B934" s="115"/>
      <c r="C934" s="160" t="s">
        <v>187</v>
      </c>
      <c r="D934" s="161" t="s">
        <v>188</v>
      </c>
      <c r="E934" s="124"/>
      <c r="F934" s="125"/>
      <c r="G934" s="125"/>
      <c r="H934" s="162"/>
      <c r="I934" s="172">
        <f>SUM(I932:I933)</f>
        <v>94670.5875</v>
      </c>
    </row>
    <row r="935" spans="1:9">
      <c r="A935" s="115"/>
      <c r="B935" s="115"/>
      <c r="C935" s="116"/>
      <c r="D935" s="117"/>
      <c r="E935" s="118"/>
      <c r="F935" s="119"/>
      <c r="G935" s="119"/>
      <c r="H935" s="120"/>
      <c r="I935" s="164"/>
    </row>
    <row r="936" spans="1:9">
      <c r="A936" s="118" t="s">
        <v>365</v>
      </c>
      <c r="C936" s="64" t="s">
        <v>366</v>
      </c>
      <c r="D936" s="175"/>
      <c r="E936" s="175"/>
      <c r="F936" s="175"/>
      <c r="G936" s="175"/>
      <c r="H936" s="175"/>
      <c r="I936" s="178"/>
    </row>
    <row r="937" spans="1:9">
      <c r="A937" s="118"/>
      <c r="B937" s="118"/>
      <c r="C937" s="123" t="s">
        <v>108</v>
      </c>
      <c r="D937" s="124" t="s">
        <v>109</v>
      </c>
      <c r="E937" s="124" t="s">
        <v>156</v>
      </c>
      <c r="F937" s="125" t="s">
        <v>157</v>
      </c>
      <c r="G937" s="125" t="s">
        <v>158</v>
      </c>
      <c r="H937" s="126" t="s">
        <v>159</v>
      </c>
      <c r="I937" s="165" t="s">
        <v>160</v>
      </c>
    </row>
    <row r="938" spans="1:9">
      <c r="A938" s="118"/>
      <c r="B938" s="118"/>
      <c r="C938" s="127">
        <v>1</v>
      </c>
      <c r="D938" s="127">
        <v>2</v>
      </c>
      <c r="E938" s="127">
        <v>3</v>
      </c>
      <c r="F938" s="127">
        <v>4</v>
      </c>
      <c r="G938" s="127">
        <v>5</v>
      </c>
      <c r="H938" s="128">
        <v>6</v>
      </c>
      <c r="I938" s="127">
        <v>7</v>
      </c>
    </row>
    <row r="939" spans="1:9">
      <c r="A939" s="118"/>
      <c r="B939" s="118"/>
      <c r="C939" s="129" t="s">
        <v>4</v>
      </c>
      <c r="D939" s="130" t="s">
        <v>161</v>
      </c>
      <c r="E939" s="130"/>
      <c r="F939" s="131"/>
      <c r="G939" s="132"/>
      <c r="H939" s="133"/>
      <c r="I939" s="166"/>
    </row>
    <row r="940" spans="1:9">
      <c r="A940" s="118"/>
      <c r="B940" s="118"/>
      <c r="C940" s="134">
        <v>1</v>
      </c>
      <c r="D940" s="135" t="s">
        <v>333</v>
      </c>
      <c r="E940" s="136" t="s">
        <v>163</v>
      </c>
      <c r="F940" s="137" t="s">
        <v>164</v>
      </c>
      <c r="G940" s="138">
        <v>0.081</v>
      </c>
      <c r="H940" s="139">
        <f>H920</f>
        <v>90000</v>
      </c>
      <c r="I940" s="167">
        <f>G940*H940</f>
        <v>7290</v>
      </c>
    </row>
    <row r="941" spans="1:9">
      <c r="A941" s="118"/>
      <c r="B941" s="118"/>
      <c r="C941" s="134">
        <v>2</v>
      </c>
      <c r="D941" s="135" t="s">
        <v>203</v>
      </c>
      <c r="E941" s="136" t="s">
        <v>166</v>
      </c>
      <c r="F941" s="137" t="s">
        <v>164</v>
      </c>
      <c r="G941" s="138">
        <v>0.135</v>
      </c>
      <c r="H941" s="139">
        <f>H921</f>
        <v>120000</v>
      </c>
      <c r="I941" s="167">
        <f>G941*H941</f>
        <v>16200</v>
      </c>
    </row>
    <row r="942" spans="1:9">
      <c r="A942" s="118"/>
      <c r="B942" s="118"/>
      <c r="C942" s="134">
        <v>3</v>
      </c>
      <c r="D942" s="135" t="s">
        <v>204</v>
      </c>
      <c r="E942" s="136" t="s">
        <v>168</v>
      </c>
      <c r="F942" s="137" t="s">
        <v>164</v>
      </c>
      <c r="G942" s="138">
        <v>0.0135</v>
      </c>
      <c r="H942" s="139">
        <f>H922</f>
        <v>170000</v>
      </c>
      <c r="I942" s="167">
        <f>G942*H942</f>
        <v>2295</v>
      </c>
    </row>
    <row r="943" spans="1:9">
      <c r="A943" s="118"/>
      <c r="B943" s="118"/>
      <c r="C943" s="140">
        <v>4</v>
      </c>
      <c r="D943" s="141" t="s">
        <v>169</v>
      </c>
      <c r="E943" s="142" t="s">
        <v>170</v>
      </c>
      <c r="F943" s="137" t="s">
        <v>164</v>
      </c>
      <c r="G943" s="143">
        <v>0.004</v>
      </c>
      <c r="H943" s="139">
        <f>H923</f>
        <v>215000</v>
      </c>
      <c r="I943" s="167">
        <f>G943*H943</f>
        <v>860</v>
      </c>
    </row>
    <row r="944" spans="1:9">
      <c r="A944" s="118"/>
      <c r="B944" s="118"/>
      <c r="C944" s="152" t="s">
        <v>171</v>
      </c>
      <c r="D944" s="153"/>
      <c r="E944" s="153"/>
      <c r="F944" s="153"/>
      <c r="G944" s="153"/>
      <c r="H944" s="189"/>
      <c r="I944" s="168">
        <f>SUM(I940:I943)</f>
        <v>26645</v>
      </c>
    </row>
    <row r="945" spans="1:9">
      <c r="A945" s="118"/>
      <c r="B945" s="118"/>
      <c r="C945" s="147" t="s">
        <v>172</v>
      </c>
      <c r="D945" s="130" t="s">
        <v>173</v>
      </c>
      <c r="E945" s="148"/>
      <c r="F945" s="132"/>
      <c r="G945" s="132"/>
      <c r="H945" s="131"/>
      <c r="I945" s="166"/>
    </row>
    <row r="946" spans="1:9">
      <c r="A946" s="118"/>
      <c r="B946" s="118"/>
      <c r="C946" s="134">
        <v>1</v>
      </c>
      <c r="D946" s="135" t="s">
        <v>367</v>
      </c>
      <c r="E946" s="136"/>
      <c r="F946" s="137" t="s">
        <v>358</v>
      </c>
      <c r="G946" s="137">
        <v>1.2</v>
      </c>
      <c r="H946" s="149">
        <f>'DAFTAR HARGA'!I104/4</f>
        <v>72975</v>
      </c>
      <c r="I946" s="167">
        <f>G946*H946</f>
        <v>87570</v>
      </c>
    </row>
    <row r="947" spans="1:9">
      <c r="A947" s="118"/>
      <c r="B947" s="118"/>
      <c r="C947" s="134">
        <v>2</v>
      </c>
      <c r="D947" s="135" t="s">
        <v>343</v>
      </c>
      <c r="E947" s="136"/>
      <c r="F947" s="137" t="s">
        <v>344</v>
      </c>
      <c r="G947" s="138">
        <v>0.35</v>
      </c>
      <c r="H947" s="149">
        <f>H946*0.35</f>
        <v>25541.25</v>
      </c>
      <c r="I947" s="167">
        <f>G947*H947</f>
        <v>8939.4375</v>
      </c>
    </row>
    <row r="948" spans="1:9">
      <c r="A948" s="118"/>
      <c r="B948" s="118"/>
      <c r="C948" s="152" t="s">
        <v>178</v>
      </c>
      <c r="D948" s="153"/>
      <c r="E948" s="153"/>
      <c r="F948" s="153"/>
      <c r="G948" s="153"/>
      <c r="H948" s="189"/>
      <c r="I948" s="169">
        <f>SUM(I946:I947)</f>
        <v>96509.4375</v>
      </c>
    </row>
    <row r="949" spans="1:9">
      <c r="A949" s="115"/>
      <c r="B949" s="115"/>
      <c r="C949" s="147" t="s">
        <v>179</v>
      </c>
      <c r="D949" s="130" t="s">
        <v>180</v>
      </c>
      <c r="E949" s="148"/>
      <c r="F949" s="132"/>
      <c r="G949" s="132"/>
      <c r="H949" s="133"/>
      <c r="I949" s="166"/>
    </row>
    <row r="950" spans="1:9">
      <c r="A950" s="115"/>
      <c r="B950" s="115"/>
      <c r="C950" s="140"/>
      <c r="D950" s="141"/>
      <c r="E950" s="142"/>
      <c r="F950" s="150"/>
      <c r="G950" s="154"/>
      <c r="H950" s="144"/>
      <c r="I950" s="170"/>
    </row>
    <row r="951" spans="1:9">
      <c r="A951" s="115"/>
      <c r="B951" s="115"/>
      <c r="C951" s="152" t="s">
        <v>181</v>
      </c>
      <c r="D951" s="153"/>
      <c r="E951" s="153"/>
      <c r="F951" s="153"/>
      <c r="G951" s="153"/>
      <c r="H951" s="189"/>
      <c r="I951" s="171">
        <f>SUM(I950)</f>
        <v>0</v>
      </c>
    </row>
    <row r="952" spans="1:9">
      <c r="A952" s="115"/>
      <c r="B952" s="115"/>
      <c r="C952" s="127" t="s">
        <v>182</v>
      </c>
      <c r="D952" s="155" t="s">
        <v>183</v>
      </c>
      <c r="E952" s="156"/>
      <c r="F952" s="157"/>
      <c r="G952" s="157"/>
      <c r="H952" s="158"/>
      <c r="I952" s="171">
        <f>SUM(I944,I948,I951)</f>
        <v>123154.4375</v>
      </c>
    </row>
    <row r="953" spans="1:9">
      <c r="A953" s="115"/>
      <c r="B953" s="115"/>
      <c r="C953" s="127" t="s">
        <v>184</v>
      </c>
      <c r="D953" s="155" t="s">
        <v>185</v>
      </c>
      <c r="E953" s="156"/>
      <c r="F953" s="159">
        <v>0.15</v>
      </c>
      <c r="G953" s="157" t="s">
        <v>186</v>
      </c>
      <c r="H953" s="158"/>
      <c r="I953" s="171">
        <f>I952*F953</f>
        <v>18473.165625</v>
      </c>
    </row>
    <row r="954" spans="1:9">
      <c r="A954" s="115"/>
      <c r="B954" s="115"/>
      <c r="C954" s="160" t="s">
        <v>187</v>
      </c>
      <c r="D954" s="161" t="s">
        <v>188</v>
      </c>
      <c r="E954" s="124"/>
      <c r="F954" s="125"/>
      <c r="G954" s="125"/>
      <c r="H954" s="162"/>
      <c r="I954" s="172">
        <f>SUM(I952:I953)</f>
        <v>141627.603125</v>
      </c>
    </row>
    <row r="955" spans="1:9">
      <c r="A955" s="110"/>
      <c r="B955" s="2"/>
      <c r="C955" s="180"/>
      <c r="D955" s="175"/>
      <c r="E955" s="115"/>
      <c r="F955" s="184"/>
      <c r="G955" s="187"/>
      <c r="H955" s="183"/>
      <c r="I955" s="186"/>
    </row>
    <row r="956" spans="1:9">
      <c r="A956" s="118" t="s">
        <v>368</v>
      </c>
      <c r="C956" s="64" t="s">
        <v>369</v>
      </c>
      <c r="D956" s="175"/>
      <c r="E956" s="175"/>
      <c r="F956" s="175"/>
      <c r="G956" s="175"/>
      <c r="H956" s="175"/>
      <c r="I956" s="178"/>
    </row>
    <row r="957" spans="1:9">
      <c r="A957" s="118"/>
      <c r="B957" s="118"/>
      <c r="C957" s="123" t="s">
        <v>108</v>
      </c>
      <c r="D957" s="124" t="s">
        <v>109</v>
      </c>
      <c r="E957" s="124" t="s">
        <v>156</v>
      </c>
      <c r="F957" s="125" t="s">
        <v>157</v>
      </c>
      <c r="G957" s="125" t="s">
        <v>158</v>
      </c>
      <c r="H957" s="126" t="s">
        <v>159</v>
      </c>
      <c r="I957" s="165" t="s">
        <v>160</v>
      </c>
    </row>
    <row r="958" spans="1:9">
      <c r="A958" s="118"/>
      <c r="B958" s="118"/>
      <c r="C958" s="127">
        <v>1</v>
      </c>
      <c r="D958" s="127">
        <v>2</v>
      </c>
      <c r="E958" s="127">
        <v>3</v>
      </c>
      <c r="F958" s="127">
        <v>4</v>
      </c>
      <c r="G958" s="127">
        <v>5</v>
      </c>
      <c r="H958" s="128">
        <v>6</v>
      </c>
      <c r="I958" s="127">
        <v>7</v>
      </c>
    </row>
    <row r="959" spans="1:9">
      <c r="A959" s="118"/>
      <c r="B959" s="118"/>
      <c r="C959" s="129" t="s">
        <v>4</v>
      </c>
      <c r="D959" s="130" t="s">
        <v>161</v>
      </c>
      <c r="E959" s="130"/>
      <c r="F959" s="131"/>
      <c r="G959" s="132"/>
      <c r="H959" s="133"/>
      <c r="I959" s="166"/>
    </row>
    <row r="960" spans="1:9">
      <c r="A960" s="118"/>
      <c r="B960" s="118"/>
      <c r="C960" s="134">
        <v>1</v>
      </c>
      <c r="D960" s="135" t="s">
        <v>333</v>
      </c>
      <c r="E960" s="136" t="s">
        <v>163</v>
      </c>
      <c r="F960" s="137" t="s">
        <v>164</v>
      </c>
      <c r="G960" s="138">
        <v>0.01</v>
      </c>
      <c r="H960" s="139">
        <f>H940</f>
        <v>90000</v>
      </c>
      <c r="I960" s="167">
        <f>G960*H960</f>
        <v>900</v>
      </c>
    </row>
    <row r="961" spans="1:9">
      <c r="A961" s="118"/>
      <c r="B961" s="118"/>
      <c r="C961" s="134">
        <v>2</v>
      </c>
      <c r="D961" s="135" t="s">
        <v>203</v>
      </c>
      <c r="E961" s="136" t="s">
        <v>166</v>
      </c>
      <c r="F961" s="137" t="s">
        <v>164</v>
      </c>
      <c r="G961" s="138">
        <v>0.4</v>
      </c>
      <c r="H961" s="139">
        <f>H941</f>
        <v>120000</v>
      </c>
      <c r="I961" s="167">
        <f>G961*H961</f>
        <v>48000</v>
      </c>
    </row>
    <row r="962" spans="1:9">
      <c r="A962" s="118"/>
      <c r="B962" s="118"/>
      <c r="C962" s="134">
        <v>3</v>
      </c>
      <c r="D962" s="135" t="s">
        <v>204</v>
      </c>
      <c r="E962" s="136" t="s">
        <v>168</v>
      </c>
      <c r="F962" s="137" t="s">
        <v>164</v>
      </c>
      <c r="G962" s="138">
        <v>0.04</v>
      </c>
      <c r="H962" s="139">
        <f>H942</f>
        <v>170000</v>
      </c>
      <c r="I962" s="167">
        <f>G962*H962</f>
        <v>6800</v>
      </c>
    </row>
    <row r="963" spans="1:9">
      <c r="A963" s="118"/>
      <c r="B963" s="118"/>
      <c r="C963" s="140">
        <v>4</v>
      </c>
      <c r="D963" s="141" t="s">
        <v>169</v>
      </c>
      <c r="E963" s="142" t="s">
        <v>170</v>
      </c>
      <c r="F963" s="137" t="s">
        <v>164</v>
      </c>
      <c r="G963" s="143">
        <v>0.005</v>
      </c>
      <c r="H963" s="139">
        <f>H943</f>
        <v>215000</v>
      </c>
      <c r="I963" s="167">
        <f>G963*H963</f>
        <v>1075</v>
      </c>
    </row>
    <row r="964" spans="1:9">
      <c r="A964" s="118"/>
      <c r="B964" s="118"/>
      <c r="C964" s="152" t="s">
        <v>171</v>
      </c>
      <c r="D964" s="153"/>
      <c r="E964" s="153"/>
      <c r="F964" s="153"/>
      <c r="G964" s="153"/>
      <c r="H964" s="189"/>
      <c r="I964" s="168">
        <f>SUM(I960:I963)</f>
        <v>56775</v>
      </c>
    </row>
    <row r="965" spans="1:9">
      <c r="A965" s="118"/>
      <c r="B965" s="118"/>
      <c r="C965" s="147" t="s">
        <v>172</v>
      </c>
      <c r="D965" s="130" t="s">
        <v>173</v>
      </c>
      <c r="E965" s="148"/>
      <c r="F965" s="132"/>
      <c r="G965" s="132"/>
      <c r="H965" s="131"/>
      <c r="I965" s="166"/>
    </row>
    <row r="966" spans="1:9">
      <c r="A966" s="118"/>
      <c r="B966" s="118"/>
      <c r="C966" s="134">
        <v>1</v>
      </c>
      <c r="D966" s="135" t="s">
        <v>370</v>
      </c>
      <c r="E966" s="136"/>
      <c r="F966" s="137" t="s">
        <v>371</v>
      </c>
      <c r="G966" s="137">
        <v>1</v>
      </c>
      <c r="H966" s="149">
        <f>'DAFTAR HARGA'!I70</f>
        <v>135000</v>
      </c>
      <c r="I966" s="167">
        <f>G966*H966</f>
        <v>135000</v>
      </c>
    </row>
    <row r="967" spans="1:9">
      <c r="A967" s="118"/>
      <c r="B967" s="118"/>
      <c r="C967" s="134">
        <v>2</v>
      </c>
      <c r="D967" s="135" t="s">
        <v>372</v>
      </c>
      <c r="E967" s="136"/>
      <c r="F967" s="137" t="s">
        <v>371</v>
      </c>
      <c r="G967" s="138">
        <v>0.025</v>
      </c>
      <c r="H967" s="149">
        <f>H966*0.035</f>
        <v>4725</v>
      </c>
      <c r="I967" s="167">
        <f>H967</f>
        <v>4725</v>
      </c>
    </row>
    <row r="968" spans="1:9">
      <c r="A968" s="118"/>
      <c r="B968" s="118"/>
      <c r="C968" s="152" t="s">
        <v>178</v>
      </c>
      <c r="D968" s="153"/>
      <c r="E968" s="153"/>
      <c r="F968" s="153"/>
      <c r="G968" s="153"/>
      <c r="H968" s="189"/>
      <c r="I968" s="169">
        <f>SUM(I966:I967)</f>
        <v>139725</v>
      </c>
    </row>
    <row r="969" spans="1:9">
      <c r="A969" s="115"/>
      <c r="B969" s="115"/>
      <c r="C969" s="147" t="s">
        <v>179</v>
      </c>
      <c r="D969" s="130" t="s">
        <v>180</v>
      </c>
      <c r="E969" s="148"/>
      <c r="F969" s="132"/>
      <c r="G969" s="132"/>
      <c r="H969" s="133"/>
      <c r="I969" s="166"/>
    </row>
    <row r="970" spans="1:9">
      <c r="A970" s="115"/>
      <c r="B970" s="115"/>
      <c r="C970" s="140"/>
      <c r="D970" s="141"/>
      <c r="E970" s="142"/>
      <c r="F970" s="150"/>
      <c r="G970" s="154"/>
      <c r="H970" s="144"/>
      <c r="I970" s="170"/>
    </row>
    <row r="971" spans="1:9">
      <c r="A971" s="115"/>
      <c r="B971" s="115"/>
      <c r="C971" s="152" t="s">
        <v>181</v>
      </c>
      <c r="D971" s="153"/>
      <c r="E971" s="153"/>
      <c r="F971" s="153"/>
      <c r="G971" s="153"/>
      <c r="H971" s="189"/>
      <c r="I971" s="171">
        <f>SUM(I970)</f>
        <v>0</v>
      </c>
    </row>
    <row r="972" spans="1:9">
      <c r="A972" s="115"/>
      <c r="B972" s="115"/>
      <c r="C972" s="127" t="s">
        <v>182</v>
      </c>
      <c r="D972" s="155" t="s">
        <v>183</v>
      </c>
      <c r="E972" s="156"/>
      <c r="F972" s="157"/>
      <c r="G972" s="157"/>
      <c r="H972" s="158"/>
      <c r="I972" s="171">
        <f>SUM(I964,I968,I971)</f>
        <v>196500</v>
      </c>
    </row>
    <row r="973" spans="1:9">
      <c r="A973" s="115"/>
      <c r="B973" s="115"/>
      <c r="C973" s="127" t="s">
        <v>184</v>
      </c>
      <c r="D973" s="155" t="s">
        <v>185</v>
      </c>
      <c r="E973" s="156"/>
      <c r="F973" s="159">
        <v>0.15</v>
      </c>
      <c r="G973" s="157" t="s">
        <v>186</v>
      </c>
      <c r="H973" s="158"/>
      <c r="I973" s="171">
        <f>I972*F973</f>
        <v>29475</v>
      </c>
    </row>
    <row r="974" spans="1:9">
      <c r="A974" s="115"/>
      <c r="B974" s="115"/>
      <c r="C974" s="160" t="s">
        <v>187</v>
      </c>
      <c r="D974" s="161" t="s">
        <v>188</v>
      </c>
      <c r="E974" s="124"/>
      <c r="F974" s="125"/>
      <c r="G974" s="125"/>
      <c r="H974" s="162"/>
      <c r="I974" s="172">
        <f>SUM(I972:I973)</f>
        <v>225975</v>
      </c>
    </row>
    <row r="975" spans="1:9">
      <c r="A975" s="110"/>
      <c r="B975" s="2"/>
      <c r="C975" s="180"/>
      <c r="D975" s="175"/>
      <c r="E975" s="115"/>
      <c r="F975" s="184"/>
      <c r="G975" s="187"/>
      <c r="H975" s="183"/>
      <c r="I975" s="186"/>
    </row>
    <row r="976" spans="1:9">
      <c r="A976" s="110"/>
      <c r="B976" s="2"/>
      <c r="C976" s="180"/>
      <c r="D976" s="175"/>
      <c r="E976" s="115"/>
      <c r="F976" s="184"/>
      <c r="G976" s="187"/>
      <c r="H976" s="183"/>
      <c r="I976" s="186"/>
    </row>
    <row r="977" spans="1:9">
      <c r="A977" s="118" t="s">
        <v>373</v>
      </c>
      <c r="C977" s="64" t="s">
        <v>374</v>
      </c>
      <c r="D977" s="175"/>
      <c r="E977" s="175"/>
      <c r="F977" s="175"/>
      <c r="G977" s="175"/>
      <c r="H977" s="175"/>
      <c r="I977" s="178"/>
    </row>
    <row r="978" spans="1:9">
      <c r="A978" s="118"/>
      <c r="B978" s="118"/>
      <c r="C978" s="123" t="s">
        <v>108</v>
      </c>
      <c r="D978" s="124" t="s">
        <v>109</v>
      </c>
      <c r="E978" s="124" t="s">
        <v>156</v>
      </c>
      <c r="F978" s="125" t="s">
        <v>157</v>
      </c>
      <c r="G978" s="125" t="s">
        <v>158</v>
      </c>
      <c r="H978" s="126" t="s">
        <v>159</v>
      </c>
      <c r="I978" s="165" t="s">
        <v>160</v>
      </c>
    </row>
    <row r="979" spans="1:9">
      <c r="A979" s="118"/>
      <c r="B979" s="118"/>
      <c r="C979" s="127">
        <v>1</v>
      </c>
      <c r="D979" s="127">
        <v>2</v>
      </c>
      <c r="E979" s="127">
        <v>3</v>
      </c>
      <c r="F979" s="127">
        <v>4</v>
      </c>
      <c r="G979" s="127">
        <v>5</v>
      </c>
      <c r="H979" s="128">
        <v>6</v>
      </c>
      <c r="I979" s="127">
        <v>7</v>
      </c>
    </row>
    <row r="980" spans="1:9">
      <c r="A980" s="118"/>
      <c r="B980" s="118"/>
      <c r="C980" s="129" t="s">
        <v>4</v>
      </c>
      <c r="D980" s="130" t="s">
        <v>161</v>
      </c>
      <c r="E980" s="130"/>
      <c r="F980" s="131"/>
      <c r="G980" s="132"/>
      <c r="H980" s="133"/>
      <c r="I980" s="166"/>
    </row>
    <row r="981" spans="1:9">
      <c r="A981" s="118"/>
      <c r="B981" s="118"/>
      <c r="C981" s="134">
        <v>1</v>
      </c>
      <c r="D981" s="135" t="s">
        <v>375</v>
      </c>
      <c r="E981" s="136" t="s">
        <v>163</v>
      </c>
      <c r="F981" s="137" t="s">
        <v>164</v>
      </c>
      <c r="G981" s="138">
        <v>0.02</v>
      </c>
      <c r="H981" s="139">
        <f>'DAFTAR HARGA'!I18</f>
        <v>80000</v>
      </c>
      <c r="I981" s="167">
        <f>G981*H981</f>
        <v>1600</v>
      </c>
    </row>
    <row r="982" spans="1:9">
      <c r="A982" s="118"/>
      <c r="B982" s="118"/>
      <c r="C982" s="134">
        <v>2</v>
      </c>
      <c r="D982" s="135" t="s">
        <v>376</v>
      </c>
      <c r="E982" s="136" t="s">
        <v>166</v>
      </c>
      <c r="F982" s="137" t="s">
        <v>164</v>
      </c>
      <c r="G982" s="138">
        <v>0.063</v>
      </c>
      <c r="H982" s="139">
        <f>'DAFTAR HARGA'!I17</f>
        <v>120000</v>
      </c>
      <c r="I982" s="167">
        <f>G982*H982</f>
        <v>7560</v>
      </c>
    </row>
    <row r="983" spans="1:9">
      <c r="A983" s="118"/>
      <c r="B983" s="118"/>
      <c r="C983" s="134">
        <v>3</v>
      </c>
      <c r="D983" s="135" t="s">
        <v>377</v>
      </c>
      <c r="E983" s="136" t="s">
        <v>168</v>
      </c>
      <c r="F983" s="137" t="s">
        <v>164</v>
      </c>
      <c r="G983" s="138">
        <v>0.0063</v>
      </c>
      <c r="H983" s="139">
        <f>'DAFTAR HARGA'!I16</f>
        <v>140000</v>
      </c>
      <c r="I983" s="167">
        <f>G983*H983</f>
        <v>882</v>
      </c>
    </row>
    <row r="984" spans="1:9">
      <c r="A984" s="118"/>
      <c r="B984" s="118"/>
      <c r="C984" s="140">
        <v>4</v>
      </c>
      <c r="D984" s="141" t="s">
        <v>169</v>
      </c>
      <c r="E984" s="142" t="s">
        <v>170</v>
      </c>
      <c r="F984" s="137" t="s">
        <v>164</v>
      </c>
      <c r="G984" s="143">
        <v>0.003</v>
      </c>
      <c r="H984" s="139">
        <f>'DAFTAR HARGA'!I8</f>
        <v>215000</v>
      </c>
      <c r="I984" s="167">
        <f>G984*H984</f>
        <v>645</v>
      </c>
    </row>
    <row r="985" spans="1:9">
      <c r="A985" s="118"/>
      <c r="B985" s="118"/>
      <c r="C985" s="152" t="s">
        <v>171</v>
      </c>
      <c r="D985" s="153"/>
      <c r="E985" s="153"/>
      <c r="F985" s="153"/>
      <c r="G985" s="153"/>
      <c r="H985" s="189"/>
      <c r="I985" s="168">
        <f>SUM(I981:I984)</f>
        <v>10687</v>
      </c>
    </row>
    <row r="986" spans="1:9">
      <c r="A986" s="118"/>
      <c r="B986" s="118"/>
      <c r="C986" s="147" t="s">
        <v>172</v>
      </c>
      <c r="D986" s="130" t="s">
        <v>173</v>
      </c>
      <c r="E986" s="148"/>
      <c r="F986" s="132"/>
      <c r="G986" s="132"/>
      <c r="H986" s="131"/>
      <c r="I986" s="166"/>
    </row>
    <row r="987" spans="1:9">
      <c r="A987" s="118"/>
      <c r="B987" s="118"/>
      <c r="C987" s="134">
        <v>1</v>
      </c>
      <c r="D987" s="135" t="s">
        <v>378</v>
      </c>
      <c r="E987" s="136"/>
      <c r="F987" s="137" t="s">
        <v>244</v>
      </c>
      <c r="G987" s="138">
        <v>0.1</v>
      </c>
      <c r="H987" s="149">
        <f>'DAFTAR HARGA'!I111</f>
        <v>24000</v>
      </c>
      <c r="I987" s="167">
        <f>G987*H987</f>
        <v>2400</v>
      </c>
    </row>
    <row r="988" spans="1:9">
      <c r="A988" s="118"/>
      <c r="B988" s="118"/>
      <c r="C988" s="134">
        <v>2</v>
      </c>
      <c r="D988" s="135" t="s">
        <v>379</v>
      </c>
      <c r="E988" s="136"/>
      <c r="F988" s="137" t="s">
        <v>244</v>
      </c>
      <c r="G988" s="138">
        <v>0.1</v>
      </c>
      <c r="H988" s="149">
        <f>H989</f>
        <v>38000</v>
      </c>
      <c r="I988" s="167">
        <f>G988*H988</f>
        <v>3800</v>
      </c>
    </row>
    <row r="989" spans="1:9">
      <c r="A989" s="118"/>
      <c r="B989" s="118"/>
      <c r="C989" s="134">
        <v>3</v>
      </c>
      <c r="D989" s="135" t="s">
        <v>380</v>
      </c>
      <c r="E989" s="136"/>
      <c r="F989" s="137" t="s">
        <v>244</v>
      </c>
      <c r="G989" s="138">
        <v>0.26</v>
      </c>
      <c r="H989" s="149">
        <f>'DAFTAR HARGA'!I55</f>
        <v>38000</v>
      </c>
      <c r="I989" s="167">
        <f>G989*H989</f>
        <v>9880</v>
      </c>
    </row>
    <row r="990" spans="1:9">
      <c r="A990" s="118"/>
      <c r="B990" s="118"/>
      <c r="C990" s="152" t="s">
        <v>178</v>
      </c>
      <c r="D990" s="153"/>
      <c r="E990" s="153"/>
      <c r="F990" s="153"/>
      <c r="G990" s="153"/>
      <c r="H990" s="189"/>
      <c r="I990" s="169">
        <f>SUM(I987:I989)</f>
        <v>16080</v>
      </c>
    </row>
    <row r="991" spans="1:9">
      <c r="A991" s="115"/>
      <c r="B991" s="115"/>
      <c r="C991" s="147" t="s">
        <v>179</v>
      </c>
      <c r="D991" s="130" t="s">
        <v>180</v>
      </c>
      <c r="E991" s="148"/>
      <c r="F991" s="132"/>
      <c r="G991" s="132"/>
      <c r="H991" s="133"/>
      <c r="I991" s="166"/>
    </row>
    <row r="992" spans="1:9">
      <c r="A992" s="115"/>
      <c r="B992" s="115"/>
      <c r="C992" s="140"/>
      <c r="D992" s="141"/>
      <c r="E992" s="142"/>
      <c r="F992" s="150"/>
      <c r="G992" s="154"/>
      <c r="H992" s="144"/>
      <c r="I992" s="170"/>
    </row>
    <row r="993" spans="1:9">
      <c r="A993" s="115"/>
      <c r="B993" s="115"/>
      <c r="C993" s="152" t="s">
        <v>181</v>
      </c>
      <c r="D993" s="153"/>
      <c r="E993" s="153"/>
      <c r="F993" s="153"/>
      <c r="G993" s="153"/>
      <c r="H993" s="189"/>
      <c r="I993" s="171">
        <f>SUM(I992)</f>
        <v>0</v>
      </c>
    </row>
    <row r="994" spans="1:9">
      <c r="A994" s="115"/>
      <c r="B994" s="115"/>
      <c r="C994" s="127" t="s">
        <v>182</v>
      </c>
      <c r="D994" s="155" t="s">
        <v>183</v>
      </c>
      <c r="E994" s="156"/>
      <c r="F994" s="157"/>
      <c r="G994" s="157"/>
      <c r="H994" s="158"/>
      <c r="I994" s="171">
        <f>SUM(I985,I990,I993)</f>
        <v>26767</v>
      </c>
    </row>
    <row r="995" spans="1:9">
      <c r="A995" s="115"/>
      <c r="B995" s="115"/>
      <c r="C995" s="127" t="s">
        <v>184</v>
      </c>
      <c r="D995" s="155" t="s">
        <v>185</v>
      </c>
      <c r="E995" s="156"/>
      <c r="F995" s="159">
        <v>0.15</v>
      </c>
      <c r="G995" s="157" t="s">
        <v>186</v>
      </c>
      <c r="H995" s="158"/>
      <c r="I995" s="171">
        <f>I994*F995</f>
        <v>4015.05</v>
      </c>
    </row>
    <row r="996" spans="1:9">
      <c r="A996" s="115"/>
      <c r="B996" s="115"/>
      <c r="C996" s="160" t="s">
        <v>187</v>
      </c>
      <c r="D996" s="161" t="s">
        <v>188</v>
      </c>
      <c r="E996" s="124"/>
      <c r="F996" s="125"/>
      <c r="G996" s="125"/>
      <c r="H996" s="162"/>
      <c r="I996" s="172">
        <f>SUM(I994:I995)</f>
        <v>30782.05</v>
      </c>
    </row>
    <row r="997" spans="1:9">
      <c r="A997" s="110"/>
      <c r="B997" s="2"/>
      <c r="C997" s="180"/>
      <c r="D997" s="175"/>
      <c r="E997" s="115"/>
      <c r="F997" s="184"/>
      <c r="G997" s="187"/>
      <c r="H997" s="183"/>
      <c r="I997" s="186"/>
    </row>
    <row r="998" spans="1:9">
      <c r="A998" s="118" t="s">
        <v>381</v>
      </c>
      <c r="C998" s="64" t="s">
        <v>382</v>
      </c>
      <c r="D998" s="175"/>
      <c r="E998" s="175"/>
      <c r="F998" s="175"/>
      <c r="G998" s="175"/>
      <c r="H998" s="175"/>
      <c r="I998" s="178"/>
    </row>
    <row r="999" spans="1:9">
      <c r="A999" s="118"/>
      <c r="B999" s="118"/>
      <c r="C999" s="123" t="s">
        <v>108</v>
      </c>
      <c r="D999" s="124" t="s">
        <v>109</v>
      </c>
      <c r="E999" s="124" t="s">
        <v>156</v>
      </c>
      <c r="F999" s="125" t="s">
        <v>157</v>
      </c>
      <c r="G999" s="125" t="s">
        <v>158</v>
      </c>
      <c r="H999" s="126" t="s">
        <v>159</v>
      </c>
      <c r="I999" s="165" t="s">
        <v>160</v>
      </c>
    </row>
    <row r="1000" spans="1:9">
      <c r="A1000" s="118"/>
      <c r="B1000" s="118"/>
      <c r="C1000" s="127">
        <v>1</v>
      </c>
      <c r="D1000" s="127">
        <v>2</v>
      </c>
      <c r="E1000" s="127">
        <v>3</v>
      </c>
      <c r="F1000" s="127">
        <v>4</v>
      </c>
      <c r="G1000" s="127">
        <v>5</v>
      </c>
      <c r="H1000" s="128">
        <v>6</v>
      </c>
      <c r="I1000" s="127">
        <v>7</v>
      </c>
    </row>
    <row r="1001" spans="1:9">
      <c r="A1001" s="118"/>
      <c r="B1001" s="118"/>
      <c r="C1001" s="129" t="s">
        <v>4</v>
      </c>
      <c r="D1001" s="130" t="s">
        <v>161</v>
      </c>
      <c r="E1001" s="130"/>
      <c r="F1001" s="131"/>
      <c r="G1001" s="132"/>
      <c r="H1001" s="133"/>
      <c r="I1001" s="166"/>
    </row>
    <row r="1002" spans="1:9">
      <c r="A1002" s="118"/>
      <c r="B1002" s="118"/>
      <c r="C1002" s="134">
        <v>1</v>
      </c>
      <c r="D1002" s="135" t="s">
        <v>375</v>
      </c>
      <c r="E1002" s="136" t="s">
        <v>163</v>
      </c>
      <c r="F1002" s="137" t="s">
        <v>164</v>
      </c>
      <c r="G1002" s="138">
        <v>0.02</v>
      </c>
      <c r="H1002" s="139">
        <f>H981</f>
        <v>80000</v>
      </c>
      <c r="I1002" s="167">
        <f>G1002*H1002</f>
        <v>1600</v>
      </c>
    </row>
    <row r="1003" spans="1:9">
      <c r="A1003" s="118"/>
      <c r="B1003" s="118"/>
      <c r="C1003" s="134">
        <v>2</v>
      </c>
      <c r="D1003" s="135" t="s">
        <v>376</v>
      </c>
      <c r="E1003" s="136" t="s">
        <v>166</v>
      </c>
      <c r="F1003" s="137" t="s">
        <v>164</v>
      </c>
      <c r="G1003" s="138">
        <v>0.063</v>
      </c>
      <c r="H1003" s="139">
        <f>H982</f>
        <v>120000</v>
      </c>
      <c r="I1003" s="167">
        <f>G1003*H1003</f>
        <v>7560</v>
      </c>
    </row>
    <row r="1004" spans="1:9">
      <c r="A1004" s="118"/>
      <c r="B1004" s="118"/>
      <c r="C1004" s="134">
        <v>3</v>
      </c>
      <c r="D1004" s="135" t="s">
        <v>377</v>
      </c>
      <c r="E1004" s="136" t="s">
        <v>168</v>
      </c>
      <c r="F1004" s="137" t="s">
        <v>164</v>
      </c>
      <c r="G1004" s="138">
        <v>0.0063</v>
      </c>
      <c r="H1004" s="139">
        <f>H983</f>
        <v>140000</v>
      </c>
      <c r="I1004" s="167">
        <f>G1004*H1004</f>
        <v>882</v>
      </c>
    </row>
    <row r="1005" spans="1:9">
      <c r="A1005" s="118"/>
      <c r="B1005" s="118"/>
      <c r="C1005" s="140">
        <v>4</v>
      </c>
      <c r="D1005" s="141" t="s">
        <v>169</v>
      </c>
      <c r="E1005" s="142" t="s">
        <v>170</v>
      </c>
      <c r="F1005" s="137" t="s">
        <v>164</v>
      </c>
      <c r="G1005" s="143">
        <v>0.003</v>
      </c>
      <c r="H1005" s="139">
        <f>H984</f>
        <v>215000</v>
      </c>
      <c r="I1005" s="167">
        <f>G1005*H1005</f>
        <v>645</v>
      </c>
    </row>
    <row r="1006" spans="1:9">
      <c r="A1006" s="118"/>
      <c r="B1006" s="118"/>
      <c r="C1006" s="152" t="s">
        <v>171</v>
      </c>
      <c r="D1006" s="153"/>
      <c r="E1006" s="153"/>
      <c r="F1006" s="153"/>
      <c r="G1006" s="153"/>
      <c r="H1006" s="189"/>
      <c r="I1006" s="168">
        <f>SUM(I1002:I1005)</f>
        <v>10687</v>
      </c>
    </row>
    <row r="1007" spans="1:9">
      <c r="A1007" s="118"/>
      <c r="B1007" s="118"/>
      <c r="C1007" s="147" t="s">
        <v>172</v>
      </c>
      <c r="D1007" s="130" t="s">
        <v>173</v>
      </c>
      <c r="E1007" s="148"/>
      <c r="F1007" s="132"/>
      <c r="G1007" s="132"/>
      <c r="H1007" s="131"/>
      <c r="I1007" s="166"/>
    </row>
    <row r="1008" spans="1:9">
      <c r="A1008" s="118"/>
      <c r="B1008" s="118"/>
      <c r="C1008" s="134">
        <v>1</v>
      </c>
      <c r="D1008" s="135" t="s">
        <v>378</v>
      </c>
      <c r="E1008" s="136"/>
      <c r="F1008" s="137" t="s">
        <v>244</v>
      </c>
      <c r="G1008" s="138">
        <v>0.1</v>
      </c>
      <c r="H1008" s="149">
        <f>H987</f>
        <v>24000</v>
      </c>
      <c r="I1008" s="167">
        <f>G1008*H1008</f>
        <v>2400</v>
      </c>
    </row>
    <row r="1009" spans="1:9">
      <c r="A1009" s="118"/>
      <c r="B1009" s="118"/>
      <c r="C1009" s="134">
        <v>2</v>
      </c>
      <c r="D1009" s="135" t="s">
        <v>379</v>
      </c>
      <c r="E1009" s="136"/>
      <c r="F1009" s="137" t="s">
        <v>244</v>
      </c>
      <c r="G1009" s="138">
        <v>0.1</v>
      </c>
      <c r="H1009" s="149">
        <f>'DAFTAR HARGA'!I56/5</f>
        <v>16000</v>
      </c>
      <c r="I1009" s="167">
        <f>G1009*H1009</f>
        <v>1600</v>
      </c>
    </row>
    <row r="1010" spans="1:9">
      <c r="A1010" s="118"/>
      <c r="B1010" s="118"/>
      <c r="C1010" s="134">
        <v>3</v>
      </c>
      <c r="D1010" s="135" t="s">
        <v>380</v>
      </c>
      <c r="E1010" s="136"/>
      <c r="F1010" s="137" t="s">
        <v>244</v>
      </c>
      <c r="G1010" s="138">
        <v>0.26</v>
      </c>
      <c r="H1010" s="149">
        <f>H1009</f>
        <v>16000</v>
      </c>
      <c r="I1010" s="167">
        <f>G1010*H1010</f>
        <v>4160</v>
      </c>
    </row>
    <row r="1011" spans="1:9">
      <c r="A1011" s="118"/>
      <c r="B1011" s="118"/>
      <c r="C1011" s="152" t="s">
        <v>178</v>
      </c>
      <c r="D1011" s="153"/>
      <c r="E1011" s="153"/>
      <c r="F1011" s="153"/>
      <c r="G1011" s="153"/>
      <c r="H1011" s="189"/>
      <c r="I1011" s="169">
        <f>SUM(I1008:I1010)</f>
        <v>8160</v>
      </c>
    </row>
    <row r="1012" spans="1:9">
      <c r="A1012" s="115"/>
      <c r="B1012" s="115"/>
      <c r="C1012" s="147" t="s">
        <v>179</v>
      </c>
      <c r="D1012" s="130" t="s">
        <v>180</v>
      </c>
      <c r="E1012" s="148"/>
      <c r="F1012" s="132"/>
      <c r="G1012" s="132"/>
      <c r="H1012" s="133"/>
      <c r="I1012" s="166"/>
    </row>
    <row r="1013" spans="1:9">
      <c r="A1013" s="115"/>
      <c r="B1013" s="115"/>
      <c r="C1013" s="140"/>
      <c r="D1013" s="141"/>
      <c r="E1013" s="142"/>
      <c r="F1013" s="150"/>
      <c r="G1013" s="154"/>
      <c r="H1013" s="144"/>
      <c r="I1013" s="170"/>
    </row>
    <row r="1014" spans="1:9">
      <c r="A1014" s="115"/>
      <c r="B1014" s="115"/>
      <c r="C1014" s="152" t="s">
        <v>181</v>
      </c>
      <c r="D1014" s="153"/>
      <c r="E1014" s="153"/>
      <c r="F1014" s="153"/>
      <c r="G1014" s="153"/>
      <c r="H1014" s="189"/>
      <c r="I1014" s="171">
        <f>SUM(I1013)</f>
        <v>0</v>
      </c>
    </row>
    <row r="1015" spans="1:9">
      <c r="A1015" s="115"/>
      <c r="B1015" s="115"/>
      <c r="C1015" s="127" t="s">
        <v>182</v>
      </c>
      <c r="D1015" s="155" t="s">
        <v>183</v>
      </c>
      <c r="E1015" s="156"/>
      <c r="F1015" s="157"/>
      <c r="G1015" s="157"/>
      <c r="H1015" s="158"/>
      <c r="I1015" s="171">
        <f>SUM(I1006,I1011,I1014)</f>
        <v>18847</v>
      </c>
    </row>
    <row r="1016" spans="1:9">
      <c r="A1016" s="115"/>
      <c r="B1016" s="115"/>
      <c r="C1016" s="127" t="s">
        <v>184</v>
      </c>
      <c r="D1016" s="155" t="s">
        <v>185</v>
      </c>
      <c r="E1016" s="156"/>
      <c r="F1016" s="159">
        <v>0.15</v>
      </c>
      <c r="G1016" s="157" t="s">
        <v>186</v>
      </c>
      <c r="H1016" s="158"/>
      <c r="I1016" s="171">
        <f>I1015*F1016</f>
        <v>2827.05</v>
      </c>
    </row>
    <row r="1017" spans="1:9">
      <c r="A1017" s="115"/>
      <c r="B1017" s="115"/>
      <c r="C1017" s="160" t="s">
        <v>187</v>
      </c>
      <c r="D1017" s="161" t="s">
        <v>188</v>
      </c>
      <c r="E1017" s="124"/>
      <c r="F1017" s="125"/>
      <c r="G1017" s="125"/>
      <c r="H1017" s="162"/>
      <c r="I1017" s="172">
        <f>SUM(I1015:I1016)</f>
        <v>21674.05</v>
      </c>
    </row>
    <row r="1018" spans="1:9">
      <c r="A1018" s="115"/>
      <c r="B1018" s="115"/>
      <c r="C1018" s="116"/>
      <c r="D1018" s="117"/>
      <c r="E1018" s="118"/>
      <c r="F1018" s="119"/>
      <c r="G1018" s="119"/>
      <c r="H1018" s="120"/>
      <c r="I1018" s="164"/>
    </row>
    <row r="1019" spans="1:9">
      <c r="A1019" s="118" t="s">
        <v>383</v>
      </c>
      <c r="C1019" s="64" t="s">
        <v>384</v>
      </c>
      <c r="D1019" s="175"/>
      <c r="E1019" s="175"/>
      <c r="F1019" s="175"/>
      <c r="G1019" s="175"/>
      <c r="H1019" s="175"/>
      <c r="I1019" s="178"/>
    </row>
    <row r="1020" spans="1:9">
      <c r="A1020" s="118"/>
      <c r="B1020" s="118"/>
      <c r="C1020" s="123" t="s">
        <v>108</v>
      </c>
      <c r="D1020" s="124" t="s">
        <v>109</v>
      </c>
      <c r="E1020" s="124" t="s">
        <v>156</v>
      </c>
      <c r="F1020" s="125" t="s">
        <v>157</v>
      </c>
      <c r="G1020" s="125" t="s">
        <v>158</v>
      </c>
      <c r="H1020" s="126" t="s">
        <v>159</v>
      </c>
      <c r="I1020" s="165" t="s">
        <v>160</v>
      </c>
    </row>
    <row r="1021" spans="1:9">
      <c r="A1021" s="118"/>
      <c r="B1021" s="118"/>
      <c r="C1021" s="127">
        <v>1</v>
      </c>
      <c r="D1021" s="127">
        <v>2</v>
      </c>
      <c r="E1021" s="127">
        <v>3</v>
      </c>
      <c r="F1021" s="127">
        <v>4</v>
      </c>
      <c r="G1021" s="127">
        <v>5</v>
      </c>
      <c r="H1021" s="128">
        <v>6</v>
      </c>
      <c r="I1021" s="127">
        <v>7</v>
      </c>
    </row>
    <row r="1022" spans="1:9">
      <c r="A1022" s="118"/>
      <c r="B1022" s="118"/>
      <c r="C1022" s="129" t="s">
        <v>4</v>
      </c>
      <c r="D1022" s="130" t="s">
        <v>161</v>
      </c>
      <c r="E1022" s="130"/>
      <c r="F1022" s="131"/>
      <c r="G1022" s="132"/>
      <c r="H1022" s="133"/>
      <c r="I1022" s="166"/>
    </row>
    <row r="1023" spans="1:9">
      <c r="A1023" s="118"/>
      <c r="B1023" s="118"/>
      <c r="C1023" s="134">
        <v>1</v>
      </c>
      <c r="D1023" s="135" t="s">
        <v>375</v>
      </c>
      <c r="E1023" s="136" t="s">
        <v>163</v>
      </c>
      <c r="F1023" s="137" t="s">
        <v>164</v>
      </c>
      <c r="G1023" s="138">
        <v>0.07</v>
      </c>
      <c r="H1023" s="139">
        <f>H981</f>
        <v>80000</v>
      </c>
      <c r="I1023" s="167">
        <f>G1023*H1023</f>
        <v>5600</v>
      </c>
    </row>
    <row r="1024" spans="1:9">
      <c r="A1024" s="118"/>
      <c r="B1024" s="118"/>
      <c r="C1024" s="134">
        <v>2</v>
      </c>
      <c r="D1024" s="135" t="s">
        <v>376</v>
      </c>
      <c r="E1024" s="136" t="s">
        <v>166</v>
      </c>
      <c r="F1024" s="137" t="s">
        <v>164</v>
      </c>
      <c r="G1024" s="138">
        <v>0.105</v>
      </c>
      <c r="H1024" s="139">
        <f>H982</f>
        <v>120000</v>
      </c>
      <c r="I1024" s="167">
        <f>G1024*H1024</f>
        <v>12600</v>
      </c>
    </row>
    <row r="1025" spans="1:9">
      <c r="A1025" s="118"/>
      <c r="B1025" s="118"/>
      <c r="C1025" s="134">
        <v>3</v>
      </c>
      <c r="D1025" s="135" t="s">
        <v>377</v>
      </c>
      <c r="E1025" s="136" t="s">
        <v>168</v>
      </c>
      <c r="F1025" s="137" t="s">
        <v>164</v>
      </c>
      <c r="G1025" s="138">
        <v>0.004</v>
      </c>
      <c r="H1025" s="139">
        <f>H983</f>
        <v>140000</v>
      </c>
      <c r="I1025" s="167">
        <f>G1025*H1025</f>
        <v>560</v>
      </c>
    </row>
    <row r="1026" spans="1:9">
      <c r="A1026" s="118"/>
      <c r="B1026" s="118"/>
      <c r="C1026" s="140">
        <v>4</v>
      </c>
      <c r="D1026" s="141" t="s">
        <v>169</v>
      </c>
      <c r="E1026" s="142" t="s">
        <v>170</v>
      </c>
      <c r="F1026" s="137" t="s">
        <v>164</v>
      </c>
      <c r="G1026" s="143">
        <v>0.003</v>
      </c>
      <c r="H1026" s="139">
        <f>H984</f>
        <v>215000</v>
      </c>
      <c r="I1026" s="167">
        <f>G1026*H1026</f>
        <v>645</v>
      </c>
    </row>
    <row r="1027" spans="1:9">
      <c r="A1027" s="118"/>
      <c r="B1027" s="118"/>
      <c r="C1027" s="152" t="s">
        <v>171</v>
      </c>
      <c r="D1027" s="153"/>
      <c r="E1027" s="153"/>
      <c r="F1027" s="153"/>
      <c r="G1027" s="153"/>
      <c r="H1027" s="189"/>
      <c r="I1027" s="168">
        <f>SUM(I1023:I1026)</f>
        <v>19405</v>
      </c>
    </row>
    <row r="1028" spans="1:9">
      <c r="A1028" s="118"/>
      <c r="B1028" s="118"/>
      <c r="C1028" s="147" t="s">
        <v>172</v>
      </c>
      <c r="D1028" s="130" t="s">
        <v>173</v>
      </c>
      <c r="E1028" s="148"/>
      <c r="F1028" s="132"/>
      <c r="G1028" s="132"/>
      <c r="H1028" s="131"/>
      <c r="I1028" s="166"/>
    </row>
    <row r="1029" spans="1:9">
      <c r="A1029" s="118"/>
      <c r="B1029" s="118"/>
      <c r="C1029" s="134">
        <v>1</v>
      </c>
      <c r="D1029" s="135" t="s">
        <v>385</v>
      </c>
      <c r="E1029" s="136"/>
      <c r="F1029" s="137" t="s">
        <v>244</v>
      </c>
      <c r="G1029" s="138">
        <v>0.2</v>
      </c>
      <c r="H1029" s="149">
        <f>'DAFTAR HARGA'!I57</f>
        <v>50000</v>
      </c>
      <c r="I1029" s="167">
        <f t="shared" ref="I1029:I1035" si="2">G1029*H1029</f>
        <v>10000</v>
      </c>
    </row>
    <row r="1030" spans="1:9">
      <c r="A1030" s="118"/>
      <c r="B1030" s="118"/>
      <c r="C1030" s="134">
        <v>2</v>
      </c>
      <c r="D1030" s="135" t="s">
        <v>386</v>
      </c>
      <c r="E1030" s="136"/>
      <c r="F1030" s="137" t="s">
        <v>244</v>
      </c>
      <c r="G1030" s="138">
        <v>0.15</v>
      </c>
      <c r="H1030" s="149">
        <f>'DAFTAR HARGA'!I112</f>
        <v>47500</v>
      </c>
      <c r="I1030" s="167">
        <f t="shared" si="2"/>
        <v>7125</v>
      </c>
    </row>
    <row r="1031" spans="1:9">
      <c r="A1031" s="118"/>
      <c r="B1031" s="118"/>
      <c r="C1031" s="134">
        <v>3</v>
      </c>
      <c r="D1031" s="135" t="s">
        <v>387</v>
      </c>
      <c r="E1031" s="136"/>
      <c r="F1031" s="137" t="s">
        <v>244</v>
      </c>
      <c r="G1031" s="138">
        <v>0.17</v>
      </c>
      <c r="H1031" s="149">
        <f>'DAFTAR HARGA'!I58</f>
        <v>37000</v>
      </c>
      <c r="I1031" s="167">
        <f t="shared" si="2"/>
        <v>6290</v>
      </c>
    </row>
    <row r="1032" spans="1:9">
      <c r="A1032" s="118"/>
      <c r="B1032" s="118"/>
      <c r="C1032" s="134">
        <v>4</v>
      </c>
      <c r="D1032" s="135" t="s">
        <v>388</v>
      </c>
      <c r="E1032" s="136"/>
      <c r="F1032" s="137" t="s">
        <v>244</v>
      </c>
      <c r="G1032" s="138">
        <v>0.35</v>
      </c>
      <c r="H1032" s="149">
        <f>'DAFTAR HARGA'!I59</f>
        <v>35000</v>
      </c>
      <c r="I1032" s="167">
        <f t="shared" si="2"/>
        <v>12250</v>
      </c>
    </row>
    <row r="1033" spans="1:9">
      <c r="A1033" s="118"/>
      <c r="B1033" s="118"/>
      <c r="C1033" s="134">
        <v>5</v>
      </c>
      <c r="D1033" s="135" t="s">
        <v>389</v>
      </c>
      <c r="E1033" s="136"/>
      <c r="F1033" s="137" t="s">
        <v>291</v>
      </c>
      <c r="G1033" s="138">
        <v>0.01</v>
      </c>
      <c r="H1033" s="149">
        <f>'DAFTAR HARGA'!I75</f>
        <v>18000</v>
      </c>
      <c r="I1033" s="167">
        <f t="shared" si="2"/>
        <v>180</v>
      </c>
    </row>
    <row r="1034" spans="1:9">
      <c r="A1034" s="118"/>
      <c r="B1034" s="118"/>
      <c r="C1034" s="134">
        <v>6</v>
      </c>
      <c r="D1034" s="135" t="s">
        <v>390</v>
      </c>
      <c r="E1034" s="136"/>
      <c r="F1034" s="137" t="s">
        <v>244</v>
      </c>
      <c r="G1034" s="138">
        <v>0.03</v>
      </c>
      <c r="H1034" s="149">
        <f>'DAFTAR HARGA'!I82</f>
        <v>30000</v>
      </c>
      <c r="I1034" s="167">
        <f t="shared" si="2"/>
        <v>900</v>
      </c>
    </row>
    <row r="1035" spans="1:9">
      <c r="A1035" s="118"/>
      <c r="B1035" s="118"/>
      <c r="C1035" s="134">
        <v>7</v>
      </c>
      <c r="D1035" s="135" t="s">
        <v>391</v>
      </c>
      <c r="E1035" s="136"/>
      <c r="F1035" s="137" t="s">
        <v>235</v>
      </c>
      <c r="G1035" s="138">
        <v>0.2</v>
      </c>
      <c r="H1035" s="149">
        <f>'DAFTAR HARGA'!I35</f>
        <v>7000</v>
      </c>
      <c r="I1035" s="167">
        <f t="shared" si="2"/>
        <v>1400</v>
      </c>
    </row>
    <row r="1036" spans="1:9">
      <c r="A1036" s="118"/>
      <c r="B1036" s="118"/>
      <c r="C1036" s="152" t="s">
        <v>178</v>
      </c>
      <c r="D1036" s="153"/>
      <c r="E1036" s="153"/>
      <c r="F1036" s="153"/>
      <c r="G1036" s="153"/>
      <c r="H1036" s="189"/>
      <c r="I1036" s="169">
        <f>SUM(I1029:I1035)</f>
        <v>38145</v>
      </c>
    </row>
    <row r="1037" spans="1:9">
      <c r="A1037" s="115"/>
      <c r="B1037" s="115"/>
      <c r="C1037" s="147" t="s">
        <v>179</v>
      </c>
      <c r="D1037" s="130" t="s">
        <v>180</v>
      </c>
      <c r="E1037" s="148"/>
      <c r="F1037" s="132"/>
      <c r="G1037" s="132"/>
      <c r="H1037" s="133"/>
      <c r="I1037" s="166"/>
    </row>
    <row r="1038" spans="1:9">
      <c r="A1038" s="115"/>
      <c r="B1038" s="115"/>
      <c r="C1038" s="140"/>
      <c r="D1038" s="141"/>
      <c r="E1038" s="142"/>
      <c r="F1038" s="150"/>
      <c r="G1038" s="154"/>
      <c r="H1038" s="144"/>
      <c r="I1038" s="170"/>
    </row>
    <row r="1039" spans="1:9">
      <c r="A1039" s="115"/>
      <c r="B1039" s="115"/>
      <c r="C1039" s="152" t="s">
        <v>181</v>
      </c>
      <c r="D1039" s="153"/>
      <c r="E1039" s="153"/>
      <c r="F1039" s="153"/>
      <c r="G1039" s="153"/>
      <c r="H1039" s="189"/>
      <c r="I1039" s="171">
        <f>SUM(I1038)</f>
        <v>0</v>
      </c>
    </row>
    <row r="1040" spans="1:9">
      <c r="A1040" s="115"/>
      <c r="B1040" s="115"/>
      <c r="C1040" s="127" t="s">
        <v>182</v>
      </c>
      <c r="D1040" s="155" t="s">
        <v>183</v>
      </c>
      <c r="E1040" s="156"/>
      <c r="F1040" s="157"/>
      <c r="G1040" s="157"/>
      <c r="H1040" s="158"/>
      <c r="I1040" s="171">
        <f>SUM(I1027,I1036,I1039)</f>
        <v>57550</v>
      </c>
    </row>
    <row r="1041" spans="1:9">
      <c r="A1041" s="115"/>
      <c r="B1041" s="115"/>
      <c r="C1041" s="127" t="s">
        <v>184</v>
      </c>
      <c r="D1041" s="155" t="s">
        <v>185</v>
      </c>
      <c r="E1041" s="156"/>
      <c r="F1041" s="159">
        <v>0.15</v>
      </c>
      <c r="G1041" s="157" t="s">
        <v>186</v>
      </c>
      <c r="H1041" s="158"/>
      <c r="I1041" s="171">
        <f>I1040*F1041</f>
        <v>8632.5</v>
      </c>
    </row>
    <row r="1042" spans="1:9">
      <c r="A1042" s="115"/>
      <c r="B1042" s="115"/>
      <c r="C1042" s="160" t="s">
        <v>187</v>
      </c>
      <c r="D1042" s="161" t="s">
        <v>188</v>
      </c>
      <c r="E1042" s="124"/>
      <c r="F1042" s="125"/>
      <c r="G1042" s="125"/>
      <c r="H1042" s="162"/>
      <c r="I1042" s="172">
        <f>SUM(I1040:I1041)</f>
        <v>66182.5</v>
      </c>
    </row>
    <row r="1043" spans="1:9">
      <c r="A1043" s="110"/>
      <c r="B1043" s="2"/>
      <c r="C1043" s="180"/>
      <c r="D1043" s="175"/>
      <c r="E1043" s="115"/>
      <c r="F1043" s="184"/>
      <c r="G1043" s="187"/>
      <c r="H1043" s="183"/>
      <c r="I1043" s="186"/>
    </row>
    <row r="1044" spans="1:9">
      <c r="A1044" s="192" t="s">
        <v>392</v>
      </c>
      <c r="B1044" s="193" t="s">
        <v>393</v>
      </c>
      <c r="C1044" s="194"/>
      <c r="D1044" s="195"/>
      <c r="E1044" s="195"/>
      <c r="F1044" s="195"/>
      <c r="G1044" s="195"/>
      <c r="H1044" s="175"/>
      <c r="I1044" s="178"/>
    </row>
    <row r="1045" spans="1:9">
      <c r="A1045" s="1"/>
      <c r="C1045" s="196" t="s">
        <v>108</v>
      </c>
      <c r="D1045" s="196" t="s">
        <v>109</v>
      </c>
      <c r="E1045" s="196" t="s">
        <v>156</v>
      </c>
      <c r="F1045" s="196" t="s">
        <v>157</v>
      </c>
      <c r="G1045" s="196" t="s">
        <v>158</v>
      </c>
      <c r="H1045" s="197" t="s">
        <v>394</v>
      </c>
      <c r="I1045" s="197" t="s">
        <v>395</v>
      </c>
    </row>
    <row r="1046" spans="1:9">
      <c r="A1046" s="1"/>
      <c r="C1046" s="198"/>
      <c r="D1046" s="198"/>
      <c r="E1046" s="198"/>
      <c r="F1046" s="198"/>
      <c r="G1046" s="198"/>
      <c r="H1046" s="199" t="s">
        <v>396</v>
      </c>
      <c r="I1046" s="199" t="s">
        <v>396</v>
      </c>
    </row>
    <row r="1047" spans="1:9">
      <c r="A1047" s="1"/>
      <c r="C1047" s="196" t="s">
        <v>4</v>
      </c>
      <c r="D1047" s="200" t="s">
        <v>397</v>
      </c>
      <c r="E1047" s="201"/>
      <c r="F1047" s="202"/>
      <c r="G1047" s="202"/>
      <c r="H1047" s="202"/>
      <c r="I1047" s="202"/>
    </row>
    <row r="1048" spans="1:9">
      <c r="A1048" s="1"/>
      <c r="C1048" s="203"/>
      <c r="D1048" s="204" t="s">
        <v>169</v>
      </c>
      <c r="E1048" s="203" t="s">
        <v>163</v>
      </c>
      <c r="F1048" s="203" t="s">
        <v>164</v>
      </c>
      <c r="G1048" s="205">
        <v>0.009</v>
      </c>
      <c r="H1048" s="206">
        <f>'DAFTAR HARGA'!I8</f>
        <v>215000</v>
      </c>
      <c r="I1048" s="206">
        <f t="shared" ref="I1048:I1053" si="3">G1048*H1048</f>
        <v>1935</v>
      </c>
    </row>
    <row r="1049" spans="1:9">
      <c r="A1049" s="1"/>
      <c r="C1049" s="203"/>
      <c r="D1049" s="204" t="s">
        <v>398</v>
      </c>
      <c r="E1049" s="203" t="s">
        <v>166</v>
      </c>
      <c r="F1049" s="203" t="s">
        <v>164</v>
      </c>
      <c r="G1049" s="205">
        <v>0.006</v>
      </c>
      <c r="H1049" s="206">
        <f>'DAFTAR HARGA'!I10</f>
        <v>170000</v>
      </c>
      <c r="I1049" s="206">
        <f t="shared" si="3"/>
        <v>1020</v>
      </c>
    </row>
    <row r="1050" spans="1:9">
      <c r="A1050" s="1"/>
      <c r="C1050" s="203"/>
      <c r="D1050" s="204" t="s">
        <v>399</v>
      </c>
      <c r="E1050" s="203"/>
      <c r="F1050" s="203"/>
      <c r="G1050" s="205">
        <v>0.02</v>
      </c>
      <c r="H1050" s="206">
        <f>'DAFTAR HARGA'!I20</f>
        <v>100000</v>
      </c>
      <c r="I1050" s="206">
        <f t="shared" si="3"/>
        <v>2000</v>
      </c>
    </row>
    <row r="1051" spans="1:9">
      <c r="A1051" s="1"/>
      <c r="C1051" s="203"/>
      <c r="D1051" s="204" t="s">
        <v>400</v>
      </c>
      <c r="E1051" s="203"/>
      <c r="F1051" s="203"/>
      <c r="G1051" s="205">
        <v>0.02</v>
      </c>
      <c r="H1051" s="206">
        <f>'DAFTAR HARGA'!I14</f>
        <v>120000</v>
      </c>
      <c r="I1051" s="206">
        <f t="shared" si="3"/>
        <v>2400</v>
      </c>
    </row>
    <row r="1052" spans="1:9">
      <c r="A1052" s="1"/>
      <c r="C1052" s="203"/>
      <c r="D1052" s="204" t="s">
        <v>401</v>
      </c>
      <c r="E1052" s="203" t="s">
        <v>168</v>
      </c>
      <c r="F1052" s="203" t="s">
        <v>164</v>
      </c>
      <c r="G1052" s="205">
        <v>0.02</v>
      </c>
      <c r="H1052" s="206">
        <f>'DAFTAR HARGA'!I11</f>
        <v>120000</v>
      </c>
      <c r="I1052" s="206">
        <f t="shared" si="3"/>
        <v>2400</v>
      </c>
    </row>
    <row r="1053" spans="1:9">
      <c r="A1053" s="1"/>
      <c r="C1053" s="207"/>
      <c r="D1053" s="208" t="s">
        <v>162</v>
      </c>
      <c r="E1053" s="207" t="s">
        <v>170</v>
      </c>
      <c r="F1053" s="207" t="s">
        <v>164</v>
      </c>
      <c r="G1053" s="209">
        <v>0.18</v>
      </c>
      <c r="H1053" s="210">
        <f>'DAFTAR HARGA'!I12</f>
        <v>90000</v>
      </c>
      <c r="I1053" s="206">
        <f t="shared" si="3"/>
        <v>16200</v>
      </c>
    </row>
    <row r="1054" spans="1:9">
      <c r="A1054" s="1"/>
      <c r="C1054" s="211" t="s">
        <v>402</v>
      </c>
      <c r="D1054" s="212"/>
      <c r="E1054" s="212"/>
      <c r="F1054" s="212"/>
      <c r="G1054" s="212"/>
      <c r="H1054" s="213"/>
      <c r="I1054" s="227">
        <f>SUM(I1048:I1053)</f>
        <v>25955</v>
      </c>
    </row>
    <row r="1055" spans="1:9">
      <c r="A1055" s="1"/>
      <c r="C1055" s="196" t="s">
        <v>172</v>
      </c>
      <c r="D1055" s="200" t="s">
        <v>403</v>
      </c>
      <c r="E1055" s="202"/>
      <c r="F1055" s="202"/>
      <c r="G1055" s="202"/>
      <c r="H1055" s="202"/>
      <c r="I1055" s="202"/>
    </row>
    <row r="1056" spans="1:9">
      <c r="A1056" s="1"/>
      <c r="C1056" s="214"/>
      <c r="D1056" s="204" t="s">
        <v>404</v>
      </c>
      <c r="E1056" s="203"/>
      <c r="F1056" s="203" t="s">
        <v>244</v>
      </c>
      <c r="G1056" s="215">
        <v>0.002</v>
      </c>
      <c r="H1056" s="206">
        <f>'DAFTAR HARGA'!I43</f>
        <v>1000000</v>
      </c>
      <c r="I1056" s="228">
        <f t="shared" ref="I1056:I1062" si="4">G1056*H1056</f>
        <v>2000</v>
      </c>
    </row>
    <row r="1057" spans="1:9">
      <c r="A1057" s="1"/>
      <c r="C1057" s="214"/>
      <c r="D1057" s="204" t="s">
        <v>405</v>
      </c>
      <c r="E1057" s="203"/>
      <c r="F1057" s="203"/>
      <c r="G1057" s="215">
        <v>0.01</v>
      </c>
      <c r="H1057" s="206">
        <f>'DAFTAR HARGA'!I97</f>
        <v>12000</v>
      </c>
      <c r="I1057" s="228">
        <f t="shared" si="4"/>
        <v>120</v>
      </c>
    </row>
    <row r="1058" spans="1:9">
      <c r="A1058" s="1"/>
      <c r="C1058" s="214"/>
      <c r="D1058" s="204" t="s">
        <v>406</v>
      </c>
      <c r="E1058" s="203"/>
      <c r="F1058" s="203"/>
      <c r="G1058" s="215">
        <v>3</v>
      </c>
      <c r="H1058" s="206">
        <f>'DAFTAR HARGA'!I52</f>
        <v>17500</v>
      </c>
      <c r="I1058" s="228">
        <f t="shared" si="4"/>
        <v>52500</v>
      </c>
    </row>
    <row r="1059" spans="1:9">
      <c r="A1059" s="1"/>
      <c r="C1059" s="214"/>
      <c r="D1059" s="204" t="s">
        <v>407</v>
      </c>
      <c r="E1059" s="203"/>
      <c r="F1059" s="203"/>
      <c r="G1059" s="215">
        <v>0.45</v>
      </c>
      <c r="H1059" s="206">
        <f>'DAFTAR HARGA'!I69</f>
        <v>57960</v>
      </c>
      <c r="I1059" s="228">
        <f t="shared" si="4"/>
        <v>26082</v>
      </c>
    </row>
    <row r="1060" spans="1:9">
      <c r="A1060" s="1"/>
      <c r="C1060" s="214"/>
      <c r="D1060" s="204" t="s">
        <v>240</v>
      </c>
      <c r="E1060" s="203"/>
      <c r="F1060" s="203" t="s">
        <v>408</v>
      </c>
      <c r="G1060" s="205">
        <v>4</v>
      </c>
      <c r="H1060" s="206">
        <f>'DAFTAR HARGA'!I128</f>
        <v>1200</v>
      </c>
      <c r="I1060" s="228">
        <f t="shared" si="4"/>
        <v>4800</v>
      </c>
    </row>
    <row r="1061" spans="1:9">
      <c r="A1061" s="1"/>
      <c r="C1061" s="214"/>
      <c r="D1061" s="204" t="s">
        <v>409</v>
      </c>
      <c r="E1061" s="203"/>
      <c r="F1061" s="203"/>
      <c r="G1061" s="205">
        <v>0.006</v>
      </c>
      <c r="H1061" s="206">
        <f>'DAFTAR HARGA'!I109</f>
        <v>116700</v>
      </c>
      <c r="I1061" s="228">
        <f t="shared" si="4"/>
        <v>700.2</v>
      </c>
    </row>
    <row r="1062" spans="1:9">
      <c r="A1062" s="1"/>
      <c r="C1062" s="214"/>
      <c r="D1062" s="204" t="s">
        <v>232</v>
      </c>
      <c r="E1062" s="203"/>
      <c r="F1062" s="203" t="s">
        <v>408</v>
      </c>
      <c r="G1062" s="205">
        <v>0.009</v>
      </c>
      <c r="H1062" s="206">
        <f>'DAFTAR HARGA'!I110</f>
        <v>570000</v>
      </c>
      <c r="I1062" s="228">
        <f t="shared" si="4"/>
        <v>5130</v>
      </c>
    </row>
    <row r="1063" spans="1:9">
      <c r="A1063" s="1"/>
      <c r="C1063" s="216" t="s">
        <v>410</v>
      </c>
      <c r="D1063" s="217"/>
      <c r="E1063" s="217"/>
      <c r="F1063" s="217"/>
      <c r="G1063" s="217"/>
      <c r="H1063" s="218"/>
      <c r="I1063" s="227">
        <f>SUM(I1056:I1062)</f>
        <v>91332.2</v>
      </c>
    </row>
    <row r="1064" spans="1:9">
      <c r="A1064" s="1"/>
      <c r="C1064" s="219" t="s">
        <v>179</v>
      </c>
      <c r="D1064" s="220" t="s">
        <v>411</v>
      </c>
      <c r="E1064" s="221"/>
      <c r="F1064" s="221"/>
      <c r="G1064" s="221"/>
      <c r="H1064" s="221"/>
      <c r="I1064" s="221"/>
    </row>
    <row r="1065" spans="1:9">
      <c r="A1065" s="1"/>
      <c r="C1065" s="216" t="s">
        <v>412</v>
      </c>
      <c r="D1065" s="217"/>
      <c r="E1065" s="217"/>
      <c r="F1065" s="217"/>
      <c r="G1065" s="217"/>
      <c r="H1065" s="218"/>
      <c r="I1065" s="221"/>
    </row>
    <row r="1066" spans="1:9">
      <c r="A1066" s="1"/>
      <c r="C1066" s="219" t="s">
        <v>182</v>
      </c>
      <c r="D1066" s="222" t="s">
        <v>413</v>
      </c>
      <c r="E1066" s="223"/>
      <c r="F1066" s="223"/>
      <c r="G1066" s="223"/>
      <c r="H1066" s="224"/>
      <c r="I1066" s="229">
        <f>I1063+I1054</f>
        <v>117287.2</v>
      </c>
    </row>
    <row r="1067" spans="1:9">
      <c r="A1067" s="1"/>
      <c r="C1067" s="219" t="s">
        <v>184</v>
      </c>
      <c r="D1067" s="225" t="s">
        <v>414</v>
      </c>
      <c r="E1067" s="223"/>
      <c r="F1067" s="223"/>
      <c r="G1067" s="223"/>
      <c r="H1067" s="224"/>
      <c r="I1067" s="229">
        <f>I1066*15%</f>
        <v>17593.08</v>
      </c>
    </row>
    <row r="1068" spans="1:9">
      <c r="A1068" s="1"/>
      <c r="C1068" s="219" t="s">
        <v>187</v>
      </c>
      <c r="D1068" s="222" t="s">
        <v>415</v>
      </c>
      <c r="E1068" s="223"/>
      <c r="F1068" s="223"/>
      <c r="G1068" s="223"/>
      <c r="H1068" s="224"/>
      <c r="I1068" s="230">
        <f>I1067+I1066</f>
        <v>134880.28</v>
      </c>
    </row>
    <row r="1069" spans="1:9">
      <c r="A1069" s="226"/>
      <c r="B1069" s="226"/>
      <c r="C1069" s="226"/>
      <c r="D1069" s="226"/>
      <c r="E1069" s="226"/>
      <c r="F1069" s="226"/>
      <c r="G1069" s="226"/>
      <c r="H1069" s="183"/>
      <c r="I1069" s="186"/>
    </row>
    <row r="1070" spans="1:9">
      <c r="A1070" s="192" t="s">
        <v>416</v>
      </c>
      <c r="B1070" s="193" t="s">
        <v>417</v>
      </c>
      <c r="C1070" s="194"/>
      <c r="D1070" s="195"/>
      <c r="E1070" s="195"/>
      <c r="F1070" s="195"/>
      <c r="G1070" s="195"/>
      <c r="H1070" s="183"/>
      <c r="I1070" s="186"/>
    </row>
    <row r="1071" spans="1:9">
      <c r="A1071" s="1"/>
      <c r="C1071" s="196" t="s">
        <v>108</v>
      </c>
      <c r="D1071" s="196" t="s">
        <v>109</v>
      </c>
      <c r="E1071" s="196" t="s">
        <v>156</v>
      </c>
      <c r="F1071" s="196" t="s">
        <v>157</v>
      </c>
      <c r="G1071" s="196" t="s">
        <v>158</v>
      </c>
      <c r="H1071" s="197" t="s">
        <v>394</v>
      </c>
      <c r="I1071" s="197" t="s">
        <v>395</v>
      </c>
    </row>
    <row r="1072" spans="1:9">
      <c r="A1072" s="1"/>
      <c r="C1072" s="198"/>
      <c r="D1072" s="198"/>
      <c r="E1072" s="198"/>
      <c r="F1072" s="198"/>
      <c r="G1072" s="198"/>
      <c r="H1072" s="199" t="s">
        <v>396</v>
      </c>
      <c r="I1072" s="199" t="s">
        <v>396</v>
      </c>
    </row>
    <row r="1073" spans="1:9">
      <c r="A1073" s="1"/>
      <c r="C1073" s="196" t="s">
        <v>4</v>
      </c>
      <c r="D1073" s="200" t="s">
        <v>397</v>
      </c>
      <c r="E1073" s="201"/>
      <c r="F1073" s="202"/>
      <c r="G1073" s="202"/>
      <c r="H1073" s="202"/>
      <c r="I1073" s="202"/>
    </row>
    <row r="1074" spans="1:9">
      <c r="A1074" s="1"/>
      <c r="C1074" s="203"/>
      <c r="D1074" s="204" t="s">
        <v>169</v>
      </c>
      <c r="E1074" s="203" t="s">
        <v>163</v>
      </c>
      <c r="F1074" s="203" t="s">
        <v>164</v>
      </c>
      <c r="G1074" s="205">
        <v>0.015</v>
      </c>
      <c r="H1074" s="206">
        <f>'DAFTAR HARGA'!I8</f>
        <v>215000</v>
      </c>
      <c r="I1074" s="206">
        <f t="shared" ref="I1074:I1079" si="5">G1074*H1074</f>
        <v>3225</v>
      </c>
    </row>
    <row r="1075" spans="1:9">
      <c r="A1075" s="1"/>
      <c r="C1075" s="203"/>
      <c r="D1075" s="204" t="s">
        <v>398</v>
      </c>
      <c r="E1075" s="203" t="s">
        <v>166</v>
      </c>
      <c r="F1075" s="203" t="s">
        <v>164</v>
      </c>
      <c r="G1075" s="205">
        <v>0.01</v>
      </c>
      <c r="H1075" s="206">
        <f>'DAFTAR HARGA'!I10</f>
        <v>170000</v>
      </c>
      <c r="I1075" s="206">
        <f t="shared" si="5"/>
        <v>1700</v>
      </c>
    </row>
    <row r="1076" spans="1:9">
      <c r="A1076" s="1"/>
      <c r="C1076" s="203"/>
      <c r="D1076" s="204" t="s">
        <v>399</v>
      </c>
      <c r="E1076" s="203"/>
      <c r="F1076" s="203"/>
      <c r="G1076" s="205">
        <v>0.033</v>
      </c>
      <c r="H1076" s="206">
        <f>'DAFTAR HARGA'!I20</f>
        <v>100000</v>
      </c>
      <c r="I1076" s="206">
        <f t="shared" si="5"/>
        <v>3300</v>
      </c>
    </row>
    <row r="1077" spans="1:9">
      <c r="A1077" s="1"/>
      <c r="C1077" s="203"/>
      <c r="D1077" s="204" t="s">
        <v>400</v>
      </c>
      <c r="E1077" s="203"/>
      <c r="F1077" s="203"/>
      <c r="G1077" s="205">
        <v>0.033</v>
      </c>
      <c r="H1077" s="206">
        <f>'DAFTAR HARGA'!I14</f>
        <v>120000</v>
      </c>
      <c r="I1077" s="206">
        <f t="shared" si="5"/>
        <v>3960</v>
      </c>
    </row>
    <row r="1078" spans="1:9">
      <c r="A1078" s="1"/>
      <c r="C1078" s="203"/>
      <c r="D1078" s="204" t="s">
        <v>401</v>
      </c>
      <c r="E1078" s="203" t="s">
        <v>168</v>
      </c>
      <c r="F1078" s="203" t="s">
        <v>164</v>
      </c>
      <c r="G1078" s="205">
        <v>0.033</v>
      </c>
      <c r="H1078" s="206">
        <f>'DAFTAR HARGA'!I11</f>
        <v>120000</v>
      </c>
      <c r="I1078" s="206">
        <f t="shared" si="5"/>
        <v>3960</v>
      </c>
    </row>
    <row r="1079" spans="1:9">
      <c r="A1079" s="1"/>
      <c r="C1079" s="207"/>
      <c r="D1079" s="208" t="s">
        <v>162</v>
      </c>
      <c r="E1079" s="207" t="s">
        <v>170</v>
      </c>
      <c r="F1079" s="207" t="s">
        <v>164</v>
      </c>
      <c r="G1079" s="209">
        <v>0.297</v>
      </c>
      <c r="H1079" s="210">
        <f>'DAFTAR HARGA'!I12</f>
        <v>90000</v>
      </c>
      <c r="I1079" s="206">
        <f t="shared" si="5"/>
        <v>26730</v>
      </c>
    </row>
    <row r="1080" spans="1:9">
      <c r="A1080" s="1"/>
      <c r="C1080" s="211" t="s">
        <v>402</v>
      </c>
      <c r="D1080" s="212"/>
      <c r="E1080" s="212"/>
      <c r="F1080" s="212"/>
      <c r="G1080" s="212"/>
      <c r="H1080" s="213"/>
      <c r="I1080" s="227">
        <f>SUM(I1074:I1079)</f>
        <v>42875</v>
      </c>
    </row>
    <row r="1081" spans="1:9">
      <c r="A1081" s="1"/>
      <c r="C1081" s="196" t="s">
        <v>172</v>
      </c>
      <c r="D1081" s="200" t="s">
        <v>403</v>
      </c>
      <c r="E1081" s="202"/>
      <c r="F1081" s="202"/>
      <c r="G1081" s="202"/>
      <c r="H1081" s="202"/>
      <c r="I1081" s="202"/>
    </row>
    <row r="1082" spans="1:9">
      <c r="A1082" s="1"/>
      <c r="C1082" s="214"/>
      <c r="D1082" s="204" t="s">
        <v>404</v>
      </c>
      <c r="E1082" s="203"/>
      <c r="F1082" s="203" t="s">
        <v>244</v>
      </c>
      <c r="G1082" s="215">
        <v>0.003</v>
      </c>
      <c r="H1082" s="206">
        <f>'DAFTAR HARGA'!I43</f>
        <v>1000000</v>
      </c>
      <c r="I1082" s="228">
        <f t="shared" ref="I1082:I1088" si="6">G1082*H1082</f>
        <v>3000</v>
      </c>
    </row>
    <row r="1083" spans="1:9">
      <c r="A1083" s="1"/>
      <c r="C1083" s="214"/>
      <c r="D1083" s="204" t="s">
        <v>405</v>
      </c>
      <c r="E1083" s="203"/>
      <c r="F1083" s="203"/>
      <c r="G1083" s="215">
        <v>0.02</v>
      </c>
      <c r="H1083" s="206">
        <f>'DAFTAR HARGA'!I97</f>
        <v>12000</v>
      </c>
      <c r="I1083" s="228">
        <f t="shared" si="6"/>
        <v>240</v>
      </c>
    </row>
    <row r="1084" spans="1:9">
      <c r="A1084" s="1"/>
      <c r="C1084" s="214"/>
      <c r="D1084" s="204" t="s">
        <v>406</v>
      </c>
      <c r="E1084" s="203"/>
      <c r="F1084" s="203"/>
      <c r="G1084" s="215">
        <v>3.6</v>
      </c>
      <c r="H1084" s="206">
        <f>'DAFTAR HARGA'!I52</f>
        <v>17500</v>
      </c>
      <c r="I1084" s="228">
        <f t="shared" si="6"/>
        <v>63000</v>
      </c>
    </row>
    <row r="1085" spans="1:9">
      <c r="A1085" s="1"/>
      <c r="C1085" s="214"/>
      <c r="D1085" s="204" t="s">
        <v>407</v>
      </c>
      <c r="E1085" s="203"/>
      <c r="F1085" s="203"/>
      <c r="G1085" s="215">
        <v>0.05</v>
      </c>
      <c r="H1085" s="206">
        <f>'DAFTAR HARGA'!I69</f>
        <v>57960</v>
      </c>
      <c r="I1085" s="228">
        <f t="shared" si="6"/>
        <v>2898</v>
      </c>
    </row>
    <row r="1086" spans="1:9">
      <c r="A1086" s="1"/>
      <c r="C1086" s="214"/>
      <c r="D1086" s="204" t="s">
        <v>240</v>
      </c>
      <c r="E1086" s="203"/>
      <c r="F1086" s="203" t="s">
        <v>408</v>
      </c>
      <c r="G1086" s="205">
        <v>5.5</v>
      </c>
      <c r="H1086" s="206">
        <f>'DAFTAR HARGA'!I128</f>
        <v>1200</v>
      </c>
      <c r="I1086" s="228">
        <f t="shared" si="6"/>
        <v>6600</v>
      </c>
    </row>
    <row r="1087" spans="1:9">
      <c r="A1087" s="1"/>
      <c r="C1087" s="214"/>
      <c r="D1087" s="204" t="s">
        <v>409</v>
      </c>
      <c r="E1087" s="203"/>
      <c r="F1087" s="203"/>
      <c r="G1087" s="205">
        <v>0.009</v>
      </c>
      <c r="H1087" s="206">
        <f>'DAFTAR HARGA'!I109</f>
        <v>116700</v>
      </c>
      <c r="I1087" s="228">
        <f t="shared" si="6"/>
        <v>1050.3</v>
      </c>
    </row>
    <row r="1088" spans="1:9">
      <c r="A1088" s="1"/>
      <c r="C1088" s="214"/>
      <c r="D1088" s="204" t="s">
        <v>232</v>
      </c>
      <c r="E1088" s="203"/>
      <c r="F1088" s="203" t="s">
        <v>408</v>
      </c>
      <c r="G1088" s="205">
        <v>0.015</v>
      </c>
      <c r="H1088" s="206">
        <f>'DAFTAR HARGA'!I110</f>
        <v>570000</v>
      </c>
      <c r="I1088" s="228">
        <f t="shared" si="6"/>
        <v>8550</v>
      </c>
    </row>
    <row r="1089" spans="1:9">
      <c r="A1089" s="1"/>
      <c r="C1089" s="216" t="s">
        <v>410</v>
      </c>
      <c r="D1089" s="217"/>
      <c r="E1089" s="217"/>
      <c r="F1089" s="217"/>
      <c r="G1089" s="217"/>
      <c r="H1089" s="218"/>
      <c r="I1089" s="227">
        <f>SUM(I1082:I1088)</f>
        <v>85338.3</v>
      </c>
    </row>
    <row r="1090" spans="1:9">
      <c r="A1090" s="1"/>
      <c r="C1090" s="219" t="s">
        <v>179</v>
      </c>
      <c r="D1090" s="220" t="s">
        <v>411</v>
      </c>
      <c r="E1090" s="221"/>
      <c r="F1090" s="221"/>
      <c r="G1090" s="221"/>
      <c r="H1090" s="221"/>
      <c r="I1090" s="221"/>
    </row>
    <row r="1091" spans="1:9">
      <c r="A1091" s="1"/>
      <c r="C1091" s="216" t="s">
        <v>412</v>
      </c>
      <c r="D1091" s="217"/>
      <c r="E1091" s="217"/>
      <c r="F1091" s="217"/>
      <c r="G1091" s="217"/>
      <c r="H1091" s="218"/>
      <c r="I1091" s="221"/>
    </row>
    <row r="1092" spans="1:9">
      <c r="A1092" s="1"/>
      <c r="C1092" s="219" t="s">
        <v>182</v>
      </c>
      <c r="D1092" s="222" t="s">
        <v>413</v>
      </c>
      <c r="E1092" s="223"/>
      <c r="F1092" s="223"/>
      <c r="G1092" s="223"/>
      <c r="H1092" s="224"/>
      <c r="I1092" s="229">
        <f>I1089+I1080</f>
        <v>128213.3</v>
      </c>
    </row>
    <row r="1093" spans="1:9">
      <c r="A1093" s="1"/>
      <c r="C1093" s="219" t="s">
        <v>184</v>
      </c>
      <c r="D1093" s="225" t="s">
        <v>414</v>
      </c>
      <c r="E1093" s="223"/>
      <c r="F1093" s="223"/>
      <c r="G1093" s="223"/>
      <c r="H1093" s="224"/>
      <c r="I1093" s="229">
        <f>I1092*15%</f>
        <v>19231.995</v>
      </c>
    </row>
    <row r="1094" spans="1:9">
      <c r="A1094" s="1"/>
      <c r="C1094" s="219" t="s">
        <v>187</v>
      </c>
      <c r="D1094" s="222" t="s">
        <v>415</v>
      </c>
      <c r="E1094" s="223"/>
      <c r="F1094" s="223"/>
      <c r="G1094" s="223"/>
      <c r="H1094" s="224"/>
      <c r="I1094" s="230">
        <f>I1093+I1092</f>
        <v>147445.295</v>
      </c>
    </row>
    <row r="1095" spans="1:9">
      <c r="A1095" s="110"/>
      <c r="B1095" s="2"/>
      <c r="C1095" s="180"/>
      <c r="D1095" s="175"/>
      <c r="E1095" s="115"/>
      <c r="F1095" s="184"/>
      <c r="G1095" s="187"/>
      <c r="H1095" s="183"/>
      <c r="I1095" s="186"/>
    </row>
    <row r="1096" spans="1:9">
      <c r="A1096" s="192" t="s">
        <v>418</v>
      </c>
      <c r="B1096" s="193" t="s">
        <v>419</v>
      </c>
      <c r="C1096" s="194"/>
      <c r="D1096" s="195"/>
      <c r="E1096" s="195"/>
      <c r="F1096" s="195"/>
      <c r="G1096" s="195"/>
      <c r="H1096" s="183"/>
      <c r="I1096" s="186"/>
    </row>
    <row r="1097" spans="1:9">
      <c r="A1097" s="1"/>
      <c r="C1097" s="196" t="s">
        <v>108</v>
      </c>
      <c r="D1097" s="196" t="s">
        <v>109</v>
      </c>
      <c r="E1097" s="196" t="s">
        <v>156</v>
      </c>
      <c r="F1097" s="196" t="s">
        <v>157</v>
      </c>
      <c r="G1097" s="196" t="s">
        <v>158</v>
      </c>
      <c r="H1097" s="197" t="s">
        <v>394</v>
      </c>
      <c r="I1097" s="197" t="s">
        <v>395</v>
      </c>
    </row>
    <row r="1098" spans="1:9">
      <c r="A1098" s="1"/>
      <c r="C1098" s="198"/>
      <c r="D1098" s="198"/>
      <c r="E1098" s="198"/>
      <c r="F1098" s="198"/>
      <c r="G1098" s="198"/>
      <c r="H1098" s="199" t="s">
        <v>396</v>
      </c>
      <c r="I1098" s="199" t="s">
        <v>396</v>
      </c>
    </row>
    <row r="1099" spans="1:9">
      <c r="A1099" s="1"/>
      <c r="C1099" s="196" t="s">
        <v>4</v>
      </c>
      <c r="D1099" s="200" t="s">
        <v>397</v>
      </c>
      <c r="E1099" s="201"/>
      <c r="F1099" s="202"/>
      <c r="G1099" s="202"/>
      <c r="H1099" s="202"/>
      <c r="I1099" s="202"/>
    </row>
    <row r="1100" spans="1:9">
      <c r="A1100" s="1"/>
      <c r="C1100" s="203"/>
      <c r="D1100" s="204" t="s">
        <v>169</v>
      </c>
      <c r="E1100" s="203" t="s">
        <v>163</v>
      </c>
      <c r="F1100" s="203" t="s">
        <v>164</v>
      </c>
      <c r="G1100" s="205">
        <v>0.283</v>
      </c>
      <c r="H1100" s="206">
        <f>'DAFTAR HARGA'!I8</f>
        <v>215000</v>
      </c>
      <c r="I1100" s="206">
        <f t="shared" ref="I1100:I1105" si="7">G1100*H1100</f>
        <v>60845</v>
      </c>
    </row>
    <row r="1101" spans="1:9">
      <c r="A1101" s="1"/>
      <c r="C1101" s="203"/>
      <c r="D1101" s="204" t="s">
        <v>398</v>
      </c>
      <c r="E1101" s="203" t="s">
        <v>166</v>
      </c>
      <c r="F1101" s="203" t="s">
        <v>164</v>
      </c>
      <c r="G1101" s="205">
        <v>0.323</v>
      </c>
      <c r="H1101" s="206">
        <f>'DAFTAR HARGA'!I10</f>
        <v>170000</v>
      </c>
      <c r="I1101" s="206">
        <f t="shared" si="7"/>
        <v>54910</v>
      </c>
    </row>
    <row r="1102" spans="1:9">
      <c r="A1102" s="1"/>
      <c r="C1102" s="203"/>
      <c r="D1102" s="204" t="s">
        <v>399</v>
      </c>
      <c r="E1102" s="203"/>
      <c r="F1102" s="203"/>
      <c r="G1102" s="205">
        <v>1.4</v>
      </c>
      <c r="H1102" s="206">
        <f>'DAFTAR HARGA'!I20</f>
        <v>100000</v>
      </c>
      <c r="I1102" s="206">
        <f t="shared" si="7"/>
        <v>140000</v>
      </c>
    </row>
    <row r="1103" spans="1:9">
      <c r="A1103" s="1"/>
      <c r="C1103" s="203"/>
      <c r="D1103" s="204" t="s">
        <v>400</v>
      </c>
      <c r="E1103" s="203"/>
      <c r="F1103" s="203"/>
      <c r="G1103" s="205">
        <v>1.56</v>
      </c>
      <c r="H1103" s="206">
        <f>'DAFTAR HARGA'!I14</f>
        <v>120000</v>
      </c>
      <c r="I1103" s="206">
        <f t="shared" si="7"/>
        <v>187200</v>
      </c>
    </row>
    <row r="1104" spans="1:9">
      <c r="A1104" s="1"/>
      <c r="C1104" s="203"/>
      <c r="D1104" s="204" t="s">
        <v>401</v>
      </c>
      <c r="E1104" s="203" t="s">
        <v>168</v>
      </c>
      <c r="F1104" s="203" t="s">
        <v>164</v>
      </c>
      <c r="G1104" s="205">
        <v>0.275</v>
      </c>
      <c r="H1104" s="206">
        <f>'DAFTAR HARGA'!I11</f>
        <v>120000</v>
      </c>
      <c r="I1104" s="206">
        <f t="shared" si="7"/>
        <v>33000</v>
      </c>
    </row>
    <row r="1105" spans="1:9">
      <c r="A1105" s="1"/>
      <c r="C1105" s="207"/>
      <c r="D1105" s="208" t="s">
        <v>162</v>
      </c>
      <c r="E1105" s="207" t="s">
        <v>170</v>
      </c>
      <c r="F1105" s="207" t="s">
        <v>164</v>
      </c>
      <c r="G1105" s="209">
        <v>5.65</v>
      </c>
      <c r="H1105" s="210">
        <f>'DAFTAR HARGA'!I12</f>
        <v>90000</v>
      </c>
      <c r="I1105" s="206">
        <f t="shared" si="7"/>
        <v>508500</v>
      </c>
    </row>
    <row r="1106" spans="1:9">
      <c r="A1106" s="1"/>
      <c r="C1106" s="211" t="s">
        <v>402</v>
      </c>
      <c r="D1106" s="212"/>
      <c r="E1106" s="212"/>
      <c r="F1106" s="212"/>
      <c r="G1106" s="212"/>
      <c r="H1106" s="213"/>
      <c r="I1106" s="227">
        <f>SUM(I1100:I1105)</f>
        <v>984455</v>
      </c>
    </row>
    <row r="1107" spans="1:9">
      <c r="A1107" s="1"/>
      <c r="C1107" s="196" t="s">
        <v>172</v>
      </c>
      <c r="D1107" s="200" t="s">
        <v>403</v>
      </c>
      <c r="E1107" s="202"/>
      <c r="F1107" s="202"/>
      <c r="G1107" s="202"/>
      <c r="H1107" s="202"/>
      <c r="I1107" s="202"/>
    </row>
    <row r="1108" spans="1:9">
      <c r="A1108" s="1"/>
      <c r="C1108" s="214"/>
      <c r="D1108" s="204" t="s">
        <v>404</v>
      </c>
      <c r="E1108" s="203"/>
      <c r="F1108" s="203" t="s">
        <v>244</v>
      </c>
      <c r="G1108" s="215">
        <v>0.27</v>
      </c>
      <c r="H1108" s="206">
        <f>'DAFTAR HARGA'!I43</f>
        <v>1000000</v>
      </c>
      <c r="I1108" s="228">
        <f t="shared" ref="I1108:I1114" si="8">G1108*H1108</f>
        <v>270000</v>
      </c>
    </row>
    <row r="1109" spans="1:9">
      <c r="A1109" s="1"/>
      <c r="C1109" s="214"/>
      <c r="D1109" s="204" t="s">
        <v>405</v>
      </c>
      <c r="E1109" s="203"/>
      <c r="F1109" s="203"/>
      <c r="G1109" s="215">
        <v>2</v>
      </c>
      <c r="H1109" s="206">
        <f>'DAFTAR HARGA'!I97</f>
        <v>12000</v>
      </c>
      <c r="I1109" s="228">
        <f t="shared" si="8"/>
        <v>24000</v>
      </c>
    </row>
    <row r="1110" spans="1:9">
      <c r="A1110" s="1"/>
      <c r="C1110" s="214"/>
      <c r="D1110" s="204" t="s">
        <v>406</v>
      </c>
      <c r="E1110" s="203"/>
      <c r="F1110" s="203"/>
      <c r="G1110" s="215">
        <v>210</v>
      </c>
      <c r="H1110" s="206">
        <f>'DAFTAR HARGA'!I52</f>
        <v>17500</v>
      </c>
      <c r="I1110" s="228">
        <f t="shared" si="8"/>
        <v>3675000</v>
      </c>
    </row>
    <row r="1111" spans="1:9">
      <c r="A1111" s="1"/>
      <c r="C1111" s="214"/>
      <c r="D1111" s="204" t="s">
        <v>407</v>
      </c>
      <c r="E1111" s="203"/>
      <c r="F1111" s="203"/>
      <c r="G1111" s="215">
        <v>3</v>
      </c>
      <c r="H1111" s="206">
        <f>'DAFTAR HARGA'!I69</f>
        <v>57960</v>
      </c>
      <c r="I1111" s="228">
        <f t="shared" si="8"/>
        <v>173880</v>
      </c>
    </row>
    <row r="1112" spans="1:9">
      <c r="A1112" s="1"/>
      <c r="C1112" s="214"/>
      <c r="D1112" s="204" t="s">
        <v>240</v>
      </c>
      <c r="E1112" s="203"/>
      <c r="F1112" s="203" t="s">
        <v>408</v>
      </c>
      <c r="G1112" s="205">
        <v>336</v>
      </c>
      <c r="H1112" s="206">
        <f>'DAFTAR HARGA'!I128</f>
        <v>1200</v>
      </c>
      <c r="I1112" s="228">
        <f t="shared" si="8"/>
        <v>403200</v>
      </c>
    </row>
    <row r="1113" spans="1:9">
      <c r="A1113" s="1"/>
      <c r="C1113" s="214"/>
      <c r="D1113" s="204" t="s">
        <v>409</v>
      </c>
      <c r="E1113" s="203"/>
      <c r="F1113" s="203" t="s">
        <v>408</v>
      </c>
      <c r="G1113" s="205">
        <v>0.54</v>
      </c>
      <c r="H1113" s="206">
        <f>'DAFTAR HARGA'!I109</f>
        <v>116700</v>
      </c>
      <c r="I1113" s="228">
        <f t="shared" si="8"/>
        <v>63018</v>
      </c>
    </row>
    <row r="1114" spans="1:9">
      <c r="A1114" s="1"/>
      <c r="C1114" s="214"/>
      <c r="D1114" s="204" t="s">
        <v>232</v>
      </c>
      <c r="E1114" s="203"/>
      <c r="F1114" s="203" t="s">
        <v>408</v>
      </c>
      <c r="G1114" s="205">
        <v>0.81</v>
      </c>
      <c r="H1114" s="206">
        <f>'DAFTAR HARGA'!I110</f>
        <v>570000</v>
      </c>
      <c r="I1114" s="228">
        <f t="shared" si="8"/>
        <v>461700</v>
      </c>
    </row>
    <row r="1115" spans="1:9">
      <c r="A1115" s="1"/>
      <c r="C1115" s="216" t="s">
        <v>410</v>
      </c>
      <c r="D1115" s="217"/>
      <c r="E1115" s="217"/>
      <c r="F1115" s="217"/>
      <c r="G1115" s="217"/>
      <c r="H1115" s="218"/>
      <c r="I1115" s="227">
        <f>SUM(I1108:I1114)</f>
        <v>5070798</v>
      </c>
    </row>
    <row r="1116" spans="1:9">
      <c r="A1116" s="1"/>
      <c r="C1116" s="219" t="s">
        <v>179</v>
      </c>
      <c r="D1116" s="220" t="s">
        <v>411</v>
      </c>
      <c r="E1116" s="221"/>
      <c r="F1116" s="221"/>
      <c r="G1116" s="221"/>
      <c r="H1116" s="221"/>
      <c r="I1116" s="221"/>
    </row>
    <row r="1117" spans="1:9">
      <c r="A1117" s="1"/>
      <c r="C1117" s="216" t="s">
        <v>412</v>
      </c>
      <c r="D1117" s="217"/>
      <c r="E1117" s="217"/>
      <c r="F1117" s="217"/>
      <c r="G1117" s="217"/>
      <c r="H1117" s="218"/>
      <c r="I1117" s="221"/>
    </row>
    <row r="1118" spans="1:9">
      <c r="A1118" s="1"/>
      <c r="C1118" s="219" t="s">
        <v>182</v>
      </c>
      <c r="D1118" s="222" t="s">
        <v>413</v>
      </c>
      <c r="E1118" s="223"/>
      <c r="F1118" s="223"/>
      <c r="G1118" s="223"/>
      <c r="H1118" s="224"/>
      <c r="I1118" s="229">
        <f>I1115+I1106</f>
        <v>6055253</v>
      </c>
    </row>
    <row r="1119" spans="1:9">
      <c r="A1119" s="1"/>
      <c r="C1119" s="219" t="s">
        <v>184</v>
      </c>
      <c r="D1119" s="225" t="s">
        <v>414</v>
      </c>
      <c r="E1119" s="223"/>
      <c r="F1119" s="223"/>
      <c r="G1119" s="223"/>
      <c r="H1119" s="224"/>
      <c r="I1119" s="229">
        <f>I1118*15%</f>
        <v>908287.95</v>
      </c>
    </row>
    <row r="1120" spans="1:9">
      <c r="A1120" s="1"/>
      <c r="C1120" s="219" t="s">
        <v>187</v>
      </c>
      <c r="D1120" s="222" t="s">
        <v>415</v>
      </c>
      <c r="E1120" s="223"/>
      <c r="F1120" s="223"/>
      <c r="G1120" s="223"/>
      <c r="H1120" s="224"/>
      <c r="I1120" s="230">
        <f>I1119+I1118</f>
        <v>6963540.95</v>
      </c>
    </row>
    <row r="1121" ht="13.5" spans="1:9">
      <c r="A1121" s="110"/>
      <c r="B1121" s="2"/>
      <c r="C1121" s="180"/>
      <c r="D1121" s="175"/>
      <c r="E1121" s="115"/>
      <c r="F1121" s="184"/>
      <c r="G1121" s="187"/>
      <c r="H1121" s="183"/>
      <c r="I1121" s="186"/>
    </row>
    <row r="1122" spans="1:9">
      <c r="A1122" s="231" t="s">
        <v>420</v>
      </c>
      <c r="B1122" s="2"/>
      <c r="D1122" s="232" t="s">
        <v>421</v>
      </c>
      <c r="E1122" s="115"/>
      <c r="F1122" s="184"/>
      <c r="G1122" s="187"/>
      <c r="H1122" s="183"/>
      <c r="I1122" s="186"/>
    </row>
    <row r="1123" spans="1:9">
      <c r="A1123" s="233"/>
      <c r="B1123" s="2"/>
      <c r="D1123" s="234" t="s">
        <v>422</v>
      </c>
      <c r="E1123" s="115"/>
      <c r="F1123" s="184"/>
      <c r="G1123" s="187"/>
      <c r="H1123" s="183"/>
      <c r="I1123" s="186"/>
    </row>
    <row r="1124" spans="1:9">
      <c r="A1124" s="110"/>
      <c r="B1124" s="2"/>
      <c r="D1124" s="235" t="s">
        <v>423</v>
      </c>
      <c r="E1124" s="236"/>
      <c r="F1124" s="235"/>
      <c r="G1124" s="235"/>
      <c r="H1124" s="235"/>
      <c r="I1124" s="235"/>
    </row>
    <row r="1125" spans="1:9">
      <c r="A1125" s="110"/>
      <c r="B1125" s="2"/>
      <c r="D1125" s="237" t="s">
        <v>424</v>
      </c>
      <c r="E1125" s="238">
        <v>0.4</v>
      </c>
      <c r="F1125" s="239" t="s">
        <v>425</v>
      </c>
      <c r="G1125" s="235"/>
      <c r="H1125" s="240">
        <f>'DAFTAR HARGA'!I106</f>
        <v>1400000</v>
      </c>
      <c r="I1125" s="247">
        <f t="shared" ref="I1125:I1140" si="9">H1125*E1125</f>
        <v>560000</v>
      </c>
    </row>
    <row r="1126" spans="1:9">
      <c r="A1126" s="110"/>
      <c r="B1126" s="2"/>
      <c r="D1126" s="237" t="s">
        <v>426</v>
      </c>
      <c r="E1126" s="238">
        <v>1.5</v>
      </c>
      <c r="F1126" s="241" t="s">
        <v>176</v>
      </c>
      <c r="G1126" s="235"/>
      <c r="H1126" s="240">
        <f>'DAFTAR HARGA'!I97</f>
        <v>12000</v>
      </c>
      <c r="I1126" s="247">
        <f t="shared" si="9"/>
        <v>18000</v>
      </c>
    </row>
    <row r="1127" spans="1:9">
      <c r="A1127" s="110"/>
      <c r="B1127" s="2"/>
      <c r="D1127" s="237" t="s">
        <v>427</v>
      </c>
      <c r="E1127" s="238">
        <v>0.4</v>
      </c>
      <c r="F1127" s="241" t="s">
        <v>428</v>
      </c>
      <c r="G1127" s="235"/>
      <c r="H1127" s="240">
        <f>'DAFTAR HARGA'!I51</f>
        <v>32000</v>
      </c>
      <c r="I1127" s="247">
        <f t="shared" si="9"/>
        <v>12800</v>
      </c>
    </row>
    <row r="1128" spans="1:9">
      <c r="A1128" s="110"/>
      <c r="B1128" s="2"/>
      <c r="D1128" s="237" t="s">
        <v>429</v>
      </c>
      <c r="E1128" s="238">
        <v>208.864</v>
      </c>
      <c r="F1128" s="241" t="s">
        <v>176</v>
      </c>
      <c r="G1128" s="235"/>
      <c r="H1128" s="240">
        <f>'DAFTAR HARGA'!I52</f>
        <v>17500</v>
      </c>
      <c r="I1128" s="247">
        <f t="shared" si="9"/>
        <v>3655120</v>
      </c>
    </row>
    <row r="1129" spans="1:9">
      <c r="A1129" s="110"/>
      <c r="B1129" s="2"/>
      <c r="D1129" s="237" t="s">
        <v>407</v>
      </c>
      <c r="E1129" s="238">
        <v>2.25</v>
      </c>
      <c r="F1129" s="241" t="s">
        <v>176</v>
      </c>
      <c r="G1129" s="235"/>
      <c r="H1129" s="240">
        <f>'DAFTAR HARGA'!I69</f>
        <v>57960</v>
      </c>
      <c r="I1129" s="247">
        <f t="shared" si="9"/>
        <v>130410</v>
      </c>
    </row>
    <row r="1130" spans="1:9">
      <c r="A1130" s="110"/>
      <c r="B1130" s="2"/>
      <c r="D1130" s="237" t="s">
        <v>240</v>
      </c>
      <c r="E1130" s="238">
        <v>6.46</v>
      </c>
      <c r="F1130" s="241" t="s">
        <v>430</v>
      </c>
      <c r="G1130" s="235"/>
      <c r="H1130" s="240">
        <f>'DAFTAR HARGA'!I132</f>
        <v>60000</v>
      </c>
      <c r="I1130" s="247">
        <f t="shared" si="9"/>
        <v>387600</v>
      </c>
    </row>
    <row r="1131" spans="1:9">
      <c r="A1131" s="110"/>
      <c r="B1131" s="2"/>
      <c r="D1131" s="237" t="s">
        <v>409</v>
      </c>
      <c r="E1131" s="238">
        <v>0.52</v>
      </c>
      <c r="F1131" s="239" t="s">
        <v>425</v>
      </c>
      <c r="G1131" s="235"/>
      <c r="H1131" s="240">
        <f>'DAFTAR HARGA'!I109</f>
        <v>116700</v>
      </c>
      <c r="I1131" s="247">
        <f t="shared" si="9"/>
        <v>60684</v>
      </c>
    </row>
    <row r="1132" spans="1:9">
      <c r="A1132" s="110"/>
      <c r="B1132" s="2"/>
      <c r="D1132" s="237" t="s">
        <v>431</v>
      </c>
      <c r="E1132" s="238">
        <v>0.78</v>
      </c>
      <c r="F1132" s="239" t="s">
        <v>425</v>
      </c>
      <c r="G1132" s="235"/>
      <c r="H1132" s="240">
        <f>'DAFTAR HARGA'!I46</f>
        <v>380000</v>
      </c>
      <c r="I1132" s="247">
        <f t="shared" si="9"/>
        <v>296400</v>
      </c>
    </row>
    <row r="1133" spans="1:9">
      <c r="A1133" s="110"/>
      <c r="B1133" s="2"/>
      <c r="D1133" s="242" t="s">
        <v>432</v>
      </c>
      <c r="E1133" s="236" t="s">
        <v>433</v>
      </c>
      <c r="F1133" s="237"/>
      <c r="G1133" s="237"/>
      <c r="H1133" s="242"/>
      <c r="I1133" s="242">
        <f>SUM(I1125:I1132)</f>
        <v>5121014</v>
      </c>
    </row>
    <row r="1134" spans="1:9">
      <c r="A1134" s="110"/>
      <c r="B1134" s="2"/>
      <c r="D1134" s="242" t="s">
        <v>434</v>
      </c>
      <c r="E1134" s="236"/>
      <c r="F1134" s="237"/>
      <c r="G1134" s="237"/>
      <c r="H1134" s="242"/>
      <c r="I1134" s="242"/>
    </row>
    <row r="1135" spans="1:9">
      <c r="A1135" s="110"/>
      <c r="B1135" s="2"/>
      <c r="D1135" s="237" t="s">
        <v>401</v>
      </c>
      <c r="E1135" s="238">
        <v>0.35</v>
      </c>
      <c r="F1135" s="241" t="s">
        <v>435</v>
      </c>
      <c r="G1135" s="235"/>
      <c r="H1135" s="243">
        <f>'DAFTAR HARGA'!I11</f>
        <v>120000</v>
      </c>
      <c r="I1135" s="247">
        <f t="shared" si="9"/>
        <v>42000</v>
      </c>
    </row>
    <row r="1136" spans="1:9">
      <c r="A1136" s="110"/>
      <c r="B1136" s="2"/>
      <c r="D1136" s="237" t="s">
        <v>400</v>
      </c>
      <c r="E1136" s="238">
        <v>1.04</v>
      </c>
      <c r="F1136" s="239" t="s">
        <v>435</v>
      </c>
      <c r="G1136" s="244"/>
      <c r="H1136" s="243">
        <f>'DAFTAR HARGA'!I14</f>
        <v>120000</v>
      </c>
      <c r="I1136" s="247">
        <f t="shared" si="9"/>
        <v>124800</v>
      </c>
    </row>
    <row r="1137" spans="1:9">
      <c r="A1137" s="110"/>
      <c r="B1137" s="2"/>
      <c r="D1137" s="237" t="s">
        <v>399</v>
      </c>
      <c r="E1137" s="238">
        <v>1.05</v>
      </c>
      <c r="F1137" s="239" t="s">
        <v>435</v>
      </c>
      <c r="G1137" s="244"/>
      <c r="H1137" s="243">
        <f>'DAFTAR HARGA'!I19</f>
        <v>150000</v>
      </c>
      <c r="I1137" s="247">
        <f t="shared" si="9"/>
        <v>157500</v>
      </c>
    </row>
    <row r="1138" spans="1:9">
      <c r="A1138" s="110"/>
      <c r="B1138" s="2"/>
      <c r="D1138" s="237" t="s">
        <v>436</v>
      </c>
      <c r="E1138" s="238">
        <v>0.245</v>
      </c>
      <c r="F1138" s="239" t="s">
        <v>435</v>
      </c>
      <c r="G1138" s="244"/>
      <c r="H1138" s="243">
        <f>'DAFTAR HARGA'!I10</f>
        <v>170000</v>
      </c>
      <c r="I1138" s="247">
        <f t="shared" si="9"/>
        <v>41650</v>
      </c>
    </row>
    <row r="1139" spans="1:9">
      <c r="A1139" s="110"/>
      <c r="B1139" s="2"/>
      <c r="D1139" s="237" t="s">
        <v>162</v>
      </c>
      <c r="E1139" s="238">
        <v>3</v>
      </c>
      <c r="F1139" s="239" t="s">
        <v>435</v>
      </c>
      <c r="G1139" s="244"/>
      <c r="H1139" s="243">
        <f>'DAFTAR HARGA'!I12</f>
        <v>90000</v>
      </c>
      <c r="I1139" s="247">
        <f t="shared" si="9"/>
        <v>270000</v>
      </c>
    </row>
    <row r="1140" spans="1:9">
      <c r="A1140" s="110"/>
      <c r="B1140" s="2"/>
      <c r="D1140" s="237" t="s">
        <v>169</v>
      </c>
      <c r="E1140" s="238">
        <f>E1138/2</f>
        <v>0.1225</v>
      </c>
      <c r="F1140" s="239" t="s">
        <v>435</v>
      </c>
      <c r="G1140" s="244"/>
      <c r="H1140" s="243">
        <f>'DAFTAR HARGA'!I8</f>
        <v>215000</v>
      </c>
      <c r="I1140" s="247">
        <f t="shared" si="9"/>
        <v>26337.5</v>
      </c>
    </row>
    <row r="1141" spans="1:9">
      <c r="A1141" s="110"/>
      <c r="B1141" s="2"/>
      <c r="D1141" s="242" t="s">
        <v>437</v>
      </c>
      <c r="E1141" s="236" t="s">
        <v>438</v>
      </c>
      <c r="F1141" s="241"/>
      <c r="G1141" s="237"/>
      <c r="H1141" s="242"/>
      <c r="I1141" s="242">
        <f>SUM(I1135:I1140)</f>
        <v>662287.5</v>
      </c>
    </row>
    <row r="1142" spans="1:9">
      <c r="A1142" s="110"/>
      <c r="B1142" s="2"/>
      <c r="D1142" s="242" t="s">
        <v>439</v>
      </c>
      <c r="E1142" s="236"/>
      <c r="F1142" s="241"/>
      <c r="G1142" s="237"/>
      <c r="H1142" s="242"/>
      <c r="I1142" s="242">
        <f>SUM(I1141,I1133)</f>
        <v>5783301.5</v>
      </c>
    </row>
    <row r="1143" spans="1:9">
      <c r="A1143" s="110"/>
      <c r="B1143" s="2"/>
      <c r="D1143" s="225" t="s">
        <v>414</v>
      </c>
      <c r="E1143" s="238"/>
      <c r="F1143" s="241"/>
      <c r="G1143" s="237"/>
      <c r="H1143" s="237"/>
      <c r="I1143" s="245">
        <f>0.15*I1142</f>
        <v>867495.225</v>
      </c>
    </row>
    <row r="1144" spans="1:9">
      <c r="A1144" s="110"/>
      <c r="B1144" s="2"/>
      <c r="D1144" s="245" t="s">
        <v>440</v>
      </c>
      <c r="E1144" s="238"/>
      <c r="F1144" s="241"/>
      <c r="G1144" s="237"/>
      <c r="H1144" s="237"/>
      <c r="I1144" s="242">
        <f>SUM(I1142:I1143)</f>
        <v>6650796.725</v>
      </c>
    </row>
    <row r="1145" spans="1:9">
      <c r="A1145" s="110"/>
      <c r="B1145" s="2"/>
      <c r="C1145" s="246"/>
      <c r="D1145" s="246"/>
      <c r="E1145" s="246"/>
      <c r="F1145" s="246"/>
      <c r="G1145" s="246"/>
      <c r="H1145" s="246"/>
      <c r="I1145" s="186"/>
    </row>
    <row r="1146" spans="1:9">
      <c r="A1146" s="110"/>
      <c r="B1146" s="2"/>
      <c r="C1146" s="180"/>
      <c r="D1146" s="175"/>
      <c r="E1146" s="115"/>
      <c r="F1146" s="184"/>
      <c r="G1146" s="184"/>
      <c r="H1146" s="183"/>
      <c r="I1146" s="186"/>
    </row>
    <row r="1147" spans="1:9">
      <c r="A1147" s="118" t="s">
        <v>258</v>
      </c>
      <c r="B1147" s="118"/>
      <c r="C1147" s="174" t="s">
        <v>441</v>
      </c>
      <c r="D1147" s="175"/>
      <c r="E1147" s="175"/>
      <c r="F1147" s="175"/>
      <c r="G1147" s="175"/>
      <c r="H1147" s="175"/>
      <c r="I1147" s="178"/>
    </row>
    <row r="1148" spans="1:9">
      <c r="A1148" s="118"/>
      <c r="B1148" s="118"/>
      <c r="C1148" s="123" t="s">
        <v>108</v>
      </c>
      <c r="D1148" s="124" t="s">
        <v>109</v>
      </c>
      <c r="E1148" s="124" t="s">
        <v>156</v>
      </c>
      <c r="F1148" s="125" t="s">
        <v>157</v>
      </c>
      <c r="G1148" s="125" t="s">
        <v>158</v>
      </c>
      <c r="H1148" s="126" t="s">
        <v>159</v>
      </c>
      <c r="I1148" s="165" t="s">
        <v>160</v>
      </c>
    </row>
    <row r="1149" spans="1:9">
      <c r="A1149" s="118"/>
      <c r="B1149" s="118"/>
      <c r="C1149" s="127">
        <v>1</v>
      </c>
      <c r="D1149" s="127">
        <v>2</v>
      </c>
      <c r="E1149" s="127">
        <v>3</v>
      </c>
      <c r="F1149" s="127">
        <v>4</v>
      </c>
      <c r="G1149" s="127">
        <v>5</v>
      </c>
      <c r="H1149" s="128">
        <v>6</v>
      </c>
      <c r="I1149" s="127">
        <v>7</v>
      </c>
    </row>
    <row r="1150" spans="1:9">
      <c r="A1150" s="118"/>
      <c r="B1150" s="118"/>
      <c r="C1150" s="129" t="s">
        <v>4</v>
      </c>
      <c r="D1150" s="130" t="s">
        <v>161</v>
      </c>
      <c r="E1150" s="130"/>
      <c r="F1150" s="131"/>
      <c r="G1150" s="132"/>
      <c r="H1150" s="133"/>
      <c r="I1150" s="166"/>
    </row>
    <row r="1151" spans="1:9">
      <c r="A1151" s="118"/>
      <c r="B1151" s="118"/>
      <c r="C1151" s="134">
        <v>1</v>
      </c>
      <c r="D1151" s="135" t="s">
        <v>162</v>
      </c>
      <c r="E1151" s="136" t="s">
        <v>163</v>
      </c>
      <c r="F1151" s="137" t="s">
        <v>164</v>
      </c>
      <c r="G1151" s="138">
        <v>0.7</v>
      </c>
      <c r="H1151" s="139">
        <f>'DAFTAR HARGA'!I12</f>
        <v>90000</v>
      </c>
      <c r="I1151" s="167">
        <f t="shared" ref="I1151:I1154" si="10">G1151*H1151</f>
        <v>63000</v>
      </c>
    </row>
    <row r="1152" spans="1:9">
      <c r="A1152" s="118"/>
      <c r="B1152" s="118"/>
      <c r="C1152" s="134">
        <v>2</v>
      </c>
      <c r="D1152" s="135" t="s">
        <v>400</v>
      </c>
      <c r="E1152" s="136" t="s">
        <v>166</v>
      </c>
      <c r="F1152" s="137" t="s">
        <v>164</v>
      </c>
      <c r="G1152" s="138">
        <v>0.35</v>
      </c>
      <c r="H1152" s="139">
        <f>'DAFTAR HARGA'!I14</f>
        <v>120000</v>
      </c>
      <c r="I1152" s="167">
        <f t="shared" si="10"/>
        <v>42000</v>
      </c>
    </row>
    <row r="1153" spans="1:9">
      <c r="A1153" s="118"/>
      <c r="B1153" s="118"/>
      <c r="C1153" s="134">
        <v>3</v>
      </c>
      <c r="D1153" s="135" t="s">
        <v>442</v>
      </c>
      <c r="E1153" s="136" t="s">
        <v>168</v>
      </c>
      <c r="F1153" s="137" t="s">
        <v>164</v>
      </c>
      <c r="G1153" s="138">
        <v>0.035</v>
      </c>
      <c r="H1153" s="139">
        <f>'DAFTAR HARGA'!I13</f>
        <v>157500</v>
      </c>
      <c r="I1153" s="167">
        <f t="shared" si="10"/>
        <v>5512.5</v>
      </c>
    </row>
    <row r="1154" spans="1:9">
      <c r="A1154" s="118"/>
      <c r="B1154" s="118"/>
      <c r="C1154" s="140">
        <v>4</v>
      </c>
      <c r="D1154" s="141" t="s">
        <v>169</v>
      </c>
      <c r="E1154" s="142" t="s">
        <v>170</v>
      </c>
      <c r="F1154" s="137" t="s">
        <v>164</v>
      </c>
      <c r="G1154" s="143">
        <v>0.035</v>
      </c>
      <c r="H1154" s="144">
        <f>'DAFTAR HARGA'!I8</f>
        <v>215000</v>
      </c>
      <c r="I1154" s="167">
        <f t="shared" si="10"/>
        <v>7525</v>
      </c>
    </row>
    <row r="1155" spans="1:9">
      <c r="A1155" s="118"/>
      <c r="B1155" s="118"/>
      <c r="C1155" s="145" t="s">
        <v>171</v>
      </c>
      <c r="D1155" s="146"/>
      <c r="E1155" s="146"/>
      <c r="F1155" s="146"/>
      <c r="G1155" s="146"/>
      <c r="H1155" s="146"/>
      <c r="I1155" s="168">
        <f>SUM(I1151:I1154)</f>
        <v>118037.5</v>
      </c>
    </row>
    <row r="1156" spans="1:9">
      <c r="A1156" s="118"/>
      <c r="B1156" s="118"/>
      <c r="C1156" s="147" t="s">
        <v>172</v>
      </c>
      <c r="D1156" s="130" t="s">
        <v>173</v>
      </c>
      <c r="E1156" s="148"/>
      <c r="F1156" s="132"/>
      <c r="G1156" s="132"/>
      <c r="H1156" s="131"/>
      <c r="I1156" s="166"/>
    </row>
    <row r="1157" spans="1:9">
      <c r="A1157" s="118"/>
      <c r="B1157" s="118"/>
      <c r="C1157" s="134">
        <v>1</v>
      </c>
      <c r="D1157" s="135" t="s">
        <v>443</v>
      </c>
      <c r="E1157" s="136"/>
      <c r="F1157" s="137" t="s">
        <v>126</v>
      </c>
      <c r="G1157" s="138">
        <v>1.05</v>
      </c>
      <c r="H1157" s="149">
        <v>60000</v>
      </c>
      <c r="I1157" s="167">
        <f t="shared" ref="I1157:I1160" si="11">G1157*H1157</f>
        <v>63000</v>
      </c>
    </row>
    <row r="1158" spans="1:9">
      <c r="A1158" s="118"/>
      <c r="B1158" s="118"/>
      <c r="C1158" s="134">
        <v>2</v>
      </c>
      <c r="D1158" s="135" t="s">
        <v>444</v>
      </c>
      <c r="E1158" s="136"/>
      <c r="F1158" s="137" t="s">
        <v>176</v>
      </c>
      <c r="G1158" s="138">
        <v>0.6</v>
      </c>
      <c r="H1158" s="149">
        <f>'DAFTAR HARGA'!I89</f>
        <v>15000</v>
      </c>
      <c r="I1158" s="167">
        <f t="shared" si="11"/>
        <v>9000</v>
      </c>
    </row>
    <row r="1159" spans="1:9">
      <c r="A1159" s="118"/>
      <c r="B1159" s="118"/>
      <c r="C1159" s="134">
        <v>3</v>
      </c>
      <c r="D1159" s="135"/>
      <c r="E1159" s="136"/>
      <c r="F1159" s="137"/>
      <c r="G1159" s="138"/>
      <c r="H1159" s="149"/>
      <c r="I1159" s="167"/>
    </row>
    <row r="1160" spans="1:9">
      <c r="A1160" s="118"/>
      <c r="B1160" s="118"/>
      <c r="C1160" s="140">
        <v>4</v>
      </c>
      <c r="D1160" s="141"/>
      <c r="E1160" s="142"/>
      <c r="F1160" s="150"/>
      <c r="G1160" s="143"/>
      <c r="H1160" s="149"/>
      <c r="I1160" s="167"/>
    </row>
    <row r="1161" spans="1:9">
      <c r="A1161" s="118"/>
      <c r="B1161" s="118"/>
      <c r="C1161" s="152" t="s">
        <v>178</v>
      </c>
      <c r="D1161" s="153"/>
      <c r="E1161" s="153"/>
      <c r="F1161" s="153"/>
      <c r="G1161" s="153"/>
      <c r="H1161" s="153"/>
      <c r="I1161" s="169">
        <f>SUM(I1157:I1160)</f>
        <v>72000</v>
      </c>
    </row>
    <row r="1162" spans="1:9">
      <c r="A1162" s="115"/>
      <c r="B1162" s="115"/>
      <c r="C1162" s="147" t="s">
        <v>179</v>
      </c>
      <c r="D1162" s="130" t="s">
        <v>180</v>
      </c>
      <c r="E1162" s="148"/>
      <c r="F1162" s="132"/>
      <c r="G1162" s="132"/>
      <c r="H1162" s="133"/>
      <c r="I1162" s="166"/>
    </row>
    <row r="1163" spans="1:9">
      <c r="A1163" s="115"/>
      <c r="B1163" s="115"/>
      <c r="C1163" s="140"/>
      <c r="D1163" s="141"/>
      <c r="E1163" s="142"/>
      <c r="F1163" s="150"/>
      <c r="G1163" s="154"/>
      <c r="H1163" s="144"/>
      <c r="I1163" s="170"/>
    </row>
    <row r="1164" spans="1:9">
      <c r="A1164" s="115"/>
      <c r="B1164" s="115"/>
      <c r="C1164" s="152" t="s">
        <v>181</v>
      </c>
      <c r="D1164" s="153"/>
      <c r="E1164" s="153"/>
      <c r="F1164" s="153"/>
      <c r="G1164" s="153"/>
      <c r="H1164" s="153"/>
      <c r="I1164" s="171">
        <f>SUM(I1163)</f>
        <v>0</v>
      </c>
    </row>
    <row r="1165" spans="1:9">
      <c r="A1165" s="115"/>
      <c r="B1165" s="115"/>
      <c r="C1165" s="127" t="s">
        <v>182</v>
      </c>
      <c r="D1165" s="155" t="s">
        <v>183</v>
      </c>
      <c r="E1165" s="156"/>
      <c r="F1165" s="157"/>
      <c r="G1165" s="157"/>
      <c r="H1165" s="158"/>
      <c r="I1165" s="171">
        <f>SUM(I1155,I1161,I1164)</f>
        <v>190037.5</v>
      </c>
    </row>
    <row r="1166" spans="1:9">
      <c r="A1166" s="115"/>
      <c r="B1166" s="115"/>
      <c r="C1166" s="127" t="s">
        <v>184</v>
      </c>
      <c r="D1166" s="155" t="s">
        <v>185</v>
      </c>
      <c r="E1166" s="156"/>
      <c r="F1166" s="159">
        <v>0.15</v>
      </c>
      <c r="G1166" s="157" t="s">
        <v>186</v>
      </c>
      <c r="H1166" s="158"/>
      <c r="I1166" s="171">
        <f>I1165*F1166</f>
        <v>28505.625</v>
      </c>
    </row>
    <row r="1167" spans="1:9">
      <c r="A1167" s="115"/>
      <c r="B1167" s="115"/>
      <c r="C1167" s="160" t="s">
        <v>187</v>
      </c>
      <c r="D1167" s="161" t="s">
        <v>188</v>
      </c>
      <c r="E1167" s="124"/>
      <c r="F1167" s="125"/>
      <c r="G1167" s="125"/>
      <c r="H1167" s="162"/>
      <c r="I1167" s="172">
        <f>SUM(I1165:I1166)</f>
        <v>218543.125</v>
      </c>
    </row>
  </sheetData>
  <mergeCells count="164">
    <mergeCell ref="A1:I1"/>
    <mergeCell ref="C16:H16"/>
    <mergeCell ref="C21:H21"/>
    <mergeCell ref="C24:H24"/>
    <mergeCell ref="C35:H35"/>
    <mergeCell ref="C37:H37"/>
    <mergeCell ref="C40:H40"/>
    <mergeCell ref="C51:H51"/>
    <mergeCell ref="C53:H53"/>
    <mergeCell ref="C56:H56"/>
    <mergeCell ref="C68:H68"/>
    <mergeCell ref="C71:H71"/>
    <mergeCell ref="C74:H74"/>
    <mergeCell ref="C85:H85"/>
    <mergeCell ref="C88:H88"/>
    <mergeCell ref="C91:H91"/>
    <mergeCell ref="C104:H104"/>
    <mergeCell ref="C109:H109"/>
    <mergeCell ref="C112:H112"/>
    <mergeCell ref="C126:H126"/>
    <mergeCell ref="C129:H129"/>
    <mergeCell ref="C132:H132"/>
    <mergeCell ref="C146:H146"/>
    <mergeCell ref="C152:H152"/>
    <mergeCell ref="C155:H155"/>
    <mergeCell ref="C168:H168"/>
    <mergeCell ref="C175:H175"/>
    <mergeCell ref="C178:H178"/>
    <mergeCell ref="C194:H194"/>
    <mergeCell ref="C208:H208"/>
    <mergeCell ref="C211:H211"/>
    <mergeCell ref="C226:H226"/>
    <mergeCell ref="C231:H231"/>
    <mergeCell ref="C234:H234"/>
    <mergeCell ref="C247:H247"/>
    <mergeCell ref="C251:H251"/>
    <mergeCell ref="C254:H254"/>
    <mergeCell ref="C267:H267"/>
    <mergeCell ref="C270:H270"/>
    <mergeCell ref="C273:H273"/>
    <mergeCell ref="C286:H286"/>
    <mergeCell ref="C292:H292"/>
    <mergeCell ref="C295:H295"/>
    <mergeCell ref="C308:H308"/>
    <mergeCell ref="C314:H314"/>
    <mergeCell ref="C317:H317"/>
    <mergeCell ref="C330:H330"/>
    <mergeCell ref="C336:H336"/>
    <mergeCell ref="C339:H339"/>
    <mergeCell ref="C352:H352"/>
    <mergeCell ref="C358:H358"/>
    <mergeCell ref="C361:H361"/>
    <mergeCell ref="C374:H374"/>
    <mergeCell ref="C380:H380"/>
    <mergeCell ref="C383:H383"/>
    <mergeCell ref="C396:H396"/>
    <mergeCell ref="C402:H402"/>
    <mergeCell ref="C405:H405"/>
    <mergeCell ref="C419:H419"/>
    <mergeCell ref="C424:H424"/>
    <mergeCell ref="C427:H427"/>
    <mergeCell ref="C440:H440"/>
    <mergeCell ref="C444:H444"/>
    <mergeCell ref="C447:H447"/>
    <mergeCell ref="C460:H460"/>
    <mergeCell ref="C464:H464"/>
    <mergeCell ref="C467:H467"/>
    <mergeCell ref="C480:H480"/>
    <mergeCell ref="C484:H484"/>
    <mergeCell ref="C487:H487"/>
    <mergeCell ref="C500:H500"/>
    <mergeCell ref="C504:H504"/>
    <mergeCell ref="C507:H507"/>
    <mergeCell ref="C521:H521"/>
    <mergeCell ref="C524:H524"/>
    <mergeCell ref="C527:H527"/>
    <mergeCell ref="C540:H540"/>
    <mergeCell ref="C543:H543"/>
    <mergeCell ref="C546:H546"/>
    <mergeCell ref="C559:H559"/>
    <mergeCell ref="C562:H562"/>
    <mergeCell ref="C565:H565"/>
    <mergeCell ref="C578:H578"/>
    <mergeCell ref="C581:H581"/>
    <mergeCell ref="C584:H584"/>
    <mergeCell ref="C597:H597"/>
    <mergeCell ref="C600:H600"/>
    <mergeCell ref="C603:H603"/>
    <mergeCell ref="C616:H616"/>
    <mergeCell ref="C619:H619"/>
    <mergeCell ref="C622:H622"/>
    <mergeCell ref="C635:H635"/>
    <mergeCell ref="C639:H639"/>
    <mergeCell ref="C642:H642"/>
    <mergeCell ref="C655:H655"/>
    <mergeCell ref="C659:H659"/>
    <mergeCell ref="C662:H662"/>
    <mergeCell ref="C675:H675"/>
    <mergeCell ref="C679:H679"/>
    <mergeCell ref="C682:H682"/>
    <mergeCell ref="C695:H695"/>
    <mergeCell ref="C699:H699"/>
    <mergeCell ref="C702:H702"/>
    <mergeCell ref="C715:H715"/>
    <mergeCell ref="C719:H719"/>
    <mergeCell ref="C722:H722"/>
    <mergeCell ref="C735:H735"/>
    <mergeCell ref="C739:H739"/>
    <mergeCell ref="C742:H742"/>
    <mergeCell ref="C755:H755"/>
    <mergeCell ref="C760:H760"/>
    <mergeCell ref="C763:H763"/>
    <mergeCell ref="C777:H777"/>
    <mergeCell ref="C782:H782"/>
    <mergeCell ref="C785:H785"/>
    <mergeCell ref="C798:H798"/>
    <mergeCell ref="C804:H804"/>
    <mergeCell ref="C807:H807"/>
    <mergeCell ref="C821:H821"/>
    <mergeCell ref="C827:H827"/>
    <mergeCell ref="C830:H830"/>
    <mergeCell ref="C843:H843"/>
    <mergeCell ref="C847:H847"/>
    <mergeCell ref="C850:H850"/>
    <mergeCell ref="C864:H864"/>
    <mergeCell ref="C867:H867"/>
    <mergeCell ref="C870:H870"/>
    <mergeCell ref="C883:H883"/>
    <mergeCell ref="C887:H887"/>
    <mergeCell ref="C890:H890"/>
    <mergeCell ref="C903:H903"/>
    <mergeCell ref="C907:H907"/>
    <mergeCell ref="C910:H910"/>
    <mergeCell ref="C924:H924"/>
    <mergeCell ref="C928:H928"/>
    <mergeCell ref="C931:H931"/>
    <mergeCell ref="C944:H944"/>
    <mergeCell ref="C948:H948"/>
    <mergeCell ref="C951:H951"/>
    <mergeCell ref="C964:H964"/>
    <mergeCell ref="C968:H968"/>
    <mergeCell ref="C971:H971"/>
    <mergeCell ref="C985:H985"/>
    <mergeCell ref="C990:H990"/>
    <mergeCell ref="C993:H993"/>
    <mergeCell ref="C1006:H1006"/>
    <mergeCell ref="C1011:H1011"/>
    <mergeCell ref="C1014:H1014"/>
    <mergeCell ref="C1027:H1027"/>
    <mergeCell ref="C1036:H1036"/>
    <mergeCell ref="C1039:H1039"/>
    <mergeCell ref="C1054:H1054"/>
    <mergeCell ref="C1063:H1063"/>
    <mergeCell ref="C1065:H1065"/>
    <mergeCell ref="C1080:H1080"/>
    <mergeCell ref="C1089:H1089"/>
    <mergeCell ref="C1091:H1091"/>
    <mergeCell ref="C1106:H1106"/>
    <mergeCell ref="C1115:H1115"/>
    <mergeCell ref="C1117:H1117"/>
    <mergeCell ref="C1145:H1145"/>
    <mergeCell ref="C1155:H1155"/>
    <mergeCell ref="C1161:H1161"/>
    <mergeCell ref="C1164:H1164"/>
  </mergeCells>
  <pageMargins left="0.36" right="0.33" top="0.49" bottom="0.52" header="0.3" footer="0.3"/>
  <pageSetup paperSize="9" scale="48" orientation="portrait" verticalDpi="300"/>
  <headerFooter>
    <oddFooter>&amp;RPage &amp;P of &amp;N</oddFooter>
  </headerFooter>
  <rowBreaks count="14" manualBreakCount="14">
    <brk id="60" max="8" man="1"/>
    <brk id="137" max="8" man="1"/>
    <brk id="183" max="8" man="1"/>
    <brk id="277" max="8" man="1"/>
    <brk id="343" max="8" man="1"/>
    <brk id="471" max="8" man="1"/>
    <brk id="531" max="8" man="1"/>
    <brk id="607" max="8" man="1"/>
    <brk id="666" max="8" man="1"/>
    <brk id="746" max="8" man="1"/>
    <brk id="812" max="8" man="1"/>
    <brk id="894" max="8" man="1"/>
    <brk id="1018" max="8" man="1"/>
    <brk id="1095" max="8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N140"/>
  <sheetViews>
    <sheetView view="pageBreakPreview" zoomScale="115" zoomScaleNormal="85" topLeftCell="A95" workbookViewId="0">
      <selection activeCell="G110" sqref="G110"/>
    </sheetView>
  </sheetViews>
  <sheetFormatPr defaultColWidth="9" defaultRowHeight="12.75"/>
  <cols>
    <col min="1" max="1" width="9.14285714285714" style="1"/>
    <col min="2" max="2" width="3.42857142857143" style="1" customWidth="1"/>
    <col min="3" max="3" width="9.14285714285714" style="1"/>
    <col min="4" max="4" width="3.28571428571429" style="1" customWidth="1"/>
    <col min="5" max="5" width="9.14285714285714" style="1"/>
    <col min="6" max="6" width="37.2857142857143" style="1" customWidth="1"/>
    <col min="7" max="7" width="14" style="1" customWidth="1"/>
    <col min="8" max="8" width="6.71428571428571" style="1" customWidth="1"/>
    <col min="9" max="9" width="16.4285714285714" style="1" customWidth="1"/>
    <col min="10" max="10" width="9.14285714285714" style="1"/>
    <col min="11" max="11" width="20.1428571428571" style="1" customWidth="1"/>
    <col min="12" max="12" width="11.5714285714286" style="1" customWidth="1"/>
    <col min="13" max="13" width="13.8571428571429" style="2" customWidth="1"/>
    <col min="14" max="14" width="16.1428571428571" style="1" customWidth="1"/>
    <col min="15" max="257" width="9.14285714285714" style="1"/>
    <col min="258" max="258" width="3.42857142857143" style="1" customWidth="1"/>
    <col min="259" max="259" width="9.14285714285714" style="1"/>
    <col min="260" max="260" width="3.28571428571429" style="1" customWidth="1"/>
    <col min="261" max="261" width="9.14285714285714" style="1"/>
    <col min="262" max="262" width="37.2857142857143" style="1" customWidth="1"/>
    <col min="263" max="263" width="14" style="1" customWidth="1"/>
    <col min="264" max="264" width="6.71428571428571" style="1" customWidth="1"/>
    <col min="265" max="265" width="16.4285714285714" style="1" customWidth="1"/>
    <col min="266" max="266" width="9.14285714285714" style="1"/>
    <col min="267" max="267" width="20.1428571428571" style="1" customWidth="1"/>
    <col min="268" max="268" width="11.5714285714286" style="1" customWidth="1"/>
    <col min="269" max="269" width="13.8571428571429" style="1" customWidth="1"/>
    <col min="270" max="270" width="16.1428571428571" style="1" customWidth="1"/>
    <col min="271" max="513" width="9.14285714285714" style="1"/>
    <col min="514" max="514" width="3.42857142857143" style="1" customWidth="1"/>
    <col min="515" max="515" width="9.14285714285714" style="1"/>
    <col min="516" max="516" width="3.28571428571429" style="1" customWidth="1"/>
    <col min="517" max="517" width="9.14285714285714" style="1"/>
    <col min="518" max="518" width="37.2857142857143" style="1" customWidth="1"/>
    <col min="519" max="519" width="14" style="1" customWidth="1"/>
    <col min="520" max="520" width="6.71428571428571" style="1" customWidth="1"/>
    <col min="521" max="521" width="16.4285714285714" style="1" customWidth="1"/>
    <col min="522" max="522" width="9.14285714285714" style="1"/>
    <col min="523" max="523" width="20.1428571428571" style="1" customWidth="1"/>
    <col min="524" max="524" width="11.5714285714286" style="1" customWidth="1"/>
    <col min="525" max="525" width="13.8571428571429" style="1" customWidth="1"/>
    <col min="526" max="526" width="16.1428571428571" style="1" customWidth="1"/>
    <col min="527" max="769" width="9.14285714285714" style="1"/>
    <col min="770" max="770" width="3.42857142857143" style="1" customWidth="1"/>
    <col min="771" max="771" width="9.14285714285714" style="1"/>
    <col min="772" max="772" width="3.28571428571429" style="1" customWidth="1"/>
    <col min="773" max="773" width="9.14285714285714" style="1"/>
    <col min="774" max="774" width="37.2857142857143" style="1" customWidth="1"/>
    <col min="775" max="775" width="14" style="1" customWidth="1"/>
    <col min="776" max="776" width="6.71428571428571" style="1" customWidth="1"/>
    <col min="777" max="777" width="16.4285714285714" style="1" customWidth="1"/>
    <col min="778" max="778" width="9.14285714285714" style="1"/>
    <col min="779" max="779" width="20.1428571428571" style="1" customWidth="1"/>
    <col min="780" max="780" width="11.5714285714286" style="1" customWidth="1"/>
    <col min="781" max="781" width="13.8571428571429" style="1" customWidth="1"/>
    <col min="782" max="782" width="16.1428571428571" style="1" customWidth="1"/>
    <col min="783" max="1025" width="9.14285714285714" style="1"/>
    <col min="1026" max="1026" width="3.42857142857143" style="1" customWidth="1"/>
    <col min="1027" max="1027" width="9.14285714285714" style="1"/>
    <col min="1028" max="1028" width="3.28571428571429" style="1" customWidth="1"/>
    <col min="1029" max="1029" width="9.14285714285714" style="1"/>
    <col min="1030" max="1030" width="37.2857142857143" style="1" customWidth="1"/>
    <col min="1031" max="1031" width="14" style="1" customWidth="1"/>
    <col min="1032" max="1032" width="6.71428571428571" style="1" customWidth="1"/>
    <col min="1033" max="1033" width="16.4285714285714" style="1" customWidth="1"/>
    <col min="1034" max="1034" width="9.14285714285714" style="1"/>
    <col min="1035" max="1035" width="20.1428571428571" style="1" customWidth="1"/>
    <col min="1036" max="1036" width="11.5714285714286" style="1" customWidth="1"/>
    <col min="1037" max="1037" width="13.8571428571429" style="1" customWidth="1"/>
    <col min="1038" max="1038" width="16.1428571428571" style="1" customWidth="1"/>
    <col min="1039" max="1281" width="9.14285714285714" style="1"/>
    <col min="1282" max="1282" width="3.42857142857143" style="1" customWidth="1"/>
    <col min="1283" max="1283" width="9.14285714285714" style="1"/>
    <col min="1284" max="1284" width="3.28571428571429" style="1" customWidth="1"/>
    <col min="1285" max="1285" width="9.14285714285714" style="1"/>
    <col min="1286" max="1286" width="37.2857142857143" style="1" customWidth="1"/>
    <col min="1287" max="1287" width="14" style="1" customWidth="1"/>
    <col min="1288" max="1288" width="6.71428571428571" style="1" customWidth="1"/>
    <col min="1289" max="1289" width="16.4285714285714" style="1" customWidth="1"/>
    <col min="1290" max="1290" width="9.14285714285714" style="1"/>
    <col min="1291" max="1291" width="20.1428571428571" style="1" customWidth="1"/>
    <col min="1292" max="1292" width="11.5714285714286" style="1" customWidth="1"/>
    <col min="1293" max="1293" width="13.8571428571429" style="1" customWidth="1"/>
    <col min="1294" max="1294" width="16.1428571428571" style="1" customWidth="1"/>
    <col min="1295" max="1537" width="9.14285714285714" style="1"/>
    <col min="1538" max="1538" width="3.42857142857143" style="1" customWidth="1"/>
    <col min="1539" max="1539" width="9.14285714285714" style="1"/>
    <col min="1540" max="1540" width="3.28571428571429" style="1" customWidth="1"/>
    <col min="1541" max="1541" width="9.14285714285714" style="1"/>
    <col min="1542" max="1542" width="37.2857142857143" style="1" customWidth="1"/>
    <col min="1543" max="1543" width="14" style="1" customWidth="1"/>
    <col min="1544" max="1544" width="6.71428571428571" style="1" customWidth="1"/>
    <col min="1545" max="1545" width="16.4285714285714" style="1" customWidth="1"/>
    <col min="1546" max="1546" width="9.14285714285714" style="1"/>
    <col min="1547" max="1547" width="20.1428571428571" style="1" customWidth="1"/>
    <col min="1548" max="1548" width="11.5714285714286" style="1" customWidth="1"/>
    <col min="1549" max="1549" width="13.8571428571429" style="1" customWidth="1"/>
    <col min="1550" max="1550" width="16.1428571428571" style="1" customWidth="1"/>
    <col min="1551" max="1793" width="9.14285714285714" style="1"/>
    <col min="1794" max="1794" width="3.42857142857143" style="1" customWidth="1"/>
    <col min="1795" max="1795" width="9.14285714285714" style="1"/>
    <col min="1796" max="1796" width="3.28571428571429" style="1" customWidth="1"/>
    <col min="1797" max="1797" width="9.14285714285714" style="1"/>
    <col min="1798" max="1798" width="37.2857142857143" style="1" customWidth="1"/>
    <col min="1799" max="1799" width="14" style="1" customWidth="1"/>
    <col min="1800" max="1800" width="6.71428571428571" style="1" customWidth="1"/>
    <col min="1801" max="1801" width="16.4285714285714" style="1" customWidth="1"/>
    <col min="1802" max="1802" width="9.14285714285714" style="1"/>
    <col min="1803" max="1803" width="20.1428571428571" style="1" customWidth="1"/>
    <col min="1804" max="1804" width="11.5714285714286" style="1" customWidth="1"/>
    <col min="1805" max="1805" width="13.8571428571429" style="1" customWidth="1"/>
    <col min="1806" max="1806" width="16.1428571428571" style="1" customWidth="1"/>
    <col min="1807" max="2049" width="9.14285714285714" style="1"/>
    <col min="2050" max="2050" width="3.42857142857143" style="1" customWidth="1"/>
    <col min="2051" max="2051" width="9.14285714285714" style="1"/>
    <col min="2052" max="2052" width="3.28571428571429" style="1" customWidth="1"/>
    <col min="2053" max="2053" width="9.14285714285714" style="1"/>
    <col min="2054" max="2054" width="37.2857142857143" style="1" customWidth="1"/>
    <col min="2055" max="2055" width="14" style="1" customWidth="1"/>
    <col min="2056" max="2056" width="6.71428571428571" style="1" customWidth="1"/>
    <col min="2057" max="2057" width="16.4285714285714" style="1" customWidth="1"/>
    <col min="2058" max="2058" width="9.14285714285714" style="1"/>
    <col min="2059" max="2059" width="20.1428571428571" style="1" customWidth="1"/>
    <col min="2060" max="2060" width="11.5714285714286" style="1" customWidth="1"/>
    <col min="2061" max="2061" width="13.8571428571429" style="1" customWidth="1"/>
    <col min="2062" max="2062" width="16.1428571428571" style="1" customWidth="1"/>
    <col min="2063" max="2305" width="9.14285714285714" style="1"/>
    <col min="2306" max="2306" width="3.42857142857143" style="1" customWidth="1"/>
    <col min="2307" max="2307" width="9.14285714285714" style="1"/>
    <col min="2308" max="2308" width="3.28571428571429" style="1" customWidth="1"/>
    <col min="2309" max="2309" width="9.14285714285714" style="1"/>
    <col min="2310" max="2310" width="37.2857142857143" style="1" customWidth="1"/>
    <col min="2311" max="2311" width="14" style="1" customWidth="1"/>
    <col min="2312" max="2312" width="6.71428571428571" style="1" customWidth="1"/>
    <col min="2313" max="2313" width="16.4285714285714" style="1" customWidth="1"/>
    <col min="2314" max="2314" width="9.14285714285714" style="1"/>
    <col min="2315" max="2315" width="20.1428571428571" style="1" customWidth="1"/>
    <col min="2316" max="2316" width="11.5714285714286" style="1" customWidth="1"/>
    <col min="2317" max="2317" width="13.8571428571429" style="1" customWidth="1"/>
    <col min="2318" max="2318" width="16.1428571428571" style="1" customWidth="1"/>
    <col min="2319" max="2561" width="9.14285714285714" style="1"/>
    <col min="2562" max="2562" width="3.42857142857143" style="1" customWidth="1"/>
    <col min="2563" max="2563" width="9.14285714285714" style="1"/>
    <col min="2564" max="2564" width="3.28571428571429" style="1" customWidth="1"/>
    <col min="2565" max="2565" width="9.14285714285714" style="1"/>
    <col min="2566" max="2566" width="37.2857142857143" style="1" customWidth="1"/>
    <col min="2567" max="2567" width="14" style="1" customWidth="1"/>
    <col min="2568" max="2568" width="6.71428571428571" style="1" customWidth="1"/>
    <col min="2569" max="2569" width="16.4285714285714" style="1" customWidth="1"/>
    <col min="2570" max="2570" width="9.14285714285714" style="1"/>
    <col min="2571" max="2571" width="20.1428571428571" style="1" customWidth="1"/>
    <col min="2572" max="2572" width="11.5714285714286" style="1" customWidth="1"/>
    <col min="2573" max="2573" width="13.8571428571429" style="1" customWidth="1"/>
    <col min="2574" max="2574" width="16.1428571428571" style="1" customWidth="1"/>
    <col min="2575" max="2817" width="9.14285714285714" style="1"/>
    <col min="2818" max="2818" width="3.42857142857143" style="1" customWidth="1"/>
    <col min="2819" max="2819" width="9.14285714285714" style="1"/>
    <col min="2820" max="2820" width="3.28571428571429" style="1" customWidth="1"/>
    <col min="2821" max="2821" width="9.14285714285714" style="1"/>
    <col min="2822" max="2822" width="37.2857142857143" style="1" customWidth="1"/>
    <col min="2823" max="2823" width="14" style="1" customWidth="1"/>
    <col min="2824" max="2824" width="6.71428571428571" style="1" customWidth="1"/>
    <col min="2825" max="2825" width="16.4285714285714" style="1" customWidth="1"/>
    <col min="2826" max="2826" width="9.14285714285714" style="1"/>
    <col min="2827" max="2827" width="20.1428571428571" style="1" customWidth="1"/>
    <col min="2828" max="2828" width="11.5714285714286" style="1" customWidth="1"/>
    <col min="2829" max="2829" width="13.8571428571429" style="1" customWidth="1"/>
    <col min="2830" max="2830" width="16.1428571428571" style="1" customWidth="1"/>
    <col min="2831" max="3073" width="9.14285714285714" style="1"/>
    <col min="3074" max="3074" width="3.42857142857143" style="1" customWidth="1"/>
    <col min="3075" max="3075" width="9.14285714285714" style="1"/>
    <col min="3076" max="3076" width="3.28571428571429" style="1" customWidth="1"/>
    <col min="3077" max="3077" width="9.14285714285714" style="1"/>
    <col min="3078" max="3078" width="37.2857142857143" style="1" customWidth="1"/>
    <col min="3079" max="3079" width="14" style="1" customWidth="1"/>
    <col min="3080" max="3080" width="6.71428571428571" style="1" customWidth="1"/>
    <col min="3081" max="3081" width="16.4285714285714" style="1" customWidth="1"/>
    <col min="3082" max="3082" width="9.14285714285714" style="1"/>
    <col min="3083" max="3083" width="20.1428571428571" style="1" customWidth="1"/>
    <col min="3084" max="3084" width="11.5714285714286" style="1" customWidth="1"/>
    <col min="3085" max="3085" width="13.8571428571429" style="1" customWidth="1"/>
    <col min="3086" max="3086" width="16.1428571428571" style="1" customWidth="1"/>
    <col min="3087" max="3329" width="9.14285714285714" style="1"/>
    <col min="3330" max="3330" width="3.42857142857143" style="1" customWidth="1"/>
    <col min="3331" max="3331" width="9.14285714285714" style="1"/>
    <col min="3332" max="3332" width="3.28571428571429" style="1" customWidth="1"/>
    <col min="3333" max="3333" width="9.14285714285714" style="1"/>
    <col min="3334" max="3334" width="37.2857142857143" style="1" customWidth="1"/>
    <col min="3335" max="3335" width="14" style="1" customWidth="1"/>
    <col min="3336" max="3336" width="6.71428571428571" style="1" customWidth="1"/>
    <col min="3337" max="3337" width="16.4285714285714" style="1" customWidth="1"/>
    <col min="3338" max="3338" width="9.14285714285714" style="1"/>
    <col min="3339" max="3339" width="20.1428571428571" style="1" customWidth="1"/>
    <col min="3340" max="3340" width="11.5714285714286" style="1" customWidth="1"/>
    <col min="3341" max="3341" width="13.8571428571429" style="1" customWidth="1"/>
    <col min="3342" max="3342" width="16.1428571428571" style="1" customWidth="1"/>
    <col min="3343" max="3585" width="9.14285714285714" style="1"/>
    <col min="3586" max="3586" width="3.42857142857143" style="1" customWidth="1"/>
    <col min="3587" max="3587" width="9.14285714285714" style="1"/>
    <col min="3588" max="3588" width="3.28571428571429" style="1" customWidth="1"/>
    <col min="3589" max="3589" width="9.14285714285714" style="1"/>
    <col min="3590" max="3590" width="37.2857142857143" style="1" customWidth="1"/>
    <col min="3591" max="3591" width="14" style="1" customWidth="1"/>
    <col min="3592" max="3592" width="6.71428571428571" style="1" customWidth="1"/>
    <col min="3593" max="3593" width="16.4285714285714" style="1" customWidth="1"/>
    <col min="3594" max="3594" width="9.14285714285714" style="1"/>
    <col min="3595" max="3595" width="20.1428571428571" style="1" customWidth="1"/>
    <col min="3596" max="3596" width="11.5714285714286" style="1" customWidth="1"/>
    <col min="3597" max="3597" width="13.8571428571429" style="1" customWidth="1"/>
    <col min="3598" max="3598" width="16.1428571428571" style="1" customWidth="1"/>
    <col min="3599" max="3841" width="9.14285714285714" style="1"/>
    <col min="3842" max="3842" width="3.42857142857143" style="1" customWidth="1"/>
    <col min="3843" max="3843" width="9.14285714285714" style="1"/>
    <col min="3844" max="3844" width="3.28571428571429" style="1" customWidth="1"/>
    <col min="3845" max="3845" width="9.14285714285714" style="1"/>
    <col min="3846" max="3846" width="37.2857142857143" style="1" customWidth="1"/>
    <col min="3847" max="3847" width="14" style="1" customWidth="1"/>
    <col min="3848" max="3848" width="6.71428571428571" style="1" customWidth="1"/>
    <col min="3849" max="3849" width="16.4285714285714" style="1" customWidth="1"/>
    <col min="3850" max="3850" width="9.14285714285714" style="1"/>
    <col min="3851" max="3851" width="20.1428571428571" style="1" customWidth="1"/>
    <col min="3852" max="3852" width="11.5714285714286" style="1" customWidth="1"/>
    <col min="3853" max="3853" width="13.8571428571429" style="1" customWidth="1"/>
    <col min="3854" max="3854" width="16.1428571428571" style="1" customWidth="1"/>
    <col min="3855" max="4097" width="9.14285714285714" style="1"/>
    <col min="4098" max="4098" width="3.42857142857143" style="1" customWidth="1"/>
    <col min="4099" max="4099" width="9.14285714285714" style="1"/>
    <col min="4100" max="4100" width="3.28571428571429" style="1" customWidth="1"/>
    <col min="4101" max="4101" width="9.14285714285714" style="1"/>
    <col min="4102" max="4102" width="37.2857142857143" style="1" customWidth="1"/>
    <col min="4103" max="4103" width="14" style="1" customWidth="1"/>
    <col min="4104" max="4104" width="6.71428571428571" style="1" customWidth="1"/>
    <col min="4105" max="4105" width="16.4285714285714" style="1" customWidth="1"/>
    <col min="4106" max="4106" width="9.14285714285714" style="1"/>
    <col min="4107" max="4107" width="20.1428571428571" style="1" customWidth="1"/>
    <col min="4108" max="4108" width="11.5714285714286" style="1" customWidth="1"/>
    <col min="4109" max="4109" width="13.8571428571429" style="1" customWidth="1"/>
    <col min="4110" max="4110" width="16.1428571428571" style="1" customWidth="1"/>
    <col min="4111" max="4353" width="9.14285714285714" style="1"/>
    <col min="4354" max="4354" width="3.42857142857143" style="1" customWidth="1"/>
    <col min="4355" max="4355" width="9.14285714285714" style="1"/>
    <col min="4356" max="4356" width="3.28571428571429" style="1" customWidth="1"/>
    <col min="4357" max="4357" width="9.14285714285714" style="1"/>
    <col min="4358" max="4358" width="37.2857142857143" style="1" customWidth="1"/>
    <col min="4359" max="4359" width="14" style="1" customWidth="1"/>
    <col min="4360" max="4360" width="6.71428571428571" style="1" customWidth="1"/>
    <col min="4361" max="4361" width="16.4285714285714" style="1" customWidth="1"/>
    <col min="4362" max="4362" width="9.14285714285714" style="1"/>
    <col min="4363" max="4363" width="20.1428571428571" style="1" customWidth="1"/>
    <col min="4364" max="4364" width="11.5714285714286" style="1" customWidth="1"/>
    <col min="4365" max="4365" width="13.8571428571429" style="1" customWidth="1"/>
    <col min="4366" max="4366" width="16.1428571428571" style="1" customWidth="1"/>
    <col min="4367" max="4609" width="9.14285714285714" style="1"/>
    <col min="4610" max="4610" width="3.42857142857143" style="1" customWidth="1"/>
    <col min="4611" max="4611" width="9.14285714285714" style="1"/>
    <col min="4612" max="4612" width="3.28571428571429" style="1" customWidth="1"/>
    <col min="4613" max="4613" width="9.14285714285714" style="1"/>
    <col min="4614" max="4614" width="37.2857142857143" style="1" customWidth="1"/>
    <col min="4615" max="4615" width="14" style="1" customWidth="1"/>
    <col min="4616" max="4616" width="6.71428571428571" style="1" customWidth="1"/>
    <col min="4617" max="4617" width="16.4285714285714" style="1" customWidth="1"/>
    <col min="4618" max="4618" width="9.14285714285714" style="1"/>
    <col min="4619" max="4619" width="20.1428571428571" style="1" customWidth="1"/>
    <col min="4620" max="4620" width="11.5714285714286" style="1" customWidth="1"/>
    <col min="4621" max="4621" width="13.8571428571429" style="1" customWidth="1"/>
    <col min="4622" max="4622" width="16.1428571428571" style="1" customWidth="1"/>
    <col min="4623" max="4865" width="9.14285714285714" style="1"/>
    <col min="4866" max="4866" width="3.42857142857143" style="1" customWidth="1"/>
    <col min="4867" max="4867" width="9.14285714285714" style="1"/>
    <col min="4868" max="4868" width="3.28571428571429" style="1" customWidth="1"/>
    <col min="4869" max="4869" width="9.14285714285714" style="1"/>
    <col min="4870" max="4870" width="37.2857142857143" style="1" customWidth="1"/>
    <col min="4871" max="4871" width="14" style="1" customWidth="1"/>
    <col min="4872" max="4872" width="6.71428571428571" style="1" customWidth="1"/>
    <col min="4873" max="4873" width="16.4285714285714" style="1" customWidth="1"/>
    <col min="4874" max="4874" width="9.14285714285714" style="1"/>
    <col min="4875" max="4875" width="20.1428571428571" style="1" customWidth="1"/>
    <col min="4876" max="4876" width="11.5714285714286" style="1" customWidth="1"/>
    <col min="4877" max="4877" width="13.8571428571429" style="1" customWidth="1"/>
    <col min="4878" max="4878" width="16.1428571428571" style="1" customWidth="1"/>
    <col min="4879" max="5121" width="9.14285714285714" style="1"/>
    <col min="5122" max="5122" width="3.42857142857143" style="1" customWidth="1"/>
    <col min="5123" max="5123" width="9.14285714285714" style="1"/>
    <col min="5124" max="5124" width="3.28571428571429" style="1" customWidth="1"/>
    <col min="5125" max="5125" width="9.14285714285714" style="1"/>
    <col min="5126" max="5126" width="37.2857142857143" style="1" customWidth="1"/>
    <col min="5127" max="5127" width="14" style="1" customWidth="1"/>
    <col min="5128" max="5128" width="6.71428571428571" style="1" customWidth="1"/>
    <col min="5129" max="5129" width="16.4285714285714" style="1" customWidth="1"/>
    <col min="5130" max="5130" width="9.14285714285714" style="1"/>
    <col min="5131" max="5131" width="20.1428571428571" style="1" customWidth="1"/>
    <col min="5132" max="5132" width="11.5714285714286" style="1" customWidth="1"/>
    <col min="5133" max="5133" width="13.8571428571429" style="1" customWidth="1"/>
    <col min="5134" max="5134" width="16.1428571428571" style="1" customWidth="1"/>
    <col min="5135" max="5377" width="9.14285714285714" style="1"/>
    <col min="5378" max="5378" width="3.42857142857143" style="1" customWidth="1"/>
    <col min="5379" max="5379" width="9.14285714285714" style="1"/>
    <col min="5380" max="5380" width="3.28571428571429" style="1" customWidth="1"/>
    <col min="5381" max="5381" width="9.14285714285714" style="1"/>
    <col min="5382" max="5382" width="37.2857142857143" style="1" customWidth="1"/>
    <col min="5383" max="5383" width="14" style="1" customWidth="1"/>
    <col min="5384" max="5384" width="6.71428571428571" style="1" customWidth="1"/>
    <col min="5385" max="5385" width="16.4285714285714" style="1" customWidth="1"/>
    <col min="5386" max="5386" width="9.14285714285714" style="1"/>
    <col min="5387" max="5387" width="20.1428571428571" style="1" customWidth="1"/>
    <col min="5388" max="5388" width="11.5714285714286" style="1" customWidth="1"/>
    <col min="5389" max="5389" width="13.8571428571429" style="1" customWidth="1"/>
    <col min="5390" max="5390" width="16.1428571428571" style="1" customWidth="1"/>
    <col min="5391" max="5633" width="9.14285714285714" style="1"/>
    <col min="5634" max="5634" width="3.42857142857143" style="1" customWidth="1"/>
    <col min="5635" max="5635" width="9.14285714285714" style="1"/>
    <col min="5636" max="5636" width="3.28571428571429" style="1" customWidth="1"/>
    <col min="5637" max="5637" width="9.14285714285714" style="1"/>
    <col min="5638" max="5638" width="37.2857142857143" style="1" customWidth="1"/>
    <col min="5639" max="5639" width="14" style="1" customWidth="1"/>
    <col min="5640" max="5640" width="6.71428571428571" style="1" customWidth="1"/>
    <col min="5641" max="5641" width="16.4285714285714" style="1" customWidth="1"/>
    <col min="5642" max="5642" width="9.14285714285714" style="1"/>
    <col min="5643" max="5643" width="20.1428571428571" style="1" customWidth="1"/>
    <col min="5644" max="5644" width="11.5714285714286" style="1" customWidth="1"/>
    <col min="5645" max="5645" width="13.8571428571429" style="1" customWidth="1"/>
    <col min="5646" max="5646" width="16.1428571428571" style="1" customWidth="1"/>
    <col min="5647" max="5889" width="9.14285714285714" style="1"/>
    <col min="5890" max="5890" width="3.42857142857143" style="1" customWidth="1"/>
    <col min="5891" max="5891" width="9.14285714285714" style="1"/>
    <col min="5892" max="5892" width="3.28571428571429" style="1" customWidth="1"/>
    <col min="5893" max="5893" width="9.14285714285714" style="1"/>
    <col min="5894" max="5894" width="37.2857142857143" style="1" customWidth="1"/>
    <col min="5895" max="5895" width="14" style="1" customWidth="1"/>
    <col min="5896" max="5896" width="6.71428571428571" style="1" customWidth="1"/>
    <col min="5897" max="5897" width="16.4285714285714" style="1" customWidth="1"/>
    <col min="5898" max="5898" width="9.14285714285714" style="1"/>
    <col min="5899" max="5899" width="20.1428571428571" style="1" customWidth="1"/>
    <col min="5900" max="5900" width="11.5714285714286" style="1" customWidth="1"/>
    <col min="5901" max="5901" width="13.8571428571429" style="1" customWidth="1"/>
    <col min="5902" max="5902" width="16.1428571428571" style="1" customWidth="1"/>
    <col min="5903" max="6145" width="9.14285714285714" style="1"/>
    <col min="6146" max="6146" width="3.42857142857143" style="1" customWidth="1"/>
    <col min="6147" max="6147" width="9.14285714285714" style="1"/>
    <col min="6148" max="6148" width="3.28571428571429" style="1" customWidth="1"/>
    <col min="6149" max="6149" width="9.14285714285714" style="1"/>
    <col min="6150" max="6150" width="37.2857142857143" style="1" customWidth="1"/>
    <col min="6151" max="6151" width="14" style="1" customWidth="1"/>
    <col min="6152" max="6152" width="6.71428571428571" style="1" customWidth="1"/>
    <col min="6153" max="6153" width="16.4285714285714" style="1" customWidth="1"/>
    <col min="6154" max="6154" width="9.14285714285714" style="1"/>
    <col min="6155" max="6155" width="20.1428571428571" style="1" customWidth="1"/>
    <col min="6156" max="6156" width="11.5714285714286" style="1" customWidth="1"/>
    <col min="6157" max="6157" width="13.8571428571429" style="1" customWidth="1"/>
    <col min="6158" max="6158" width="16.1428571428571" style="1" customWidth="1"/>
    <col min="6159" max="6401" width="9.14285714285714" style="1"/>
    <col min="6402" max="6402" width="3.42857142857143" style="1" customWidth="1"/>
    <col min="6403" max="6403" width="9.14285714285714" style="1"/>
    <col min="6404" max="6404" width="3.28571428571429" style="1" customWidth="1"/>
    <col min="6405" max="6405" width="9.14285714285714" style="1"/>
    <col min="6406" max="6406" width="37.2857142857143" style="1" customWidth="1"/>
    <col min="6407" max="6407" width="14" style="1" customWidth="1"/>
    <col min="6408" max="6408" width="6.71428571428571" style="1" customWidth="1"/>
    <col min="6409" max="6409" width="16.4285714285714" style="1" customWidth="1"/>
    <col min="6410" max="6410" width="9.14285714285714" style="1"/>
    <col min="6411" max="6411" width="20.1428571428571" style="1" customWidth="1"/>
    <col min="6412" max="6412" width="11.5714285714286" style="1" customWidth="1"/>
    <col min="6413" max="6413" width="13.8571428571429" style="1" customWidth="1"/>
    <col min="6414" max="6414" width="16.1428571428571" style="1" customWidth="1"/>
    <col min="6415" max="6657" width="9.14285714285714" style="1"/>
    <col min="6658" max="6658" width="3.42857142857143" style="1" customWidth="1"/>
    <col min="6659" max="6659" width="9.14285714285714" style="1"/>
    <col min="6660" max="6660" width="3.28571428571429" style="1" customWidth="1"/>
    <col min="6661" max="6661" width="9.14285714285714" style="1"/>
    <col min="6662" max="6662" width="37.2857142857143" style="1" customWidth="1"/>
    <col min="6663" max="6663" width="14" style="1" customWidth="1"/>
    <col min="6664" max="6664" width="6.71428571428571" style="1" customWidth="1"/>
    <col min="6665" max="6665" width="16.4285714285714" style="1" customWidth="1"/>
    <col min="6666" max="6666" width="9.14285714285714" style="1"/>
    <col min="6667" max="6667" width="20.1428571428571" style="1" customWidth="1"/>
    <col min="6668" max="6668" width="11.5714285714286" style="1" customWidth="1"/>
    <col min="6669" max="6669" width="13.8571428571429" style="1" customWidth="1"/>
    <col min="6670" max="6670" width="16.1428571428571" style="1" customWidth="1"/>
    <col min="6671" max="6913" width="9.14285714285714" style="1"/>
    <col min="6914" max="6914" width="3.42857142857143" style="1" customWidth="1"/>
    <col min="6915" max="6915" width="9.14285714285714" style="1"/>
    <col min="6916" max="6916" width="3.28571428571429" style="1" customWidth="1"/>
    <col min="6917" max="6917" width="9.14285714285714" style="1"/>
    <col min="6918" max="6918" width="37.2857142857143" style="1" customWidth="1"/>
    <col min="6919" max="6919" width="14" style="1" customWidth="1"/>
    <col min="6920" max="6920" width="6.71428571428571" style="1" customWidth="1"/>
    <col min="6921" max="6921" width="16.4285714285714" style="1" customWidth="1"/>
    <col min="6922" max="6922" width="9.14285714285714" style="1"/>
    <col min="6923" max="6923" width="20.1428571428571" style="1" customWidth="1"/>
    <col min="6924" max="6924" width="11.5714285714286" style="1" customWidth="1"/>
    <col min="6925" max="6925" width="13.8571428571429" style="1" customWidth="1"/>
    <col min="6926" max="6926" width="16.1428571428571" style="1" customWidth="1"/>
    <col min="6927" max="7169" width="9.14285714285714" style="1"/>
    <col min="7170" max="7170" width="3.42857142857143" style="1" customWidth="1"/>
    <col min="7171" max="7171" width="9.14285714285714" style="1"/>
    <col min="7172" max="7172" width="3.28571428571429" style="1" customWidth="1"/>
    <col min="7173" max="7173" width="9.14285714285714" style="1"/>
    <col min="7174" max="7174" width="37.2857142857143" style="1" customWidth="1"/>
    <col min="7175" max="7175" width="14" style="1" customWidth="1"/>
    <col min="7176" max="7176" width="6.71428571428571" style="1" customWidth="1"/>
    <col min="7177" max="7177" width="16.4285714285714" style="1" customWidth="1"/>
    <col min="7178" max="7178" width="9.14285714285714" style="1"/>
    <col min="7179" max="7179" width="20.1428571428571" style="1" customWidth="1"/>
    <col min="7180" max="7180" width="11.5714285714286" style="1" customWidth="1"/>
    <col min="7181" max="7181" width="13.8571428571429" style="1" customWidth="1"/>
    <col min="7182" max="7182" width="16.1428571428571" style="1" customWidth="1"/>
    <col min="7183" max="7425" width="9.14285714285714" style="1"/>
    <col min="7426" max="7426" width="3.42857142857143" style="1" customWidth="1"/>
    <col min="7427" max="7427" width="9.14285714285714" style="1"/>
    <col min="7428" max="7428" width="3.28571428571429" style="1" customWidth="1"/>
    <col min="7429" max="7429" width="9.14285714285714" style="1"/>
    <col min="7430" max="7430" width="37.2857142857143" style="1" customWidth="1"/>
    <col min="7431" max="7431" width="14" style="1" customWidth="1"/>
    <col min="7432" max="7432" width="6.71428571428571" style="1" customWidth="1"/>
    <col min="7433" max="7433" width="16.4285714285714" style="1" customWidth="1"/>
    <col min="7434" max="7434" width="9.14285714285714" style="1"/>
    <col min="7435" max="7435" width="20.1428571428571" style="1" customWidth="1"/>
    <col min="7436" max="7436" width="11.5714285714286" style="1" customWidth="1"/>
    <col min="7437" max="7437" width="13.8571428571429" style="1" customWidth="1"/>
    <col min="7438" max="7438" width="16.1428571428571" style="1" customWidth="1"/>
    <col min="7439" max="7681" width="9.14285714285714" style="1"/>
    <col min="7682" max="7682" width="3.42857142857143" style="1" customWidth="1"/>
    <col min="7683" max="7683" width="9.14285714285714" style="1"/>
    <col min="7684" max="7684" width="3.28571428571429" style="1" customWidth="1"/>
    <col min="7685" max="7685" width="9.14285714285714" style="1"/>
    <col min="7686" max="7686" width="37.2857142857143" style="1" customWidth="1"/>
    <col min="7687" max="7687" width="14" style="1" customWidth="1"/>
    <col min="7688" max="7688" width="6.71428571428571" style="1" customWidth="1"/>
    <col min="7689" max="7689" width="16.4285714285714" style="1" customWidth="1"/>
    <col min="7690" max="7690" width="9.14285714285714" style="1"/>
    <col min="7691" max="7691" width="20.1428571428571" style="1" customWidth="1"/>
    <col min="7692" max="7692" width="11.5714285714286" style="1" customWidth="1"/>
    <col min="7693" max="7693" width="13.8571428571429" style="1" customWidth="1"/>
    <col min="7694" max="7694" width="16.1428571428571" style="1" customWidth="1"/>
    <col min="7695" max="7937" width="9.14285714285714" style="1"/>
    <col min="7938" max="7938" width="3.42857142857143" style="1" customWidth="1"/>
    <col min="7939" max="7939" width="9.14285714285714" style="1"/>
    <col min="7940" max="7940" width="3.28571428571429" style="1" customWidth="1"/>
    <col min="7941" max="7941" width="9.14285714285714" style="1"/>
    <col min="7942" max="7942" width="37.2857142857143" style="1" customWidth="1"/>
    <col min="7943" max="7943" width="14" style="1" customWidth="1"/>
    <col min="7944" max="7944" width="6.71428571428571" style="1" customWidth="1"/>
    <col min="7945" max="7945" width="16.4285714285714" style="1" customWidth="1"/>
    <col min="7946" max="7946" width="9.14285714285714" style="1"/>
    <col min="7947" max="7947" width="20.1428571428571" style="1" customWidth="1"/>
    <col min="7948" max="7948" width="11.5714285714286" style="1" customWidth="1"/>
    <col min="7949" max="7949" width="13.8571428571429" style="1" customWidth="1"/>
    <col min="7950" max="7950" width="16.1428571428571" style="1" customWidth="1"/>
    <col min="7951" max="8193" width="9.14285714285714" style="1"/>
    <col min="8194" max="8194" width="3.42857142857143" style="1" customWidth="1"/>
    <col min="8195" max="8195" width="9.14285714285714" style="1"/>
    <col min="8196" max="8196" width="3.28571428571429" style="1" customWidth="1"/>
    <col min="8197" max="8197" width="9.14285714285714" style="1"/>
    <col min="8198" max="8198" width="37.2857142857143" style="1" customWidth="1"/>
    <col min="8199" max="8199" width="14" style="1" customWidth="1"/>
    <col min="8200" max="8200" width="6.71428571428571" style="1" customWidth="1"/>
    <col min="8201" max="8201" width="16.4285714285714" style="1" customWidth="1"/>
    <col min="8202" max="8202" width="9.14285714285714" style="1"/>
    <col min="8203" max="8203" width="20.1428571428571" style="1" customWidth="1"/>
    <col min="8204" max="8204" width="11.5714285714286" style="1" customWidth="1"/>
    <col min="8205" max="8205" width="13.8571428571429" style="1" customWidth="1"/>
    <col min="8206" max="8206" width="16.1428571428571" style="1" customWidth="1"/>
    <col min="8207" max="8449" width="9.14285714285714" style="1"/>
    <col min="8450" max="8450" width="3.42857142857143" style="1" customWidth="1"/>
    <col min="8451" max="8451" width="9.14285714285714" style="1"/>
    <col min="8452" max="8452" width="3.28571428571429" style="1" customWidth="1"/>
    <col min="8453" max="8453" width="9.14285714285714" style="1"/>
    <col min="8454" max="8454" width="37.2857142857143" style="1" customWidth="1"/>
    <col min="8455" max="8455" width="14" style="1" customWidth="1"/>
    <col min="8456" max="8456" width="6.71428571428571" style="1" customWidth="1"/>
    <col min="8457" max="8457" width="16.4285714285714" style="1" customWidth="1"/>
    <col min="8458" max="8458" width="9.14285714285714" style="1"/>
    <col min="8459" max="8459" width="20.1428571428571" style="1" customWidth="1"/>
    <col min="8460" max="8460" width="11.5714285714286" style="1" customWidth="1"/>
    <col min="8461" max="8461" width="13.8571428571429" style="1" customWidth="1"/>
    <col min="8462" max="8462" width="16.1428571428571" style="1" customWidth="1"/>
    <col min="8463" max="8705" width="9.14285714285714" style="1"/>
    <col min="8706" max="8706" width="3.42857142857143" style="1" customWidth="1"/>
    <col min="8707" max="8707" width="9.14285714285714" style="1"/>
    <col min="8708" max="8708" width="3.28571428571429" style="1" customWidth="1"/>
    <col min="8709" max="8709" width="9.14285714285714" style="1"/>
    <col min="8710" max="8710" width="37.2857142857143" style="1" customWidth="1"/>
    <col min="8711" max="8711" width="14" style="1" customWidth="1"/>
    <col min="8712" max="8712" width="6.71428571428571" style="1" customWidth="1"/>
    <col min="8713" max="8713" width="16.4285714285714" style="1" customWidth="1"/>
    <col min="8714" max="8714" width="9.14285714285714" style="1"/>
    <col min="8715" max="8715" width="20.1428571428571" style="1" customWidth="1"/>
    <col min="8716" max="8716" width="11.5714285714286" style="1" customWidth="1"/>
    <col min="8717" max="8717" width="13.8571428571429" style="1" customWidth="1"/>
    <col min="8718" max="8718" width="16.1428571428571" style="1" customWidth="1"/>
    <col min="8719" max="8961" width="9.14285714285714" style="1"/>
    <col min="8962" max="8962" width="3.42857142857143" style="1" customWidth="1"/>
    <col min="8963" max="8963" width="9.14285714285714" style="1"/>
    <col min="8964" max="8964" width="3.28571428571429" style="1" customWidth="1"/>
    <col min="8965" max="8965" width="9.14285714285714" style="1"/>
    <col min="8966" max="8966" width="37.2857142857143" style="1" customWidth="1"/>
    <col min="8967" max="8967" width="14" style="1" customWidth="1"/>
    <col min="8968" max="8968" width="6.71428571428571" style="1" customWidth="1"/>
    <col min="8969" max="8969" width="16.4285714285714" style="1" customWidth="1"/>
    <col min="8970" max="8970" width="9.14285714285714" style="1"/>
    <col min="8971" max="8971" width="20.1428571428571" style="1" customWidth="1"/>
    <col min="8972" max="8972" width="11.5714285714286" style="1" customWidth="1"/>
    <col min="8973" max="8973" width="13.8571428571429" style="1" customWidth="1"/>
    <col min="8974" max="8974" width="16.1428571428571" style="1" customWidth="1"/>
    <col min="8975" max="9217" width="9.14285714285714" style="1"/>
    <col min="9218" max="9218" width="3.42857142857143" style="1" customWidth="1"/>
    <col min="9219" max="9219" width="9.14285714285714" style="1"/>
    <col min="9220" max="9220" width="3.28571428571429" style="1" customWidth="1"/>
    <col min="9221" max="9221" width="9.14285714285714" style="1"/>
    <col min="9222" max="9222" width="37.2857142857143" style="1" customWidth="1"/>
    <col min="9223" max="9223" width="14" style="1" customWidth="1"/>
    <col min="9224" max="9224" width="6.71428571428571" style="1" customWidth="1"/>
    <col min="9225" max="9225" width="16.4285714285714" style="1" customWidth="1"/>
    <col min="9226" max="9226" width="9.14285714285714" style="1"/>
    <col min="9227" max="9227" width="20.1428571428571" style="1" customWidth="1"/>
    <col min="9228" max="9228" width="11.5714285714286" style="1" customWidth="1"/>
    <col min="9229" max="9229" width="13.8571428571429" style="1" customWidth="1"/>
    <col min="9230" max="9230" width="16.1428571428571" style="1" customWidth="1"/>
    <col min="9231" max="9473" width="9.14285714285714" style="1"/>
    <col min="9474" max="9474" width="3.42857142857143" style="1" customWidth="1"/>
    <col min="9475" max="9475" width="9.14285714285714" style="1"/>
    <col min="9476" max="9476" width="3.28571428571429" style="1" customWidth="1"/>
    <col min="9477" max="9477" width="9.14285714285714" style="1"/>
    <col min="9478" max="9478" width="37.2857142857143" style="1" customWidth="1"/>
    <col min="9479" max="9479" width="14" style="1" customWidth="1"/>
    <col min="9480" max="9480" width="6.71428571428571" style="1" customWidth="1"/>
    <col min="9481" max="9481" width="16.4285714285714" style="1" customWidth="1"/>
    <col min="9482" max="9482" width="9.14285714285714" style="1"/>
    <col min="9483" max="9483" width="20.1428571428571" style="1" customWidth="1"/>
    <col min="9484" max="9484" width="11.5714285714286" style="1" customWidth="1"/>
    <col min="9485" max="9485" width="13.8571428571429" style="1" customWidth="1"/>
    <col min="9486" max="9486" width="16.1428571428571" style="1" customWidth="1"/>
    <col min="9487" max="9729" width="9.14285714285714" style="1"/>
    <col min="9730" max="9730" width="3.42857142857143" style="1" customWidth="1"/>
    <col min="9731" max="9731" width="9.14285714285714" style="1"/>
    <col min="9732" max="9732" width="3.28571428571429" style="1" customWidth="1"/>
    <col min="9733" max="9733" width="9.14285714285714" style="1"/>
    <col min="9734" max="9734" width="37.2857142857143" style="1" customWidth="1"/>
    <col min="9735" max="9735" width="14" style="1" customWidth="1"/>
    <col min="9736" max="9736" width="6.71428571428571" style="1" customWidth="1"/>
    <col min="9737" max="9737" width="16.4285714285714" style="1" customWidth="1"/>
    <col min="9738" max="9738" width="9.14285714285714" style="1"/>
    <col min="9739" max="9739" width="20.1428571428571" style="1" customWidth="1"/>
    <col min="9740" max="9740" width="11.5714285714286" style="1" customWidth="1"/>
    <col min="9741" max="9741" width="13.8571428571429" style="1" customWidth="1"/>
    <col min="9742" max="9742" width="16.1428571428571" style="1" customWidth="1"/>
    <col min="9743" max="9985" width="9.14285714285714" style="1"/>
    <col min="9986" max="9986" width="3.42857142857143" style="1" customWidth="1"/>
    <col min="9987" max="9987" width="9.14285714285714" style="1"/>
    <col min="9988" max="9988" width="3.28571428571429" style="1" customWidth="1"/>
    <col min="9989" max="9989" width="9.14285714285714" style="1"/>
    <col min="9990" max="9990" width="37.2857142857143" style="1" customWidth="1"/>
    <col min="9991" max="9991" width="14" style="1" customWidth="1"/>
    <col min="9992" max="9992" width="6.71428571428571" style="1" customWidth="1"/>
    <col min="9993" max="9993" width="16.4285714285714" style="1" customWidth="1"/>
    <col min="9994" max="9994" width="9.14285714285714" style="1"/>
    <col min="9995" max="9995" width="20.1428571428571" style="1" customWidth="1"/>
    <col min="9996" max="9996" width="11.5714285714286" style="1" customWidth="1"/>
    <col min="9997" max="9997" width="13.8571428571429" style="1" customWidth="1"/>
    <col min="9998" max="9998" width="16.1428571428571" style="1" customWidth="1"/>
    <col min="9999" max="10241" width="9.14285714285714" style="1"/>
    <col min="10242" max="10242" width="3.42857142857143" style="1" customWidth="1"/>
    <col min="10243" max="10243" width="9.14285714285714" style="1"/>
    <col min="10244" max="10244" width="3.28571428571429" style="1" customWidth="1"/>
    <col min="10245" max="10245" width="9.14285714285714" style="1"/>
    <col min="10246" max="10246" width="37.2857142857143" style="1" customWidth="1"/>
    <col min="10247" max="10247" width="14" style="1" customWidth="1"/>
    <col min="10248" max="10248" width="6.71428571428571" style="1" customWidth="1"/>
    <col min="10249" max="10249" width="16.4285714285714" style="1" customWidth="1"/>
    <col min="10250" max="10250" width="9.14285714285714" style="1"/>
    <col min="10251" max="10251" width="20.1428571428571" style="1" customWidth="1"/>
    <col min="10252" max="10252" width="11.5714285714286" style="1" customWidth="1"/>
    <col min="10253" max="10253" width="13.8571428571429" style="1" customWidth="1"/>
    <col min="10254" max="10254" width="16.1428571428571" style="1" customWidth="1"/>
    <col min="10255" max="10497" width="9.14285714285714" style="1"/>
    <col min="10498" max="10498" width="3.42857142857143" style="1" customWidth="1"/>
    <col min="10499" max="10499" width="9.14285714285714" style="1"/>
    <col min="10500" max="10500" width="3.28571428571429" style="1" customWidth="1"/>
    <col min="10501" max="10501" width="9.14285714285714" style="1"/>
    <col min="10502" max="10502" width="37.2857142857143" style="1" customWidth="1"/>
    <col min="10503" max="10503" width="14" style="1" customWidth="1"/>
    <col min="10504" max="10504" width="6.71428571428571" style="1" customWidth="1"/>
    <col min="10505" max="10505" width="16.4285714285714" style="1" customWidth="1"/>
    <col min="10506" max="10506" width="9.14285714285714" style="1"/>
    <col min="10507" max="10507" width="20.1428571428571" style="1" customWidth="1"/>
    <col min="10508" max="10508" width="11.5714285714286" style="1" customWidth="1"/>
    <col min="10509" max="10509" width="13.8571428571429" style="1" customWidth="1"/>
    <col min="10510" max="10510" width="16.1428571428571" style="1" customWidth="1"/>
    <col min="10511" max="10753" width="9.14285714285714" style="1"/>
    <col min="10754" max="10754" width="3.42857142857143" style="1" customWidth="1"/>
    <col min="10755" max="10755" width="9.14285714285714" style="1"/>
    <col min="10756" max="10756" width="3.28571428571429" style="1" customWidth="1"/>
    <col min="10757" max="10757" width="9.14285714285714" style="1"/>
    <col min="10758" max="10758" width="37.2857142857143" style="1" customWidth="1"/>
    <col min="10759" max="10759" width="14" style="1" customWidth="1"/>
    <col min="10760" max="10760" width="6.71428571428571" style="1" customWidth="1"/>
    <col min="10761" max="10761" width="16.4285714285714" style="1" customWidth="1"/>
    <col min="10762" max="10762" width="9.14285714285714" style="1"/>
    <col min="10763" max="10763" width="20.1428571428571" style="1" customWidth="1"/>
    <col min="10764" max="10764" width="11.5714285714286" style="1" customWidth="1"/>
    <col min="10765" max="10765" width="13.8571428571429" style="1" customWidth="1"/>
    <col min="10766" max="10766" width="16.1428571428571" style="1" customWidth="1"/>
    <col min="10767" max="11009" width="9.14285714285714" style="1"/>
    <col min="11010" max="11010" width="3.42857142857143" style="1" customWidth="1"/>
    <col min="11011" max="11011" width="9.14285714285714" style="1"/>
    <col min="11012" max="11012" width="3.28571428571429" style="1" customWidth="1"/>
    <col min="11013" max="11013" width="9.14285714285714" style="1"/>
    <col min="11014" max="11014" width="37.2857142857143" style="1" customWidth="1"/>
    <col min="11015" max="11015" width="14" style="1" customWidth="1"/>
    <col min="11016" max="11016" width="6.71428571428571" style="1" customWidth="1"/>
    <col min="11017" max="11017" width="16.4285714285714" style="1" customWidth="1"/>
    <col min="11018" max="11018" width="9.14285714285714" style="1"/>
    <col min="11019" max="11019" width="20.1428571428571" style="1" customWidth="1"/>
    <col min="11020" max="11020" width="11.5714285714286" style="1" customWidth="1"/>
    <col min="11021" max="11021" width="13.8571428571429" style="1" customWidth="1"/>
    <col min="11022" max="11022" width="16.1428571428571" style="1" customWidth="1"/>
    <col min="11023" max="11265" width="9.14285714285714" style="1"/>
    <col min="11266" max="11266" width="3.42857142857143" style="1" customWidth="1"/>
    <col min="11267" max="11267" width="9.14285714285714" style="1"/>
    <col min="11268" max="11268" width="3.28571428571429" style="1" customWidth="1"/>
    <col min="11269" max="11269" width="9.14285714285714" style="1"/>
    <col min="11270" max="11270" width="37.2857142857143" style="1" customWidth="1"/>
    <col min="11271" max="11271" width="14" style="1" customWidth="1"/>
    <col min="11272" max="11272" width="6.71428571428571" style="1" customWidth="1"/>
    <col min="11273" max="11273" width="16.4285714285714" style="1" customWidth="1"/>
    <col min="11274" max="11274" width="9.14285714285714" style="1"/>
    <col min="11275" max="11275" width="20.1428571428571" style="1" customWidth="1"/>
    <col min="11276" max="11276" width="11.5714285714286" style="1" customWidth="1"/>
    <col min="11277" max="11277" width="13.8571428571429" style="1" customWidth="1"/>
    <col min="11278" max="11278" width="16.1428571428571" style="1" customWidth="1"/>
    <col min="11279" max="11521" width="9.14285714285714" style="1"/>
    <col min="11522" max="11522" width="3.42857142857143" style="1" customWidth="1"/>
    <col min="11523" max="11523" width="9.14285714285714" style="1"/>
    <col min="11524" max="11524" width="3.28571428571429" style="1" customWidth="1"/>
    <col min="11525" max="11525" width="9.14285714285714" style="1"/>
    <col min="11526" max="11526" width="37.2857142857143" style="1" customWidth="1"/>
    <col min="11527" max="11527" width="14" style="1" customWidth="1"/>
    <col min="11528" max="11528" width="6.71428571428571" style="1" customWidth="1"/>
    <col min="11529" max="11529" width="16.4285714285714" style="1" customWidth="1"/>
    <col min="11530" max="11530" width="9.14285714285714" style="1"/>
    <col min="11531" max="11531" width="20.1428571428571" style="1" customWidth="1"/>
    <col min="11532" max="11532" width="11.5714285714286" style="1" customWidth="1"/>
    <col min="11533" max="11533" width="13.8571428571429" style="1" customWidth="1"/>
    <col min="11534" max="11534" width="16.1428571428571" style="1" customWidth="1"/>
    <col min="11535" max="11777" width="9.14285714285714" style="1"/>
    <col min="11778" max="11778" width="3.42857142857143" style="1" customWidth="1"/>
    <col min="11779" max="11779" width="9.14285714285714" style="1"/>
    <col min="11780" max="11780" width="3.28571428571429" style="1" customWidth="1"/>
    <col min="11781" max="11781" width="9.14285714285714" style="1"/>
    <col min="11782" max="11782" width="37.2857142857143" style="1" customWidth="1"/>
    <col min="11783" max="11783" width="14" style="1" customWidth="1"/>
    <col min="11784" max="11784" width="6.71428571428571" style="1" customWidth="1"/>
    <col min="11785" max="11785" width="16.4285714285714" style="1" customWidth="1"/>
    <col min="11786" max="11786" width="9.14285714285714" style="1"/>
    <col min="11787" max="11787" width="20.1428571428571" style="1" customWidth="1"/>
    <col min="11788" max="11788" width="11.5714285714286" style="1" customWidth="1"/>
    <col min="11789" max="11789" width="13.8571428571429" style="1" customWidth="1"/>
    <col min="11790" max="11790" width="16.1428571428571" style="1" customWidth="1"/>
    <col min="11791" max="12033" width="9.14285714285714" style="1"/>
    <col min="12034" max="12034" width="3.42857142857143" style="1" customWidth="1"/>
    <col min="12035" max="12035" width="9.14285714285714" style="1"/>
    <col min="12036" max="12036" width="3.28571428571429" style="1" customWidth="1"/>
    <col min="12037" max="12037" width="9.14285714285714" style="1"/>
    <col min="12038" max="12038" width="37.2857142857143" style="1" customWidth="1"/>
    <col min="12039" max="12039" width="14" style="1" customWidth="1"/>
    <col min="12040" max="12040" width="6.71428571428571" style="1" customWidth="1"/>
    <col min="12041" max="12041" width="16.4285714285714" style="1" customWidth="1"/>
    <col min="12042" max="12042" width="9.14285714285714" style="1"/>
    <col min="12043" max="12043" width="20.1428571428571" style="1" customWidth="1"/>
    <col min="12044" max="12044" width="11.5714285714286" style="1" customWidth="1"/>
    <col min="12045" max="12045" width="13.8571428571429" style="1" customWidth="1"/>
    <col min="12046" max="12046" width="16.1428571428571" style="1" customWidth="1"/>
    <col min="12047" max="12289" width="9.14285714285714" style="1"/>
    <col min="12290" max="12290" width="3.42857142857143" style="1" customWidth="1"/>
    <col min="12291" max="12291" width="9.14285714285714" style="1"/>
    <col min="12292" max="12292" width="3.28571428571429" style="1" customWidth="1"/>
    <col min="12293" max="12293" width="9.14285714285714" style="1"/>
    <col min="12294" max="12294" width="37.2857142857143" style="1" customWidth="1"/>
    <col min="12295" max="12295" width="14" style="1" customWidth="1"/>
    <col min="12296" max="12296" width="6.71428571428571" style="1" customWidth="1"/>
    <col min="12297" max="12297" width="16.4285714285714" style="1" customWidth="1"/>
    <col min="12298" max="12298" width="9.14285714285714" style="1"/>
    <col min="12299" max="12299" width="20.1428571428571" style="1" customWidth="1"/>
    <col min="12300" max="12300" width="11.5714285714286" style="1" customWidth="1"/>
    <col min="12301" max="12301" width="13.8571428571429" style="1" customWidth="1"/>
    <col min="12302" max="12302" width="16.1428571428571" style="1" customWidth="1"/>
    <col min="12303" max="12545" width="9.14285714285714" style="1"/>
    <col min="12546" max="12546" width="3.42857142857143" style="1" customWidth="1"/>
    <col min="12547" max="12547" width="9.14285714285714" style="1"/>
    <col min="12548" max="12548" width="3.28571428571429" style="1" customWidth="1"/>
    <col min="12549" max="12549" width="9.14285714285714" style="1"/>
    <col min="12550" max="12550" width="37.2857142857143" style="1" customWidth="1"/>
    <col min="12551" max="12551" width="14" style="1" customWidth="1"/>
    <col min="12552" max="12552" width="6.71428571428571" style="1" customWidth="1"/>
    <col min="12553" max="12553" width="16.4285714285714" style="1" customWidth="1"/>
    <col min="12554" max="12554" width="9.14285714285714" style="1"/>
    <col min="12555" max="12555" width="20.1428571428571" style="1" customWidth="1"/>
    <col min="12556" max="12556" width="11.5714285714286" style="1" customWidth="1"/>
    <col min="12557" max="12557" width="13.8571428571429" style="1" customWidth="1"/>
    <col min="12558" max="12558" width="16.1428571428571" style="1" customWidth="1"/>
    <col min="12559" max="12801" width="9.14285714285714" style="1"/>
    <col min="12802" max="12802" width="3.42857142857143" style="1" customWidth="1"/>
    <col min="12803" max="12803" width="9.14285714285714" style="1"/>
    <col min="12804" max="12804" width="3.28571428571429" style="1" customWidth="1"/>
    <col min="12805" max="12805" width="9.14285714285714" style="1"/>
    <col min="12806" max="12806" width="37.2857142857143" style="1" customWidth="1"/>
    <col min="12807" max="12807" width="14" style="1" customWidth="1"/>
    <col min="12808" max="12808" width="6.71428571428571" style="1" customWidth="1"/>
    <col min="12809" max="12809" width="16.4285714285714" style="1" customWidth="1"/>
    <col min="12810" max="12810" width="9.14285714285714" style="1"/>
    <col min="12811" max="12811" width="20.1428571428571" style="1" customWidth="1"/>
    <col min="12812" max="12812" width="11.5714285714286" style="1" customWidth="1"/>
    <col min="12813" max="12813" width="13.8571428571429" style="1" customWidth="1"/>
    <col min="12814" max="12814" width="16.1428571428571" style="1" customWidth="1"/>
    <col min="12815" max="13057" width="9.14285714285714" style="1"/>
    <col min="13058" max="13058" width="3.42857142857143" style="1" customWidth="1"/>
    <col min="13059" max="13059" width="9.14285714285714" style="1"/>
    <col min="13060" max="13060" width="3.28571428571429" style="1" customWidth="1"/>
    <col min="13061" max="13061" width="9.14285714285714" style="1"/>
    <col min="13062" max="13062" width="37.2857142857143" style="1" customWidth="1"/>
    <col min="13063" max="13063" width="14" style="1" customWidth="1"/>
    <col min="13064" max="13064" width="6.71428571428571" style="1" customWidth="1"/>
    <col min="13065" max="13065" width="16.4285714285714" style="1" customWidth="1"/>
    <col min="13066" max="13066" width="9.14285714285714" style="1"/>
    <col min="13067" max="13067" width="20.1428571428571" style="1" customWidth="1"/>
    <col min="13068" max="13068" width="11.5714285714286" style="1" customWidth="1"/>
    <col min="13069" max="13069" width="13.8571428571429" style="1" customWidth="1"/>
    <col min="13070" max="13070" width="16.1428571428571" style="1" customWidth="1"/>
    <col min="13071" max="13313" width="9.14285714285714" style="1"/>
    <col min="13314" max="13314" width="3.42857142857143" style="1" customWidth="1"/>
    <col min="13315" max="13315" width="9.14285714285714" style="1"/>
    <col min="13316" max="13316" width="3.28571428571429" style="1" customWidth="1"/>
    <col min="13317" max="13317" width="9.14285714285714" style="1"/>
    <col min="13318" max="13318" width="37.2857142857143" style="1" customWidth="1"/>
    <col min="13319" max="13319" width="14" style="1" customWidth="1"/>
    <col min="13320" max="13320" width="6.71428571428571" style="1" customWidth="1"/>
    <col min="13321" max="13321" width="16.4285714285714" style="1" customWidth="1"/>
    <col min="13322" max="13322" width="9.14285714285714" style="1"/>
    <col min="13323" max="13323" width="20.1428571428571" style="1" customWidth="1"/>
    <col min="13324" max="13324" width="11.5714285714286" style="1" customWidth="1"/>
    <col min="13325" max="13325" width="13.8571428571429" style="1" customWidth="1"/>
    <col min="13326" max="13326" width="16.1428571428571" style="1" customWidth="1"/>
    <col min="13327" max="13569" width="9.14285714285714" style="1"/>
    <col min="13570" max="13570" width="3.42857142857143" style="1" customWidth="1"/>
    <col min="13571" max="13571" width="9.14285714285714" style="1"/>
    <col min="13572" max="13572" width="3.28571428571429" style="1" customWidth="1"/>
    <col min="13573" max="13573" width="9.14285714285714" style="1"/>
    <col min="13574" max="13574" width="37.2857142857143" style="1" customWidth="1"/>
    <col min="13575" max="13575" width="14" style="1" customWidth="1"/>
    <col min="13576" max="13576" width="6.71428571428571" style="1" customWidth="1"/>
    <col min="13577" max="13577" width="16.4285714285714" style="1" customWidth="1"/>
    <col min="13578" max="13578" width="9.14285714285714" style="1"/>
    <col min="13579" max="13579" width="20.1428571428571" style="1" customWidth="1"/>
    <col min="13580" max="13580" width="11.5714285714286" style="1" customWidth="1"/>
    <col min="13581" max="13581" width="13.8571428571429" style="1" customWidth="1"/>
    <col min="13582" max="13582" width="16.1428571428571" style="1" customWidth="1"/>
    <col min="13583" max="13825" width="9.14285714285714" style="1"/>
    <col min="13826" max="13826" width="3.42857142857143" style="1" customWidth="1"/>
    <col min="13827" max="13827" width="9.14285714285714" style="1"/>
    <col min="13828" max="13828" width="3.28571428571429" style="1" customWidth="1"/>
    <col min="13829" max="13829" width="9.14285714285714" style="1"/>
    <col min="13830" max="13830" width="37.2857142857143" style="1" customWidth="1"/>
    <col min="13831" max="13831" width="14" style="1" customWidth="1"/>
    <col min="13832" max="13832" width="6.71428571428571" style="1" customWidth="1"/>
    <col min="13833" max="13833" width="16.4285714285714" style="1" customWidth="1"/>
    <col min="13834" max="13834" width="9.14285714285714" style="1"/>
    <col min="13835" max="13835" width="20.1428571428571" style="1" customWidth="1"/>
    <col min="13836" max="13836" width="11.5714285714286" style="1" customWidth="1"/>
    <col min="13837" max="13837" width="13.8571428571429" style="1" customWidth="1"/>
    <col min="13838" max="13838" width="16.1428571428571" style="1" customWidth="1"/>
    <col min="13839" max="14081" width="9.14285714285714" style="1"/>
    <col min="14082" max="14082" width="3.42857142857143" style="1" customWidth="1"/>
    <col min="14083" max="14083" width="9.14285714285714" style="1"/>
    <col min="14084" max="14084" width="3.28571428571429" style="1" customWidth="1"/>
    <col min="14085" max="14085" width="9.14285714285714" style="1"/>
    <col min="14086" max="14086" width="37.2857142857143" style="1" customWidth="1"/>
    <col min="14087" max="14087" width="14" style="1" customWidth="1"/>
    <col min="14088" max="14088" width="6.71428571428571" style="1" customWidth="1"/>
    <col min="14089" max="14089" width="16.4285714285714" style="1" customWidth="1"/>
    <col min="14090" max="14090" width="9.14285714285714" style="1"/>
    <col min="14091" max="14091" width="20.1428571428571" style="1" customWidth="1"/>
    <col min="14092" max="14092" width="11.5714285714286" style="1" customWidth="1"/>
    <col min="14093" max="14093" width="13.8571428571429" style="1" customWidth="1"/>
    <col min="14094" max="14094" width="16.1428571428571" style="1" customWidth="1"/>
    <col min="14095" max="14337" width="9.14285714285714" style="1"/>
    <col min="14338" max="14338" width="3.42857142857143" style="1" customWidth="1"/>
    <col min="14339" max="14339" width="9.14285714285714" style="1"/>
    <col min="14340" max="14340" width="3.28571428571429" style="1" customWidth="1"/>
    <col min="14341" max="14341" width="9.14285714285714" style="1"/>
    <col min="14342" max="14342" width="37.2857142857143" style="1" customWidth="1"/>
    <col min="14343" max="14343" width="14" style="1" customWidth="1"/>
    <col min="14344" max="14344" width="6.71428571428571" style="1" customWidth="1"/>
    <col min="14345" max="14345" width="16.4285714285714" style="1" customWidth="1"/>
    <col min="14346" max="14346" width="9.14285714285714" style="1"/>
    <col min="14347" max="14347" width="20.1428571428571" style="1" customWidth="1"/>
    <col min="14348" max="14348" width="11.5714285714286" style="1" customWidth="1"/>
    <col min="14349" max="14349" width="13.8571428571429" style="1" customWidth="1"/>
    <col min="14350" max="14350" width="16.1428571428571" style="1" customWidth="1"/>
    <col min="14351" max="14593" width="9.14285714285714" style="1"/>
    <col min="14594" max="14594" width="3.42857142857143" style="1" customWidth="1"/>
    <col min="14595" max="14595" width="9.14285714285714" style="1"/>
    <col min="14596" max="14596" width="3.28571428571429" style="1" customWidth="1"/>
    <col min="14597" max="14597" width="9.14285714285714" style="1"/>
    <col min="14598" max="14598" width="37.2857142857143" style="1" customWidth="1"/>
    <col min="14599" max="14599" width="14" style="1" customWidth="1"/>
    <col min="14600" max="14600" width="6.71428571428571" style="1" customWidth="1"/>
    <col min="14601" max="14601" width="16.4285714285714" style="1" customWidth="1"/>
    <col min="14602" max="14602" width="9.14285714285714" style="1"/>
    <col min="14603" max="14603" width="20.1428571428571" style="1" customWidth="1"/>
    <col min="14604" max="14604" width="11.5714285714286" style="1" customWidth="1"/>
    <col min="14605" max="14605" width="13.8571428571429" style="1" customWidth="1"/>
    <col min="14606" max="14606" width="16.1428571428571" style="1" customWidth="1"/>
    <col min="14607" max="14849" width="9.14285714285714" style="1"/>
    <col min="14850" max="14850" width="3.42857142857143" style="1" customWidth="1"/>
    <col min="14851" max="14851" width="9.14285714285714" style="1"/>
    <col min="14852" max="14852" width="3.28571428571429" style="1" customWidth="1"/>
    <col min="14853" max="14853" width="9.14285714285714" style="1"/>
    <col min="14854" max="14854" width="37.2857142857143" style="1" customWidth="1"/>
    <col min="14855" max="14855" width="14" style="1" customWidth="1"/>
    <col min="14856" max="14856" width="6.71428571428571" style="1" customWidth="1"/>
    <col min="14857" max="14857" width="16.4285714285714" style="1" customWidth="1"/>
    <col min="14858" max="14858" width="9.14285714285714" style="1"/>
    <col min="14859" max="14859" width="20.1428571428571" style="1" customWidth="1"/>
    <col min="14860" max="14860" width="11.5714285714286" style="1" customWidth="1"/>
    <col min="14861" max="14861" width="13.8571428571429" style="1" customWidth="1"/>
    <col min="14862" max="14862" width="16.1428571428571" style="1" customWidth="1"/>
    <col min="14863" max="15105" width="9.14285714285714" style="1"/>
    <col min="15106" max="15106" width="3.42857142857143" style="1" customWidth="1"/>
    <col min="15107" max="15107" width="9.14285714285714" style="1"/>
    <col min="15108" max="15108" width="3.28571428571429" style="1" customWidth="1"/>
    <col min="15109" max="15109" width="9.14285714285714" style="1"/>
    <col min="15110" max="15110" width="37.2857142857143" style="1" customWidth="1"/>
    <col min="15111" max="15111" width="14" style="1" customWidth="1"/>
    <col min="15112" max="15112" width="6.71428571428571" style="1" customWidth="1"/>
    <col min="15113" max="15113" width="16.4285714285714" style="1" customWidth="1"/>
    <col min="15114" max="15114" width="9.14285714285714" style="1"/>
    <col min="15115" max="15115" width="20.1428571428571" style="1" customWidth="1"/>
    <col min="15116" max="15116" width="11.5714285714286" style="1" customWidth="1"/>
    <col min="15117" max="15117" width="13.8571428571429" style="1" customWidth="1"/>
    <col min="15118" max="15118" width="16.1428571428571" style="1" customWidth="1"/>
    <col min="15119" max="15361" width="9.14285714285714" style="1"/>
    <col min="15362" max="15362" width="3.42857142857143" style="1" customWidth="1"/>
    <col min="15363" max="15363" width="9.14285714285714" style="1"/>
    <col min="15364" max="15364" width="3.28571428571429" style="1" customWidth="1"/>
    <col min="15365" max="15365" width="9.14285714285714" style="1"/>
    <col min="15366" max="15366" width="37.2857142857143" style="1" customWidth="1"/>
    <col min="15367" max="15367" width="14" style="1" customWidth="1"/>
    <col min="15368" max="15368" width="6.71428571428571" style="1" customWidth="1"/>
    <col min="15369" max="15369" width="16.4285714285714" style="1" customWidth="1"/>
    <col min="15370" max="15370" width="9.14285714285714" style="1"/>
    <col min="15371" max="15371" width="20.1428571428571" style="1" customWidth="1"/>
    <col min="15372" max="15372" width="11.5714285714286" style="1" customWidth="1"/>
    <col min="15373" max="15373" width="13.8571428571429" style="1" customWidth="1"/>
    <col min="15374" max="15374" width="16.1428571428571" style="1" customWidth="1"/>
    <col min="15375" max="15617" width="9.14285714285714" style="1"/>
    <col min="15618" max="15618" width="3.42857142857143" style="1" customWidth="1"/>
    <col min="15619" max="15619" width="9.14285714285714" style="1"/>
    <col min="15620" max="15620" width="3.28571428571429" style="1" customWidth="1"/>
    <col min="15621" max="15621" width="9.14285714285714" style="1"/>
    <col min="15622" max="15622" width="37.2857142857143" style="1" customWidth="1"/>
    <col min="15623" max="15623" width="14" style="1" customWidth="1"/>
    <col min="15624" max="15624" width="6.71428571428571" style="1" customWidth="1"/>
    <col min="15625" max="15625" width="16.4285714285714" style="1" customWidth="1"/>
    <col min="15626" max="15626" width="9.14285714285714" style="1"/>
    <col min="15627" max="15627" width="20.1428571428571" style="1" customWidth="1"/>
    <col min="15628" max="15628" width="11.5714285714286" style="1" customWidth="1"/>
    <col min="15629" max="15629" width="13.8571428571429" style="1" customWidth="1"/>
    <col min="15630" max="15630" width="16.1428571428571" style="1" customWidth="1"/>
    <col min="15631" max="15873" width="9.14285714285714" style="1"/>
    <col min="15874" max="15874" width="3.42857142857143" style="1" customWidth="1"/>
    <col min="15875" max="15875" width="9.14285714285714" style="1"/>
    <col min="15876" max="15876" width="3.28571428571429" style="1" customWidth="1"/>
    <col min="15877" max="15877" width="9.14285714285714" style="1"/>
    <col min="15878" max="15878" width="37.2857142857143" style="1" customWidth="1"/>
    <col min="15879" max="15879" width="14" style="1" customWidth="1"/>
    <col min="15880" max="15880" width="6.71428571428571" style="1" customWidth="1"/>
    <col min="15881" max="15881" width="16.4285714285714" style="1" customWidth="1"/>
    <col min="15882" max="15882" width="9.14285714285714" style="1"/>
    <col min="15883" max="15883" width="20.1428571428571" style="1" customWidth="1"/>
    <col min="15884" max="15884" width="11.5714285714286" style="1" customWidth="1"/>
    <col min="15885" max="15885" width="13.8571428571429" style="1" customWidth="1"/>
    <col min="15886" max="15886" width="16.1428571428571" style="1" customWidth="1"/>
    <col min="15887" max="16129" width="9.14285714285714" style="1"/>
    <col min="16130" max="16130" width="3.42857142857143" style="1" customWidth="1"/>
    <col min="16131" max="16131" width="9.14285714285714" style="1"/>
    <col min="16132" max="16132" width="3.28571428571429" style="1" customWidth="1"/>
    <col min="16133" max="16133" width="9.14285714285714" style="1"/>
    <col min="16134" max="16134" width="37.2857142857143" style="1" customWidth="1"/>
    <col min="16135" max="16135" width="14" style="1" customWidth="1"/>
    <col min="16136" max="16136" width="6.71428571428571" style="1" customWidth="1"/>
    <col min="16137" max="16137" width="16.4285714285714" style="1" customWidth="1"/>
    <col min="16138" max="16138" width="9.14285714285714" style="1"/>
    <col min="16139" max="16139" width="20.1428571428571" style="1" customWidth="1"/>
    <col min="16140" max="16140" width="11.5714285714286" style="1" customWidth="1"/>
    <col min="16141" max="16141" width="13.8571428571429" style="1" customWidth="1"/>
    <col min="16142" max="16142" width="16.1428571428571" style="1" customWidth="1"/>
    <col min="16143" max="16384" width="9.14285714285714" style="1"/>
  </cols>
  <sheetData>
    <row r="1" spans="1:9">
      <c r="A1" s="3" t="s">
        <v>445</v>
      </c>
      <c r="B1" s="3"/>
      <c r="C1" s="3"/>
      <c r="D1" s="3"/>
      <c r="E1" s="3"/>
      <c r="F1" s="3"/>
      <c r="G1" s="3"/>
      <c r="H1" s="3"/>
      <c r="I1" s="3"/>
    </row>
    <row r="2" ht="19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7.25" customHeight="1" spans="1:13">
      <c r="A3" s="4" t="s">
        <v>15</v>
      </c>
      <c r="B3" s="5"/>
      <c r="C3" s="5"/>
      <c r="D3" s="6"/>
      <c r="E3" s="7" t="str">
        <f>Analis!D3</f>
        <v>: RUMAH TINGGAL DARI KONTAINER</v>
      </c>
      <c r="G3" s="8"/>
      <c r="H3" s="8"/>
      <c r="I3" s="8"/>
      <c r="J3" s="63"/>
      <c r="K3" s="64"/>
      <c r="L3" s="64"/>
      <c r="M3" s="65"/>
    </row>
    <row r="4" spans="1:9">
      <c r="A4" s="9" t="s">
        <v>16</v>
      </c>
      <c r="B4" s="10"/>
      <c r="C4" s="10"/>
      <c r="D4" s="11"/>
      <c r="E4" s="7" t="str">
        <f>Analis!D4</f>
        <v>: AHSP BIDANG PEKERJAAN UMUM KEMENTRIAN PUPR</v>
      </c>
      <c r="G4" s="12"/>
      <c r="H4" s="12"/>
      <c r="I4" s="66"/>
    </row>
    <row r="5" spans="1:9">
      <c r="A5" s="9" t="s">
        <v>17</v>
      </c>
      <c r="B5" s="10"/>
      <c r="C5" s="10"/>
      <c r="D5" s="11"/>
      <c r="E5" s="7" t="str">
        <f>Analis!D5</f>
        <v>: 2022</v>
      </c>
      <c r="G5" s="13"/>
      <c r="H5" s="13"/>
      <c r="I5" s="13"/>
    </row>
    <row r="6" ht="13.5" spans="1:9">
      <c r="A6" s="14"/>
      <c r="B6" s="14"/>
      <c r="C6" s="14"/>
      <c r="D6" s="14"/>
      <c r="E6" s="14"/>
      <c r="F6" s="14"/>
      <c r="G6" s="14"/>
      <c r="H6" s="14"/>
      <c r="I6" s="14"/>
    </row>
    <row r="7" ht="14.25" spans="1:9">
      <c r="A7" s="15" t="s">
        <v>1</v>
      </c>
      <c r="B7" s="16" t="s">
        <v>446</v>
      </c>
      <c r="C7" s="17"/>
      <c r="D7" s="17"/>
      <c r="E7" s="17"/>
      <c r="F7" s="17"/>
      <c r="G7" s="18" t="s">
        <v>447</v>
      </c>
      <c r="H7" s="19" t="s">
        <v>448</v>
      </c>
      <c r="I7" s="67"/>
    </row>
    <row r="8" spans="1:13">
      <c r="A8" s="20">
        <v>1</v>
      </c>
      <c r="B8" s="21"/>
      <c r="C8" s="22" t="s">
        <v>169</v>
      </c>
      <c r="D8" s="22"/>
      <c r="E8" s="22"/>
      <c r="F8" s="22"/>
      <c r="G8" s="23" t="s">
        <v>449</v>
      </c>
      <c r="H8" s="24" t="s">
        <v>450</v>
      </c>
      <c r="I8" s="68">
        <v>215000</v>
      </c>
      <c r="M8" s="69"/>
    </row>
    <row r="9" spans="1:13">
      <c r="A9" s="25">
        <v>2</v>
      </c>
      <c r="B9" s="26"/>
      <c r="C9" s="27" t="s">
        <v>451</v>
      </c>
      <c r="D9" s="27"/>
      <c r="E9" s="27"/>
      <c r="F9" s="27"/>
      <c r="G9" s="28" t="s">
        <v>449</v>
      </c>
      <c r="H9" s="29" t="s">
        <v>450</v>
      </c>
      <c r="I9" s="70">
        <v>120000</v>
      </c>
      <c r="M9" s="69"/>
    </row>
    <row r="10" spans="1:13">
      <c r="A10" s="30">
        <v>3</v>
      </c>
      <c r="B10" s="31"/>
      <c r="C10" s="32" t="s">
        <v>398</v>
      </c>
      <c r="D10" s="32"/>
      <c r="E10" s="32"/>
      <c r="F10" s="32"/>
      <c r="G10" s="33" t="s">
        <v>449</v>
      </c>
      <c r="H10" s="34" t="s">
        <v>450</v>
      </c>
      <c r="I10" s="71">
        <v>170000</v>
      </c>
      <c r="M10" s="69"/>
    </row>
    <row r="11" spans="1:13">
      <c r="A11" s="30">
        <v>4</v>
      </c>
      <c r="B11" s="31"/>
      <c r="C11" s="32" t="s">
        <v>401</v>
      </c>
      <c r="D11" s="32"/>
      <c r="E11" s="32"/>
      <c r="F11" s="32"/>
      <c r="G11" s="33" t="s">
        <v>449</v>
      </c>
      <c r="H11" s="34" t="s">
        <v>450</v>
      </c>
      <c r="I11" s="71">
        <v>120000</v>
      </c>
      <c r="M11" s="69"/>
    </row>
    <row r="12" spans="1:13">
      <c r="A12" s="30">
        <v>5</v>
      </c>
      <c r="B12" s="31"/>
      <c r="C12" s="32" t="s">
        <v>452</v>
      </c>
      <c r="D12" s="32"/>
      <c r="E12" s="32"/>
      <c r="F12" s="32"/>
      <c r="G12" s="33" t="s">
        <v>449</v>
      </c>
      <c r="H12" s="34" t="s">
        <v>450</v>
      </c>
      <c r="I12" s="71">
        <v>90000</v>
      </c>
      <c r="M12" s="69"/>
    </row>
    <row r="13" spans="1:13">
      <c r="A13" s="30">
        <v>6</v>
      </c>
      <c r="B13" s="31"/>
      <c r="C13" s="32" t="s">
        <v>442</v>
      </c>
      <c r="D13" s="32"/>
      <c r="E13" s="32"/>
      <c r="F13" s="32"/>
      <c r="G13" s="33" t="s">
        <v>449</v>
      </c>
      <c r="H13" s="34" t="s">
        <v>450</v>
      </c>
      <c r="I13" s="71">
        <v>157500</v>
      </c>
      <c r="M13" s="69"/>
    </row>
    <row r="14" spans="1:13">
      <c r="A14" s="30">
        <v>7</v>
      </c>
      <c r="B14" s="31"/>
      <c r="C14" s="32" t="s">
        <v>400</v>
      </c>
      <c r="D14" s="32"/>
      <c r="E14" s="32"/>
      <c r="F14" s="32"/>
      <c r="G14" s="33" t="s">
        <v>449</v>
      </c>
      <c r="H14" s="34" t="s">
        <v>450</v>
      </c>
      <c r="I14" s="71">
        <v>120000</v>
      </c>
      <c r="M14" s="69"/>
    </row>
    <row r="15" spans="1:13">
      <c r="A15" s="30">
        <v>8</v>
      </c>
      <c r="B15" s="31"/>
      <c r="C15" s="32" t="s">
        <v>453</v>
      </c>
      <c r="D15" s="32"/>
      <c r="E15" s="32"/>
      <c r="F15" s="32"/>
      <c r="G15" s="33" t="s">
        <v>449</v>
      </c>
      <c r="H15" s="34" t="s">
        <v>450</v>
      </c>
      <c r="I15" s="71">
        <v>80000</v>
      </c>
      <c r="M15" s="69"/>
    </row>
    <row r="16" spans="1:13">
      <c r="A16" s="30">
        <v>9</v>
      </c>
      <c r="B16" s="31"/>
      <c r="C16" s="32" t="s">
        <v>454</v>
      </c>
      <c r="D16" s="32"/>
      <c r="E16" s="32"/>
      <c r="F16" s="32"/>
      <c r="G16" s="33" t="s">
        <v>449</v>
      </c>
      <c r="H16" s="34" t="s">
        <v>450</v>
      </c>
      <c r="I16" s="71">
        <v>140000</v>
      </c>
      <c r="M16" s="69"/>
    </row>
    <row r="17" spans="1:13">
      <c r="A17" s="30">
        <v>10</v>
      </c>
      <c r="B17" s="32"/>
      <c r="C17" s="32" t="s">
        <v>455</v>
      </c>
      <c r="D17" s="32"/>
      <c r="E17" s="32"/>
      <c r="F17" s="35"/>
      <c r="G17" s="36" t="s">
        <v>449</v>
      </c>
      <c r="H17" s="34" t="s">
        <v>450</v>
      </c>
      <c r="I17" s="71">
        <v>120000</v>
      </c>
      <c r="M17" s="69"/>
    </row>
    <row r="18" spans="1:13">
      <c r="A18" s="30">
        <v>11</v>
      </c>
      <c r="B18" s="32"/>
      <c r="C18" s="32" t="s">
        <v>456</v>
      </c>
      <c r="D18" s="32"/>
      <c r="E18" s="32"/>
      <c r="F18" s="35"/>
      <c r="G18" s="36" t="s">
        <v>449</v>
      </c>
      <c r="H18" s="37" t="s">
        <v>450</v>
      </c>
      <c r="I18" s="71">
        <v>80000</v>
      </c>
      <c r="M18" s="69"/>
    </row>
    <row r="19" spans="1:13">
      <c r="A19" s="30">
        <v>12</v>
      </c>
      <c r="B19" s="32"/>
      <c r="C19" s="32" t="s">
        <v>457</v>
      </c>
      <c r="D19" s="32"/>
      <c r="E19" s="32"/>
      <c r="F19" s="35"/>
      <c r="G19" s="36" t="s">
        <v>449</v>
      </c>
      <c r="H19" s="37" t="s">
        <v>450</v>
      </c>
      <c r="I19" s="71">
        <v>150000</v>
      </c>
      <c r="M19" s="69"/>
    </row>
    <row r="20" spans="1:13">
      <c r="A20" s="30">
        <v>13</v>
      </c>
      <c r="B20" s="32"/>
      <c r="C20" s="32" t="s">
        <v>399</v>
      </c>
      <c r="D20" s="32"/>
      <c r="E20" s="32"/>
      <c r="F20" s="35"/>
      <c r="G20" s="36" t="s">
        <v>449</v>
      </c>
      <c r="H20" s="37" t="s">
        <v>450</v>
      </c>
      <c r="I20" s="71">
        <v>100000</v>
      </c>
      <c r="M20" s="69"/>
    </row>
    <row r="21" spans="1:13">
      <c r="A21" s="30">
        <v>14</v>
      </c>
      <c r="B21" s="32"/>
      <c r="C21" s="32" t="s">
        <v>458</v>
      </c>
      <c r="D21" s="32"/>
      <c r="E21" s="32"/>
      <c r="F21" s="35"/>
      <c r="G21" s="36" t="s">
        <v>449</v>
      </c>
      <c r="H21" s="37" t="s">
        <v>450</v>
      </c>
      <c r="I21" s="71">
        <v>85000</v>
      </c>
      <c r="M21" s="69"/>
    </row>
    <row r="22" spans="1:13">
      <c r="A22" s="30">
        <v>15</v>
      </c>
      <c r="B22" s="32"/>
      <c r="C22" s="38" t="s">
        <v>459</v>
      </c>
      <c r="D22" s="38"/>
      <c r="E22" s="32"/>
      <c r="F22" s="35"/>
      <c r="G22" s="36" t="s">
        <v>449</v>
      </c>
      <c r="H22" s="37" t="s">
        <v>450</v>
      </c>
      <c r="I22" s="71">
        <v>80000</v>
      </c>
      <c r="M22" s="69"/>
    </row>
    <row r="23" spans="1:13">
      <c r="A23" s="30">
        <v>16</v>
      </c>
      <c r="B23" s="32"/>
      <c r="C23" s="32" t="s">
        <v>460</v>
      </c>
      <c r="D23" s="32"/>
      <c r="E23" s="32"/>
      <c r="F23" s="35"/>
      <c r="G23" s="36" t="s">
        <v>449</v>
      </c>
      <c r="H23" s="37" t="s">
        <v>450</v>
      </c>
      <c r="I23" s="71">
        <v>85000</v>
      </c>
      <c r="M23" s="69"/>
    </row>
    <row r="24" spans="1:13">
      <c r="A24" s="30">
        <v>17</v>
      </c>
      <c r="B24" s="32"/>
      <c r="C24" s="32" t="s">
        <v>461</v>
      </c>
      <c r="D24" s="32"/>
      <c r="E24" s="32"/>
      <c r="F24" s="35"/>
      <c r="G24" s="36" t="s">
        <v>449</v>
      </c>
      <c r="H24" s="37" t="s">
        <v>450</v>
      </c>
      <c r="I24" s="71">
        <v>130000</v>
      </c>
      <c r="M24" s="69"/>
    </row>
    <row r="25" spans="1:13">
      <c r="A25" s="30">
        <v>18</v>
      </c>
      <c r="B25" s="32"/>
      <c r="C25" s="32" t="s">
        <v>462</v>
      </c>
      <c r="D25" s="32"/>
      <c r="E25" s="32"/>
      <c r="F25" s="35"/>
      <c r="G25" s="36" t="s">
        <v>449</v>
      </c>
      <c r="H25" s="37" t="s">
        <v>450</v>
      </c>
      <c r="I25" s="71">
        <v>150000</v>
      </c>
      <c r="M25" s="69"/>
    </row>
    <row r="26" spans="1:13">
      <c r="A26" s="30">
        <v>19</v>
      </c>
      <c r="B26" s="39"/>
      <c r="C26" s="39" t="s">
        <v>463</v>
      </c>
      <c r="D26" s="39"/>
      <c r="E26" s="39"/>
      <c r="F26" s="40"/>
      <c r="G26" s="36" t="s">
        <v>449</v>
      </c>
      <c r="H26" s="37" t="s">
        <v>450</v>
      </c>
      <c r="I26" s="72">
        <v>425000</v>
      </c>
      <c r="M26" s="69"/>
    </row>
    <row r="27" spans="1:13">
      <c r="A27" s="30">
        <v>20</v>
      </c>
      <c r="B27" s="39"/>
      <c r="C27" s="39" t="s">
        <v>464</v>
      </c>
      <c r="D27" s="39"/>
      <c r="E27" s="39"/>
      <c r="F27" s="40"/>
      <c r="G27" s="36" t="s">
        <v>449</v>
      </c>
      <c r="H27" s="37" t="s">
        <v>450</v>
      </c>
      <c r="I27" s="72">
        <v>110000</v>
      </c>
      <c r="M27" s="69"/>
    </row>
    <row r="28" spans="1:13">
      <c r="A28" s="30">
        <v>21</v>
      </c>
      <c r="B28" s="39"/>
      <c r="C28" s="39" t="s">
        <v>465</v>
      </c>
      <c r="D28" s="39"/>
      <c r="E28" s="39"/>
      <c r="F28" s="40"/>
      <c r="G28" s="36" t="s">
        <v>449</v>
      </c>
      <c r="H28" s="37" t="s">
        <v>450</v>
      </c>
      <c r="I28" s="72">
        <v>185000</v>
      </c>
      <c r="M28" s="69"/>
    </row>
    <row r="29" spans="1:13">
      <c r="A29" s="30">
        <v>22</v>
      </c>
      <c r="B29" s="39"/>
      <c r="C29" s="39" t="s">
        <v>466</v>
      </c>
      <c r="D29" s="39"/>
      <c r="E29" s="39"/>
      <c r="F29" s="40"/>
      <c r="G29" s="36" t="s">
        <v>449</v>
      </c>
      <c r="H29" s="37" t="s">
        <v>450</v>
      </c>
      <c r="I29" s="72">
        <v>100000</v>
      </c>
      <c r="M29" s="69"/>
    </row>
    <row r="30" ht="13.5" spans="1:9">
      <c r="A30" s="41"/>
      <c r="B30" s="42"/>
      <c r="C30" s="42"/>
      <c r="D30" s="42"/>
      <c r="E30" s="42"/>
      <c r="F30" s="43"/>
      <c r="G30" s="43"/>
      <c r="H30" s="42"/>
      <c r="I30" s="73"/>
    </row>
    <row r="31" ht="14.25" spans="1:9">
      <c r="A31" s="44"/>
      <c r="B31" s="45"/>
      <c r="C31" s="45"/>
      <c r="D31" s="45"/>
      <c r="E31" s="45"/>
      <c r="F31" s="45"/>
      <c r="G31" s="44"/>
      <c r="H31" s="46"/>
      <c r="I31" s="74"/>
    </row>
    <row r="32" ht="14.25" spans="1:9">
      <c r="A32" s="47" t="s">
        <v>467</v>
      </c>
      <c r="B32" s="48" t="s">
        <v>468</v>
      </c>
      <c r="C32" s="49"/>
      <c r="D32" s="49"/>
      <c r="E32" s="49"/>
      <c r="F32" s="49"/>
      <c r="G32" s="50" t="s">
        <v>447</v>
      </c>
      <c r="H32" s="51" t="s">
        <v>469</v>
      </c>
      <c r="I32" s="75"/>
    </row>
    <row r="33" spans="1:13">
      <c r="A33" s="52">
        <v>1</v>
      </c>
      <c r="B33" s="53"/>
      <c r="C33" s="54" t="s">
        <v>215</v>
      </c>
      <c r="D33" s="54"/>
      <c r="E33" s="53"/>
      <c r="F33" s="53"/>
      <c r="G33" s="55" t="s">
        <v>228</v>
      </c>
      <c r="H33" s="56" t="s">
        <v>450</v>
      </c>
      <c r="I33" s="76">
        <v>250</v>
      </c>
      <c r="M33" s="77"/>
    </row>
    <row r="34" spans="1:13">
      <c r="A34" s="57">
        <v>2</v>
      </c>
      <c r="B34" s="58"/>
      <c r="C34" s="59" t="s">
        <v>470</v>
      </c>
      <c r="D34" s="59"/>
      <c r="E34" s="58"/>
      <c r="F34" s="58"/>
      <c r="G34" s="60" t="s">
        <v>291</v>
      </c>
      <c r="H34" s="61" t="s">
        <v>450</v>
      </c>
      <c r="I34" s="78">
        <v>60000</v>
      </c>
      <c r="M34" s="77"/>
    </row>
    <row r="35" spans="1:13">
      <c r="A35" s="57">
        <v>3</v>
      </c>
      <c r="B35" s="58"/>
      <c r="C35" s="59" t="s">
        <v>391</v>
      </c>
      <c r="D35" s="59"/>
      <c r="E35" s="58"/>
      <c r="F35" s="58"/>
      <c r="G35" s="60" t="s">
        <v>235</v>
      </c>
      <c r="H35" s="61" t="s">
        <v>450</v>
      </c>
      <c r="I35" s="78">
        <v>7000</v>
      </c>
      <c r="M35" s="77"/>
    </row>
    <row r="36" spans="1:13">
      <c r="A36" s="57">
        <v>4</v>
      </c>
      <c r="B36" s="58"/>
      <c r="C36" s="59" t="s">
        <v>471</v>
      </c>
      <c r="D36" s="59"/>
      <c r="E36" s="58"/>
      <c r="F36" s="58"/>
      <c r="G36" s="60" t="s">
        <v>235</v>
      </c>
      <c r="H36" s="61" t="s">
        <v>450</v>
      </c>
      <c r="I36" s="78">
        <v>41500</v>
      </c>
      <c r="M36" s="77"/>
    </row>
    <row r="37" spans="1:13">
      <c r="A37" s="57">
        <v>5</v>
      </c>
      <c r="B37" s="58"/>
      <c r="C37" s="59" t="s">
        <v>472</v>
      </c>
      <c r="D37" s="59"/>
      <c r="E37" s="58"/>
      <c r="F37" s="58"/>
      <c r="G37" s="60" t="s">
        <v>473</v>
      </c>
      <c r="H37" s="61" t="s">
        <v>450</v>
      </c>
      <c r="I37" s="78">
        <f>2600000+(2600000*0.3)</f>
        <v>3380000</v>
      </c>
      <c r="M37" s="77"/>
    </row>
    <row r="38" spans="1:13">
      <c r="A38" s="57">
        <v>6</v>
      </c>
      <c r="B38" s="58"/>
      <c r="C38" s="59" t="s">
        <v>474</v>
      </c>
      <c r="D38" s="59"/>
      <c r="E38" s="58"/>
      <c r="F38" s="58"/>
      <c r="G38" s="60" t="s">
        <v>280</v>
      </c>
      <c r="H38" s="61" t="s">
        <v>450</v>
      </c>
      <c r="I38" s="78">
        <v>210000</v>
      </c>
      <c r="K38" s="79"/>
      <c r="M38" s="77"/>
    </row>
    <row r="39" spans="1:13">
      <c r="A39" s="57">
        <v>7</v>
      </c>
      <c r="B39" s="58"/>
      <c r="C39" s="59" t="s">
        <v>239</v>
      </c>
      <c r="D39" s="59"/>
      <c r="E39" s="58"/>
      <c r="F39" s="58"/>
      <c r="G39" s="60" t="s">
        <v>291</v>
      </c>
      <c r="H39" s="61" t="s">
        <v>450</v>
      </c>
      <c r="I39" s="78">
        <v>825</v>
      </c>
      <c r="M39" s="77"/>
    </row>
    <row r="40" spans="1:13">
      <c r="A40" s="57">
        <v>8</v>
      </c>
      <c r="B40" s="62"/>
      <c r="C40" s="32" t="s">
        <v>475</v>
      </c>
      <c r="D40" s="32"/>
      <c r="E40" s="62"/>
      <c r="F40" s="32"/>
      <c r="G40" s="33" t="s">
        <v>270</v>
      </c>
      <c r="H40" s="34" t="s">
        <v>450</v>
      </c>
      <c r="I40" s="78">
        <v>466700</v>
      </c>
      <c r="M40" s="77"/>
    </row>
    <row r="41" spans="1:13">
      <c r="A41" s="57">
        <v>9</v>
      </c>
      <c r="B41" s="62"/>
      <c r="C41" s="32" t="s">
        <v>476</v>
      </c>
      <c r="D41" s="32"/>
      <c r="E41" s="62"/>
      <c r="F41" s="32"/>
      <c r="G41" s="33" t="s">
        <v>270</v>
      </c>
      <c r="H41" s="34" t="s">
        <v>450</v>
      </c>
      <c r="I41" s="78">
        <v>7125000</v>
      </c>
      <c r="M41" s="77"/>
    </row>
    <row r="42" spans="1:13">
      <c r="A42" s="57">
        <v>10</v>
      </c>
      <c r="B42" s="62"/>
      <c r="C42" s="32" t="s">
        <v>477</v>
      </c>
      <c r="D42" s="32"/>
      <c r="E42" s="62"/>
      <c r="F42" s="32"/>
      <c r="G42" s="33" t="s">
        <v>270</v>
      </c>
      <c r="H42" s="34" t="s">
        <v>450</v>
      </c>
      <c r="I42" s="78">
        <v>3650000</v>
      </c>
      <c r="M42" s="77"/>
    </row>
    <row r="43" spans="1:13">
      <c r="A43" s="57">
        <v>11</v>
      </c>
      <c r="B43" s="62"/>
      <c r="C43" s="32" t="s">
        <v>478</v>
      </c>
      <c r="D43" s="32"/>
      <c r="E43" s="62"/>
      <c r="F43" s="32"/>
      <c r="G43" s="33" t="s">
        <v>270</v>
      </c>
      <c r="H43" s="34" t="s">
        <v>450</v>
      </c>
      <c r="I43" s="78">
        <v>1000000</v>
      </c>
      <c r="M43" s="77"/>
    </row>
    <row r="44" spans="1:13">
      <c r="A44" s="57">
        <v>12</v>
      </c>
      <c r="B44" s="62"/>
      <c r="C44" s="32" t="s">
        <v>479</v>
      </c>
      <c r="D44" s="32"/>
      <c r="E44" s="62"/>
      <c r="F44" s="32"/>
      <c r="G44" s="33" t="s">
        <v>291</v>
      </c>
      <c r="H44" s="34" t="s">
        <v>450</v>
      </c>
      <c r="I44" s="78">
        <v>290960</v>
      </c>
      <c r="M44" s="77"/>
    </row>
    <row r="45" spans="1:13">
      <c r="A45" s="57">
        <v>13</v>
      </c>
      <c r="B45" s="62"/>
      <c r="C45" s="32" t="s">
        <v>480</v>
      </c>
      <c r="D45" s="32"/>
      <c r="E45" s="62"/>
      <c r="F45" s="32"/>
      <c r="G45" s="33" t="s">
        <v>291</v>
      </c>
      <c r="H45" s="34" t="s">
        <v>450</v>
      </c>
      <c r="I45" s="78">
        <v>375000</v>
      </c>
      <c r="M45" s="77"/>
    </row>
    <row r="46" spans="1:13">
      <c r="A46" s="57">
        <v>14</v>
      </c>
      <c r="B46" s="62"/>
      <c r="C46" s="32" t="s">
        <v>205</v>
      </c>
      <c r="D46" s="32"/>
      <c r="E46" s="62"/>
      <c r="F46" s="32"/>
      <c r="G46" s="33" t="s">
        <v>270</v>
      </c>
      <c r="H46" s="34" t="s">
        <v>450</v>
      </c>
      <c r="I46" s="78">
        <v>380000</v>
      </c>
      <c r="K46" s="80"/>
      <c r="L46" s="81"/>
      <c r="M46" s="77"/>
    </row>
    <row r="47" spans="1:13">
      <c r="A47" s="57">
        <v>15</v>
      </c>
      <c r="B47" s="62"/>
      <c r="C47" s="32" t="s">
        <v>481</v>
      </c>
      <c r="D47" s="32"/>
      <c r="E47" s="62"/>
      <c r="F47" s="32"/>
      <c r="G47" s="33" t="s">
        <v>482</v>
      </c>
      <c r="H47" s="34" t="s">
        <v>450</v>
      </c>
      <c r="I47" s="78">
        <v>27000</v>
      </c>
      <c r="M47" s="77"/>
    </row>
    <row r="48" spans="1:13">
      <c r="A48" s="57">
        <v>16</v>
      </c>
      <c r="B48" s="62"/>
      <c r="C48" s="32" t="s">
        <v>483</v>
      </c>
      <c r="D48" s="32"/>
      <c r="E48" s="62"/>
      <c r="F48" s="32"/>
      <c r="G48" s="33" t="s">
        <v>228</v>
      </c>
      <c r="H48" s="34" t="s">
        <v>450</v>
      </c>
      <c r="I48" s="78">
        <v>8000</v>
      </c>
      <c r="M48" s="77"/>
    </row>
    <row r="49" spans="1:13">
      <c r="A49" s="57">
        <v>17</v>
      </c>
      <c r="B49" s="62"/>
      <c r="C49" s="32" t="s">
        <v>484</v>
      </c>
      <c r="D49" s="32"/>
      <c r="E49" s="62"/>
      <c r="F49" s="32"/>
      <c r="G49" s="33" t="s">
        <v>228</v>
      </c>
      <c r="H49" s="34" t="s">
        <v>450</v>
      </c>
      <c r="I49" s="78">
        <v>9000</v>
      </c>
      <c r="M49" s="77"/>
    </row>
    <row r="50" spans="1:13">
      <c r="A50" s="57">
        <v>18</v>
      </c>
      <c r="B50" s="62"/>
      <c r="C50" s="32" t="s">
        <v>485</v>
      </c>
      <c r="D50" s="32"/>
      <c r="E50" s="62"/>
      <c r="F50" s="32"/>
      <c r="G50" s="33" t="s">
        <v>270</v>
      </c>
      <c r="H50" s="34" t="s">
        <v>450</v>
      </c>
      <c r="I50" s="78">
        <f>1315000+(1315000*0.2)</f>
        <v>1578000</v>
      </c>
      <c r="M50" s="77"/>
    </row>
    <row r="51" spans="1:13">
      <c r="A51" s="57">
        <v>19</v>
      </c>
      <c r="B51" s="62"/>
      <c r="C51" s="32" t="s">
        <v>486</v>
      </c>
      <c r="D51" s="32"/>
      <c r="E51" s="62"/>
      <c r="F51" s="32"/>
      <c r="G51" s="33" t="s">
        <v>228</v>
      </c>
      <c r="H51" s="34" t="s">
        <v>450</v>
      </c>
      <c r="I51" s="78">
        <v>32000</v>
      </c>
      <c r="M51" s="77"/>
    </row>
    <row r="52" spans="1:14">
      <c r="A52" s="57">
        <v>20</v>
      </c>
      <c r="B52" s="62"/>
      <c r="C52" s="32" t="s">
        <v>229</v>
      </c>
      <c r="D52" s="32"/>
      <c r="E52" s="62"/>
      <c r="F52" s="32"/>
      <c r="G52" s="33" t="s">
        <v>244</v>
      </c>
      <c r="H52" s="34" t="s">
        <v>450</v>
      </c>
      <c r="I52" s="78">
        <v>17500</v>
      </c>
      <c r="K52" s="82"/>
      <c r="L52" s="83"/>
      <c r="M52" s="77"/>
      <c r="N52" s="79"/>
    </row>
    <row r="53" spans="1:13">
      <c r="A53" s="57">
        <v>21</v>
      </c>
      <c r="B53" s="62"/>
      <c r="C53" s="32" t="s">
        <v>487</v>
      </c>
      <c r="D53" s="32"/>
      <c r="E53" s="62"/>
      <c r="F53" s="32"/>
      <c r="G53" s="33" t="s">
        <v>291</v>
      </c>
      <c r="H53" s="34" t="s">
        <v>450</v>
      </c>
      <c r="I53" s="78">
        <v>1500000</v>
      </c>
      <c r="M53" s="77"/>
    </row>
    <row r="54" spans="1:13">
      <c r="A54" s="57">
        <v>22</v>
      </c>
      <c r="B54" s="62"/>
      <c r="C54" s="32" t="s">
        <v>488</v>
      </c>
      <c r="D54" s="32"/>
      <c r="E54" s="62"/>
      <c r="F54" s="32"/>
      <c r="G54" s="33" t="s">
        <v>335</v>
      </c>
      <c r="H54" s="34" t="s">
        <v>450</v>
      </c>
      <c r="I54" s="78">
        <v>40000</v>
      </c>
      <c r="M54" s="77"/>
    </row>
    <row r="55" spans="1:13">
      <c r="A55" s="57">
        <v>23</v>
      </c>
      <c r="B55" s="62"/>
      <c r="C55" s="32" t="s">
        <v>489</v>
      </c>
      <c r="D55" s="32"/>
      <c r="E55" s="62"/>
      <c r="F55" s="32"/>
      <c r="G55" s="33" t="s">
        <v>244</v>
      </c>
      <c r="H55" s="34" t="s">
        <v>450</v>
      </c>
      <c r="I55" s="78">
        <v>38000</v>
      </c>
      <c r="M55" s="77"/>
    </row>
    <row r="56" spans="1:13">
      <c r="A56" s="57">
        <v>24</v>
      </c>
      <c r="B56" s="62"/>
      <c r="C56" s="32" t="s">
        <v>490</v>
      </c>
      <c r="D56" s="32"/>
      <c r="E56" s="62"/>
      <c r="F56" s="32"/>
      <c r="G56" s="33" t="s">
        <v>244</v>
      </c>
      <c r="H56" s="34" t="s">
        <v>450</v>
      </c>
      <c r="I56" s="78">
        <v>80000</v>
      </c>
      <c r="M56" s="77"/>
    </row>
    <row r="57" spans="1:13">
      <c r="A57" s="57">
        <v>25</v>
      </c>
      <c r="B57" s="62"/>
      <c r="C57" s="32" t="s">
        <v>491</v>
      </c>
      <c r="D57" s="32"/>
      <c r="E57" s="62"/>
      <c r="F57" s="32"/>
      <c r="G57" s="33" t="s">
        <v>244</v>
      </c>
      <c r="H57" s="34" t="s">
        <v>450</v>
      </c>
      <c r="I57" s="78">
        <v>50000</v>
      </c>
      <c r="M57" s="77"/>
    </row>
    <row r="58" ht="14.25" customHeight="1" spans="1:13">
      <c r="A58" s="57">
        <v>26</v>
      </c>
      <c r="B58" s="62"/>
      <c r="C58" s="32" t="s">
        <v>492</v>
      </c>
      <c r="D58" s="32"/>
      <c r="E58" s="62"/>
      <c r="F58" s="32"/>
      <c r="G58" s="33" t="s">
        <v>244</v>
      </c>
      <c r="H58" s="34" t="s">
        <v>450</v>
      </c>
      <c r="I58" s="78">
        <v>37000</v>
      </c>
      <c r="M58" s="77"/>
    </row>
    <row r="59" spans="1:13">
      <c r="A59" s="57">
        <v>27</v>
      </c>
      <c r="B59" s="62"/>
      <c r="C59" s="32" t="s">
        <v>493</v>
      </c>
      <c r="D59" s="32"/>
      <c r="E59" s="62"/>
      <c r="F59" s="32"/>
      <c r="G59" s="33" t="s">
        <v>244</v>
      </c>
      <c r="H59" s="34" t="s">
        <v>450</v>
      </c>
      <c r="I59" s="78">
        <v>35000</v>
      </c>
      <c r="M59" s="77"/>
    </row>
    <row r="60" spans="1:13">
      <c r="A60" s="57">
        <v>28</v>
      </c>
      <c r="B60" s="62"/>
      <c r="C60" s="32" t="s">
        <v>494</v>
      </c>
      <c r="D60" s="32"/>
      <c r="E60" s="62"/>
      <c r="F60" s="32"/>
      <c r="G60" s="33" t="s">
        <v>291</v>
      </c>
      <c r="H60" s="34" t="s">
        <v>450</v>
      </c>
      <c r="I60" s="78">
        <v>250000</v>
      </c>
      <c r="M60" s="77"/>
    </row>
    <row r="61" spans="1:13">
      <c r="A61" s="57">
        <v>29</v>
      </c>
      <c r="B61" s="62"/>
      <c r="C61" s="32" t="s">
        <v>495</v>
      </c>
      <c r="D61" s="32"/>
      <c r="E61" s="62"/>
      <c r="F61" s="32"/>
      <c r="G61" s="33" t="s">
        <v>496</v>
      </c>
      <c r="H61" s="34" t="s">
        <v>450</v>
      </c>
      <c r="I61" s="78">
        <v>1400000</v>
      </c>
      <c r="M61" s="77"/>
    </row>
    <row r="62" spans="1:13">
      <c r="A62" s="57">
        <v>30</v>
      </c>
      <c r="B62" s="62"/>
      <c r="C62" s="32" t="s">
        <v>497</v>
      </c>
      <c r="D62" s="32"/>
      <c r="E62" s="62"/>
      <c r="F62" s="32"/>
      <c r="G62" s="33" t="s">
        <v>291</v>
      </c>
      <c r="H62" s="34" t="s">
        <v>450</v>
      </c>
      <c r="I62" s="78">
        <v>230000</v>
      </c>
      <c r="M62" s="77"/>
    </row>
    <row r="63" spans="1:13">
      <c r="A63" s="57">
        <v>31</v>
      </c>
      <c r="B63" s="62"/>
      <c r="C63" s="32" t="s">
        <v>498</v>
      </c>
      <c r="D63" s="32"/>
      <c r="E63" s="62"/>
      <c r="F63" s="32"/>
      <c r="G63" s="33" t="s">
        <v>482</v>
      </c>
      <c r="H63" s="34" t="s">
        <v>450</v>
      </c>
      <c r="I63" s="78">
        <v>15000</v>
      </c>
      <c r="M63" s="77"/>
    </row>
    <row r="64" spans="1:13">
      <c r="A64" s="57">
        <v>32</v>
      </c>
      <c r="B64" s="62"/>
      <c r="C64" s="32" t="s">
        <v>499</v>
      </c>
      <c r="D64" s="32"/>
      <c r="E64" s="62"/>
      <c r="F64" s="32"/>
      <c r="G64" s="33" t="s">
        <v>291</v>
      </c>
      <c r="H64" s="34" t="s">
        <v>450</v>
      </c>
      <c r="I64" s="78">
        <v>35000</v>
      </c>
      <c r="M64" s="77"/>
    </row>
    <row r="65" spans="1:13">
      <c r="A65" s="57">
        <v>33</v>
      </c>
      <c r="B65" s="62"/>
      <c r="C65" s="32" t="s">
        <v>500</v>
      </c>
      <c r="D65" s="32"/>
      <c r="E65" s="62"/>
      <c r="F65" s="32"/>
      <c r="G65" s="33" t="s">
        <v>291</v>
      </c>
      <c r="H65" s="34" t="s">
        <v>450</v>
      </c>
      <c r="I65" s="78">
        <v>51000</v>
      </c>
      <c r="M65" s="77"/>
    </row>
    <row r="66" spans="1:13">
      <c r="A66" s="57">
        <v>34</v>
      </c>
      <c r="B66" s="62"/>
      <c r="C66" s="32" t="s">
        <v>501</v>
      </c>
      <c r="D66" s="32"/>
      <c r="E66" s="62"/>
      <c r="F66" s="32"/>
      <c r="G66" s="33" t="s">
        <v>291</v>
      </c>
      <c r="H66" s="34" t="s">
        <v>450</v>
      </c>
      <c r="I66" s="78">
        <v>76000</v>
      </c>
      <c r="M66" s="77"/>
    </row>
    <row r="67" spans="1:13">
      <c r="A67" s="57">
        <v>35</v>
      </c>
      <c r="B67" s="62"/>
      <c r="C67" s="32" t="s">
        <v>502</v>
      </c>
      <c r="D67" s="32"/>
      <c r="E67" s="62"/>
      <c r="F67" s="32"/>
      <c r="G67" s="33" t="s">
        <v>235</v>
      </c>
      <c r="H67" s="34" t="s">
        <v>450</v>
      </c>
      <c r="I67" s="78">
        <v>50000</v>
      </c>
      <c r="M67" s="77"/>
    </row>
    <row r="68" spans="1:13">
      <c r="A68" s="57">
        <v>36</v>
      </c>
      <c r="B68" s="62"/>
      <c r="C68" s="32" t="s">
        <v>503</v>
      </c>
      <c r="D68" s="32"/>
      <c r="E68" s="62"/>
      <c r="F68" s="32"/>
      <c r="G68" s="33" t="s">
        <v>235</v>
      </c>
      <c r="H68" s="34" t="s">
        <v>450</v>
      </c>
      <c r="I68" s="78">
        <v>110000</v>
      </c>
      <c r="M68" s="77"/>
    </row>
    <row r="69" spans="1:13">
      <c r="A69" s="57">
        <v>37</v>
      </c>
      <c r="B69" s="62"/>
      <c r="C69" s="32" t="s">
        <v>230</v>
      </c>
      <c r="D69" s="32"/>
      <c r="E69" s="62"/>
      <c r="F69" s="32"/>
      <c r="G69" s="33" t="s">
        <v>176</v>
      </c>
      <c r="H69" s="34" t="s">
        <v>450</v>
      </c>
      <c r="I69" s="78">
        <v>57960</v>
      </c>
      <c r="M69" s="77"/>
    </row>
    <row r="70" spans="1:13">
      <c r="A70" s="57">
        <v>38</v>
      </c>
      <c r="B70" s="62"/>
      <c r="C70" s="32" t="s">
        <v>504</v>
      </c>
      <c r="D70" s="32"/>
      <c r="E70" s="62"/>
      <c r="F70" s="32"/>
      <c r="G70" s="33" t="s">
        <v>291</v>
      </c>
      <c r="H70" s="34" t="s">
        <v>450</v>
      </c>
      <c r="I70" s="78">
        <v>135000</v>
      </c>
      <c r="M70" s="77"/>
    </row>
    <row r="71" spans="1:13">
      <c r="A71" s="57">
        <v>39</v>
      </c>
      <c r="B71" s="62"/>
      <c r="C71" s="32" t="s">
        <v>505</v>
      </c>
      <c r="D71" s="32"/>
      <c r="E71" s="62"/>
      <c r="F71" s="32"/>
      <c r="G71" s="33" t="s">
        <v>291</v>
      </c>
      <c r="H71" s="34" t="s">
        <v>450</v>
      </c>
      <c r="I71" s="78">
        <v>269250</v>
      </c>
      <c r="M71" s="77"/>
    </row>
    <row r="72" spans="1:13">
      <c r="A72" s="57">
        <v>40</v>
      </c>
      <c r="B72" s="62"/>
      <c r="C72" s="32" t="s">
        <v>506</v>
      </c>
      <c r="D72" s="32"/>
      <c r="E72" s="62"/>
      <c r="F72" s="32"/>
      <c r="G72" s="33" t="s">
        <v>291</v>
      </c>
      <c r="H72" s="34" t="s">
        <v>450</v>
      </c>
      <c r="I72" s="78">
        <v>34000</v>
      </c>
      <c r="M72" s="77"/>
    </row>
    <row r="73" spans="1:13">
      <c r="A73" s="57">
        <v>41</v>
      </c>
      <c r="B73" s="62"/>
      <c r="C73" s="32" t="s">
        <v>507</v>
      </c>
      <c r="D73" s="32"/>
      <c r="E73" s="62"/>
      <c r="F73" s="32"/>
      <c r="G73" s="33" t="s">
        <v>291</v>
      </c>
      <c r="H73" s="34" t="s">
        <v>450</v>
      </c>
      <c r="I73" s="78">
        <v>66000</v>
      </c>
      <c r="M73" s="77"/>
    </row>
    <row r="74" spans="1:13">
      <c r="A74" s="57">
        <v>42</v>
      </c>
      <c r="B74" s="62"/>
      <c r="C74" s="32" t="s">
        <v>508</v>
      </c>
      <c r="D74" s="32"/>
      <c r="E74" s="62"/>
      <c r="F74" s="32"/>
      <c r="G74" s="33" t="s">
        <v>235</v>
      </c>
      <c r="H74" s="34" t="s">
        <v>450</v>
      </c>
      <c r="I74" s="78">
        <v>255850</v>
      </c>
      <c r="M74" s="77"/>
    </row>
    <row r="75" spans="1:13">
      <c r="A75" s="57">
        <v>43</v>
      </c>
      <c r="B75" s="62"/>
      <c r="C75" s="32" t="s">
        <v>509</v>
      </c>
      <c r="D75" s="32"/>
      <c r="E75" s="62"/>
      <c r="F75" s="32"/>
      <c r="G75" s="33" t="s">
        <v>291</v>
      </c>
      <c r="H75" s="34" t="s">
        <v>450</v>
      </c>
      <c r="I75" s="78">
        <v>18000</v>
      </c>
      <c r="M75" s="77"/>
    </row>
    <row r="76" spans="1:13">
      <c r="A76" s="57">
        <v>44</v>
      </c>
      <c r="B76" s="62"/>
      <c r="C76" s="32" t="s">
        <v>510</v>
      </c>
      <c r="D76" s="32"/>
      <c r="E76" s="62"/>
      <c r="F76" s="32"/>
      <c r="G76" s="33" t="s">
        <v>280</v>
      </c>
      <c r="H76" s="34" t="s">
        <v>450</v>
      </c>
      <c r="I76" s="78">
        <v>58000</v>
      </c>
      <c r="M76" s="77"/>
    </row>
    <row r="77" spans="1:13">
      <c r="A77" s="57">
        <v>45</v>
      </c>
      <c r="B77" s="62"/>
      <c r="C77" s="32" t="s">
        <v>511</v>
      </c>
      <c r="D77" s="32"/>
      <c r="E77" s="62"/>
      <c r="F77" s="32"/>
      <c r="G77" s="33" t="s">
        <v>280</v>
      </c>
      <c r="H77" s="34" t="s">
        <v>450</v>
      </c>
      <c r="I77" s="78">
        <v>48000</v>
      </c>
      <c r="M77" s="77"/>
    </row>
    <row r="78" spans="1:13">
      <c r="A78" s="57">
        <v>46</v>
      </c>
      <c r="B78" s="62"/>
      <c r="C78" s="32" t="s">
        <v>254</v>
      </c>
      <c r="D78" s="32"/>
      <c r="E78" s="62"/>
      <c r="F78" s="32"/>
      <c r="G78" s="33" t="s">
        <v>280</v>
      </c>
      <c r="H78" s="34" t="s">
        <v>450</v>
      </c>
      <c r="I78" s="78">
        <v>60500</v>
      </c>
      <c r="M78" s="77"/>
    </row>
    <row r="79" spans="1:13">
      <c r="A79" s="57">
        <v>47</v>
      </c>
      <c r="B79" s="62"/>
      <c r="C79" s="32" t="s">
        <v>512</v>
      </c>
      <c r="D79" s="32"/>
      <c r="E79" s="62"/>
      <c r="F79" s="32"/>
      <c r="G79" s="33" t="s">
        <v>280</v>
      </c>
      <c r="H79" s="34" t="s">
        <v>450</v>
      </c>
      <c r="I79" s="78">
        <v>185000</v>
      </c>
      <c r="M79" s="77"/>
    </row>
    <row r="80" spans="1:13">
      <c r="A80" s="57">
        <v>48</v>
      </c>
      <c r="B80" s="62"/>
      <c r="C80" s="32" t="s">
        <v>513</v>
      </c>
      <c r="D80" s="32"/>
      <c r="E80" s="62"/>
      <c r="F80" s="32"/>
      <c r="G80" s="33" t="s">
        <v>280</v>
      </c>
      <c r="H80" s="34" t="s">
        <v>450</v>
      </c>
      <c r="I80" s="78">
        <v>85000</v>
      </c>
      <c r="M80" s="77"/>
    </row>
    <row r="81" spans="1:13">
      <c r="A81" s="57">
        <v>49</v>
      </c>
      <c r="B81" s="62"/>
      <c r="C81" s="32" t="s">
        <v>514</v>
      </c>
      <c r="D81" s="32"/>
      <c r="E81" s="62"/>
      <c r="F81" s="32"/>
      <c r="G81" s="33" t="s">
        <v>280</v>
      </c>
      <c r="H81" s="34" t="s">
        <v>450</v>
      </c>
      <c r="I81" s="78">
        <v>95000</v>
      </c>
      <c r="M81" s="77"/>
    </row>
    <row r="82" spans="1:13">
      <c r="A82" s="57">
        <v>50</v>
      </c>
      <c r="B82" s="62"/>
      <c r="C82" s="32" t="s">
        <v>515</v>
      </c>
      <c r="D82" s="32"/>
      <c r="E82" s="62"/>
      <c r="F82" s="32"/>
      <c r="G82" s="33" t="s">
        <v>228</v>
      </c>
      <c r="H82" s="34" t="s">
        <v>450</v>
      </c>
      <c r="I82" s="78">
        <v>30000</v>
      </c>
      <c r="M82" s="77"/>
    </row>
    <row r="83" spans="1:13">
      <c r="A83" s="57">
        <v>51</v>
      </c>
      <c r="B83" s="62"/>
      <c r="C83" s="32" t="s">
        <v>516</v>
      </c>
      <c r="D83" s="32"/>
      <c r="E83" s="62"/>
      <c r="F83" s="32"/>
      <c r="G83" s="33" t="s">
        <v>291</v>
      </c>
      <c r="H83" s="34" t="s">
        <v>450</v>
      </c>
      <c r="I83" s="78">
        <v>45000</v>
      </c>
      <c r="M83" s="77"/>
    </row>
    <row r="84" spans="1:13">
      <c r="A84" s="57">
        <v>52</v>
      </c>
      <c r="B84" s="62"/>
      <c r="C84" s="32" t="s">
        <v>517</v>
      </c>
      <c r="D84" s="32"/>
      <c r="E84" s="62"/>
      <c r="F84" s="32"/>
      <c r="G84" s="33" t="s">
        <v>291</v>
      </c>
      <c r="H84" s="34" t="s">
        <v>450</v>
      </c>
      <c r="I84" s="78">
        <v>40000</v>
      </c>
      <c r="M84" s="77"/>
    </row>
    <row r="85" spans="1:13">
      <c r="A85" s="57">
        <v>53</v>
      </c>
      <c r="B85" s="62"/>
      <c r="C85" s="32" t="s">
        <v>518</v>
      </c>
      <c r="D85" s="32"/>
      <c r="E85" s="62"/>
      <c r="F85" s="32"/>
      <c r="G85" s="33" t="s">
        <v>291</v>
      </c>
      <c r="H85" s="34" t="s">
        <v>450</v>
      </c>
      <c r="I85" s="78">
        <f>(751000*0.3)+751000</f>
        <v>976300</v>
      </c>
      <c r="M85" s="77"/>
    </row>
    <row r="86" spans="1:13">
      <c r="A86" s="57">
        <v>54</v>
      </c>
      <c r="B86" s="62"/>
      <c r="C86" s="32" t="s">
        <v>519</v>
      </c>
      <c r="D86" s="32"/>
      <c r="E86" s="62"/>
      <c r="F86" s="32"/>
      <c r="G86" s="33" t="s">
        <v>291</v>
      </c>
      <c r="H86" s="34" t="s">
        <v>450</v>
      </c>
      <c r="I86" s="78">
        <v>18200</v>
      </c>
      <c r="M86" s="77"/>
    </row>
    <row r="87" spans="1:13">
      <c r="A87" s="57">
        <v>55</v>
      </c>
      <c r="B87" s="62"/>
      <c r="C87" s="32" t="s">
        <v>520</v>
      </c>
      <c r="D87" s="32"/>
      <c r="E87" s="62"/>
      <c r="F87" s="32"/>
      <c r="G87" s="33" t="s">
        <v>482</v>
      </c>
      <c r="H87" s="34" t="s">
        <v>450</v>
      </c>
      <c r="I87" s="78">
        <v>8500</v>
      </c>
      <c r="M87" s="77"/>
    </row>
    <row r="88" spans="1:13">
      <c r="A88" s="57">
        <v>56</v>
      </c>
      <c r="B88" s="62"/>
      <c r="C88" s="32" t="s">
        <v>521</v>
      </c>
      <c r="D88" s="32"/>
      <c r="E88" s="62"/>
      <c r="F88" s="32"/>
      <c r="G88" s="33" t="s">
        <v>291</v>
      </c>
      <c r="H88" s="34" t="s">
        <v>450</v>
      </c>
      <c r="I88" s="78">
        <v>18500</v>
      </c>
      <c r="M88" s="77"/>
    </row>
    <row r="89" spans="1:13">
      <c r="A89" s="57">
        <v>57</v>
      </c>
      <c r="B89" s="62"/>
      <c r="C89" s="32" t="s">
        <v>272</v>
      </c>
      <c r="D89" s="32"/>
      <c r="E89" s="62"/>
      <c r="F89" s="32"/>
      <c r="G89" s="33" t="s">
        <v>176</v>
      </c>
      <c r="H89" s="34" t="s">
        <v>450</v>
      </c>
      <c r="I89" s="78">
        <f>75000/5</f>
        <v>15000</v>
      </c>
      <c r="M89" s="77"/>
    </row>
    <row r="90" spans="1:13">
      <c r="A90" s="57">
        <v>58</v>
      </c>
      <c r="B90" s="62"/>
      <c r="C90" s="32" t="s">
        <v>197</v>
      </c>
      <c r="D90" s="32"/>
      <c r="E90" s="62"/>
      <c r="F90" s="32"/>
      <c r="G90" s="33" t="s">
        <v>270</v>
      </c>
      <c r="H90" s="34" t="s">
        <v>450</v>
      </c>
      <c r="I90" s="78">
        <v>66700</v>
      </c>
      <c r="M90" s="77"/>
    </row>
    <row r="91" spans="1:13">
      <c r="A91" s="57">
        <v>59</v>
      </c>
      <c r="B91" s="62"/>
      <c r="C91" s="32" t="s">
        <v>522</v>
      </c>
      <c r="D91" s="32"/>
      <c r="E91" s="62"/>
      <c r="F91" s="32"/>
      <c r="G91" s="33" t="s">
        <v>235</v>
      </c>
      <c r="H91" s="34" t="s">
        <v>450</v>
      </c>
      <c r="I91" s="78">
        <v>72000</v>
      </c>
      <c r="M91" s="77"/>
    </row>
    <row r="92" spans="1:13">
      <c r="A92" s="57">
        <v>60</v>
      </c>
      <c r="B92" s="62"/>
      <c r="C92" s="32" t="s">
        <v>523</v>
      </c>
      <c r="D92" s="32"/>
      <c r="E92" s="62"/>
      <c r="F92" s="32"/>
      <c r="G92" s="33" t="s">
        <v>280</v>
      </c>
      <c r="H92" s="34" t="s">
        <v>450</v>
      </c>
      <c r="I92" s="78">
        <v>210000</v>
      </c>
      <c r="M92" s="77"/>
    </row>
    <row r="93" spans="1:13">
      <c r="A93" s="57">
        <v>61</v>
      </c>
      <c r="B93" s="62"/>
      <c r="C93" s="32" t="s">
        <v>524</v>
      </c>
      <c r="D93" s="32"/>
      <c r="E93" s="62"/>
      <c r="F93" s="32"/>
      <c r="G93" s="33" t="s">
        <v>244</v>
      </c>
      <c r="H93" s="34" t="s">
        <v>450</v>
      </c>
      <c r="I93" s="78">
        <v>21450</v>
      </c>
      <c r="M93" s="77"/>
    </row>
    <row r="94" spans="1:13">
      <c r="A94" s="57">
        <v>62</v>
      </c>
      <c r="B94" s="62"/>
      <c r="C94" s="32" t="s">
        <v>525</v>
      </c>
      <c r="D94" s="32"/>
      <c r="E94" s="62"/>
      <c r="F94" s="32"/>
      <c r="G94" s="33" t="s">
        <v>244</v>
      </c>
      <c r="H94" s="34" t="s">
        <v>450</v>
      </c>
      <c r="I94" s="78">
        <v>16500</v>
      </c>
      <c r="M94" s="77"/>
    </row>
    <row r="95" spans="1:13">
      <c r="A95" s="57">
        <v>63</v>
      </c>
      <c r="B95" s="62"/>
      <c r="C95" s="32" t="s">
        <v>526</v>
      </c>
      <c r="D95" s="32"/>
      <c r="E95" s="62"/>
      <c r="F95" s="32"/>
      <c r="G95" s="33" t="s">
        <v>244</v>
      </c>
      <c r="H95" s="34" t="s">
        <v>450</v>
      </c>
      <c r="I95" s="78">
        <v>17100</v>
      </c>
      <c r="M95" s="77"/>
    </row>
    <row r="96" spans="1:13">
      <c r="A96" s="57">
        <v>64</v>
      </c>
      <c r="B96" s="62"/>
      <c r="C96" s="32" t="s">
        <v>527</v>
      </c>
      <c r="D96" s="32"/>
      <c r="E96" s="62"/>
      <c r="F96" s="32"/>
      <c r="G96" s="33" t="s">
        <v>291</v>
      </c>
      <c r="H96" s="34" t="s">
        <v>450</v>
      </c>
      <c r="I96" s="78">
        <v>1000</v>
      </c>
      <c r="M96" s="77"/>
    </row>
    <row r="97" spans="1:13">
      <c r="A97" s="57"/>
      <c r="B97" s="62"/>
      <c r="C97" s="32" t="s">
        <v>528</v>
      </c>
      <c r="D97" s="32"/>
      <c r="E97" s="62"/>
      <c r="F97" s="32"/>
      <c r="G97" s="33" t="s">
        <v>244</v>
      </c>
      <c r="H97" s="34" t="s">
        <v>450</v>
      </c>
      <c r="I97" s="78">
        <v>12000</v>
      </c>
      <c r="M97" s="77"/>
    </row>
    <row r="98" spans="1:13">
      <c r="A98" s="57">
        <v>65</v>
      </c>
      <c r="B98" s="62"/>
      <c r="C98" s="32" t="s">
        <v>529</v>
      </c>
      <c r="D98" s="32"/>
      <c r="E98" s="62"/>
      <c r="F98" s="32"/>
      <c r="G98" s="33" t="s">
        <v>270</v>
      </c>
      <c r="H98" s="34" t="s">
        <v>450</v>
      </c>
      <c r="I98" s="78">
        <v>2500000</v>
      </c>
      <c r="M98" s="77"/>
    </row>
    <row r="99" spans="1:13">
      <c r="A99" s="57">
        <v>66</v>
      </c>
      <c r="B99" s="62"/>
      <c r="C99" s="32" t="s">
        <v>530</v>
      </c>
      <c r="D99" s="32"/>
      <c r="E99" s="62"/>
      <c r="F99" s="32"/>
      <c r="G99" s="33" t="s">
        <v>335</v>
      </c>
      <c r="H99" s="34" t="s">
        <v>450</v>
      </c>
      <c r="I99" s="78">
        <v>834900</v>
      </c>
      <c r="M99" s="77"/>
    </row>
    <row r="100" spans="1:13">
      <c r="A100" s="57">
        <v>67</v>
      </c>
      <c r="B100" s="62"/>
      <c r="C100" s="32" t="s">
        <v>531</v>
      </c>
      <c r="D100" s="32"/>
      <c r="E100" s="62"/>
      <c r="F100" s="32"/>
      <c r="G100" s="33" t="s">
        <v>291</v>
      </c>
      <c r="H100" s="34" t="s">
        <v>450</v>
      </c>
      <c r="I100" s="78">
        <v>20000</v>
      </c>
      <c r="M100" s="77"/>
    </row>
    <row r="101" spans="1:13">
      <c r="A101" s="57">
        <v>68</v>
      </c>
      <c r="B101" s="32"/>
      <c r="C101" s="32" t="s">
        <v>532</v>
      </c>
      <c r="D101" s="32"/>
      <c r="E101" s="32"/>
      <c r="F101" s="32"/>
      <c r="G101" s="33" t="s">
        <v>482</v>
      </c>
      <c r="H101" s="34" t="s">
        <v>450</v>
      </c>
      <c r="I101" s="78">
        <v>39100</v>
      </c>
      <c r="M101" s="77"/>
    </row>
    <row r="102" spans="1:13">
      <c r="A102" s="57">
        <v>69</v>
      </c>
      <c r="B102" s="62"/>
      <c r="C102" s="32" t="s">
        <v>533</v>
      </c>
      <c r="D102" s="32"/>
      <c r="E102" s="62"/>
      <c r="F102" s="32"/>
      <c r="G102" s="33" t="s">
        <v>482</v>
      </c>
      <c r="H102" s="34" t="s">
        <v>450</v>
      </c>
      <c r="I102" s="78">
        <v>146800</v>
      </c>
      <c r="M102" s="77"/>
    </row>
    <row r="103" spans="1:13">
      <c r="A103" s="57">
        <v>70</v>
      </c>
      <c r="B103" s="62"/>
      <c r="C103" s="32" t="s">
        <v>534</v>
      </c>
      <c r="D103" s="32"/>
      <c r="E103" s="62"/>
      <c r="F103" s="32"/>
      <c r="G103" s="33" t="s">
        <v>482</v>
      </c>
      <c r="H103" s="34" t="s">
        <v>450</v>
      </c>
      <c r="I103" s="78">
        <v>168400</v>
      </c>
      <c r="M103" s="77"/>
    </row>
    <row r="104" spans="1:13">
      <c r="A104" s="57">
        <v>71</v>
      </c>
      <c r="B104" s="62"/>
      <c r="C104" s="32" t="s">
        <v>535</v>
      </c>
      <c r="D104" s="32"/>
      <c r="E104" s="62"/>
      <c r="F104" s="32"/>
      <c r="G104" s="33" t="s">
        <v>482</v>
      </c>
      <c r="H104" s="34" t="s">
        <v>450</v>
      </c>
      <c r="I104" s="78">
        <v>291900</v>
      </c>
      <c r="M104" s="77"/>
    </row>
    <row r="105" spans="1:13">
      <c r="A105" s="57">
        <v>72</v>
      </c>
      <c r="B105" s="62"/>
      <c r="C105" s="32" t="s">
        <v>536</v>
      </c>
      <c r="D105" s="32"/>
      <c r="E105" s="62"/>
      <c r="F105" s="32"/>
      <c r="G105" s="33" t="s">
        <v>537</v>
      </c>
      <c r="H105" s="34" t="s">
        <v>450</v>
      </c>
      <c r="I105" s="78">
        <v>50000</v>
      </c>
      <c r="M105" s="77"/>
    </row>
    <row r="106" spans="1:13">
      <c r="A106" s="57">
        <v>73</v>
      </c>
      <c r="B106" s="62"/>
      <c r="C106" s="32" t="s">
        <v>538</v>
      </c>
      <c r="D106" s="32"/>
      <c r="E106" s="62"/>
      <c r="F106" s="32"/>
      <c r="G106" s="33" t="s">
        <v>270</v>
      </c>
      <c r="H106" s="34" t="s">
        <v>450</v>
      </c>
      <c r="I106" s="78">
        <v>1400000</v>
      </c>
      <c r="M106" s="77"/>
    </row>
    <row r="107" spans="1:13">
      <c r="A107" s="57">
        <v>74</v>
      </c>
      <c r="B107" s="62"/>
      <c r="C107" s="32" t="s">
        <v>539</v>
      </c>
      <c r="D107" s="32"/>
      <c r="E107" s="62"/>
      <c r="F107" s="32"/>
      <c r="G107" s="33" t="s">
        <v>270</v>
      </c>
      <c r="H107" s="34" t="s">
        <v>450</v>
      </c>
      <c r="I107" s="78">
        <f>I106</f>
        <v>1400000</v>
      </c>
      <c r="M107" s="77"/>
    </row>
    <row r="108" spans="1:13">
      <c r="A108" s="57">
        <v>75</v>
      </c>
      <c r="B108" s="62"/>
      <c r="C108" s="32" t="s">
        <v>207</v>
      </c>
      <c r="D108" s="32"/>
      <c r="E108" s="62"/>
      <c r="F108" s="32"/>
      <c r="G108" s="33" t="s">
        <v>270</v>
      </c>
      <c r="H108" s="34" t="s">
        <v>450</v>
      </c>
      <c r="I108" s="78">
        <v>84400</v>
      </c>
      <c r="M108" s="77"/>
    </row>
    <row r="109" spans="1:13">
      <c r="A109" s="57">
        <v>76</v>
      </c>
      <c r="B109" s="62"/>
      <c r="C109" s="32" t="s">
        <v>409</v>
      </c>
      <c r="D109" s="32"/>
      <c r="E109" s="62"/>
      <c r="F109" s="32"/>
      <c r="G109" s="33" t="s">
        <v>270</v>
      </c>
      <c r="H109" s="34" t="s">
        <v>450</v>
      </c>
      <c r="I109" s="78">
        <v>116700</v>
      </c>
      <c r="M109" s="77"/>
    </row>
    <row r="110" spans="1:13">
      <c r="A110" s="57">
        <v>77</v>
      </c>
      <c r="B110" s="62"/>
      <c r="C110" s="32" t="s">
        <v>232</v>
      </c>
      <c r="D110" s="32"/>
      <c r="E110" s="62"/>
      <c r="F110" s="32"/>
      <c r="G110" s="33" t="s">
        <v>270</v>
      </c>
      <c r="H110" s="34" t="s">
        <v>450</v>
      </c>
      <c r="I110" s="78">
        <v>570000</v>
      </c>
      <c r="M110" s="77"/>
    </row>
    <row r="111" spans="1:13">
      <c r="A111" s="57">
        <v>78</v>
      </c>
      <c r="B111" s="62"/>
      <c r="C111" s="32" t="s">
        <v>378</v>
      </c>
      <c r="D111" s="32"/>
      <c r="E111" s="62"/>
      <c r="F111" s="32"/>
      <c r="G111" s="33" t="s">
        <v>244</v>
      </c>
      <c r="H111" s="34" t="s">
        <v>450</v>
      </c>
      <c r="I111" s="78">
        <v>24000</v>
      </c>
      <c r="M111" s="77"/>
    </row>
    <row r="112" spans="1:13">
      <c r="A112" s="57">
        <v>79</v>
      </c>
      <c r="B112" s="62"/>
      <c r="C112" s="32" t="s">
        <v>540</v>
      </c>
      <c r="D112" s="32"/>
      <c r="E112" s="84"/>
      <c r="F112" s="84"/>
      <c r="G112" s="85" t="s">
        <v>244</v>
      </c>
      <c r="H112" s="86" t="s">
        <v>450</v>
      </c>
      <c r="I112" s="90">
        <v>47500</v>
      </c>
      <c r="M112" s="91"/>
    </row>
    <row r="113" spans="1:13">
      <c r="A113" s="57">
        <v>80</v>
      </c>
      <c r="B113" s="62"/>
      <c r="C113" s="32" t="s">
        <v>541</v>
      </c>
      <c r="D113" s="32"/>
      <c r="E113" s="84"/>
      <c r="F113" s="84"/>
      <c r="G113" s="85" t="s">
        <v>291</v>
      </c>
      <c r="H113" s="86" t="s">
        <v>450</v>
      </c>
      <c r="I113" s="90">
        <v>1600</v>
      </c>
      <c r="M113" s="91"/>
    </row>
    <row r="114" spans="1:13">
      <c r="A114" s="57">
        <v>81</v>
      </c>
      <c r="B114" s="62"/>
      <c r="C114" s="32" t="s">
        <v>542</v>
      </c>
      <c r="D114" s="32"/>
      <c r="E114" s="84"/>
      <c r="F114" s="84"/>
      <c r="G114" s="85" t="s">
        <v>543</v>
      </c>
      <c r="H114" s="86" t="s">
        <v>450</v>
      </c>
      <c r="I114" s="90">
        <v>189000</v>
      </c>
      <c r="K114" s="79"/>
      <c r="M114" s="91"/>
    </row>
    <row r="115" spans="1:13">
      <c r="A115" s="57">
        <v>82</v>
      </c>
      <c r="B115" s="62"/>
      <c r="C115" s="32" t="s">
        <v>544</v>
      </c>
      <c r="D115" s="32"/>
      <c r="E115" s="84"/>
      <c r="F115" s="84"/>
      <c r="G115" s="85" t="s">
        <v>543</v>
      </c>
      <c r="H115" s="86" t="s">
        <v>450</v>
      </c>
      <c r="I115" s="90">
        <v>28000</v>
      </c>
      <c r="M115" s="91"/>
    </row>
    <row r="116" spans="1:13">
      <c r="A116" s="57">
        <v>83</v>
      </c>
      <c r="B116" s="62"/>
      <c r="C116" s="32" t="s">
        <v>545</v>
      </c>
      <c r="D116" s="32"/>
      <c r="E116" s="84"/>
      <c r="F116" s="84"/>
      <c r="G116" s="85" t="s">
        <v>291</v>
      </c>
      <c r="H116" s="86" t="s">
        <v>450</v>
      </c>
      <c r="I116" s="90">
        <v>15000</v>
      </c>
      <c r="M116" s="91"/>
    </row>
    <row r="117" spans="1:13">
      <c r="A117" s="57">
        <v>84</v>
      </c>
      <c r="B117" s="62"/>
      <c r="C117" s="32" t="s">
        <v>546</v>
      </c>
      <c r="D117" s="32"/>
      <c r="E117" s="84"/>
      <c r="F117" s="84"/>
      <c r="G117" s="85" t="s">
        <v>291</v>
      </c>
      <c r="H117" s="86" t="s">
        <v>450</v>
      </c>
      <c r="I117" s="90">
        <v>20000</v>
      </c>
      <c r="M117" s="91"/>
    </row>
    <row r="118" spans="1:13">
      <c r="A118" s="57">
        <v>85</v>
      </c>
      <c r="B118" s="62"/>
      <c r="C118" s="32" t="s">
        <v>547</v>
      </c>
      <c r="D118" s="32"/>
      <c r="E118" s="84"/>
      <c r="F118" s="84"/>
      <c r="G118" s="85" t="s">
        <v>291</v>
      </c>
      <c r="H118" s="86" t="s">
        <v>450</v>
      </c>
      <c r="I118" s="90">
        <v>44000</v>
      </c>
      <c r="M118" s="91"/>
    </row>
    <row r="119" spans="1:13">
      <c r="A119" s="57">
        <v>86</v>
      </c>
      <c r="B119" s="62"/>
      <c r="C119" s="32" t="s">
        <v>548</v>
      </c>
      <c r="D119" s="32"/>
      <c r="E119" s="84"/>
      <c r="F119" s="84"/>
      <c r="G119" s="85" t="s">
        <v>291</v>
      </c>
      <c r="H119" s="86" t="s">
        <v>450</v>
      </c>
      <c r="I119" s="90">
        <v>36000</v>
      </c>
      <c r="M119" s="91"/>
    </row>
    <row r="120" spans="1:13">
      <c r="A120" s="57">
        <v>87</v>
      </c>
      <c r="B120" s="62"/>
      <c r="C120" s="32" t="s">
        <v>549</v>
      </c>
      <c r="D120" s="32"/>
      <c r="E120" s="84"/>
      <c r="F120" s="84"/>
      <c r="G120" s="85" t="s">
        <v>496</v>
      </c>
      <c r="H120" s="86" t="s">
        <v>450</v>
      </c>
      <c r="I120" s="90">
        <f>(610000*0.32)+610000</f>
        <v>805200</v>
      </c>
      <c r="M120" s="91"/>
    </row>
    <row r="121" spans="1:13">
      <c r="A121" s="57">
        <v>88</v>
      </c>
      <c r="B121" s="62"/>
      <c r="C121" s="32" t="s">
        <v>550</v>
      </c>
      <c r="D121" s="32"/>
      <c r="E121" s="84"/>
      <c r="F121" s="84"/>
      <c r="G121" s="85" t="s">
        <v>496</v>
      </c>
      <c r="H121" s="86" t="s">
        <v>450</v>
      </c>
      <c r="I121" s="90">
        <f>(59000*0.32)+59000</f>
        <v>77880</v>
      </c>
      <c r="M121" s="91"/>
    </row>
    <row r="122" spans="1:13">
      <c r="A122" s="57">
        <v>89</v>
      </c>
      <c r="B122" s="62"/>
      <c r="C122" s="32" t="s">
        <v>551</v>
      </c>
      <c r="D122" s="32"/>
      <c r="E122" s="84"/>
      <c r="F122" s="84"/>
      <c r="G122" s="85" t="s">
        <v>97</v>
      </c>
      <c r="H122" s="86" t="s">
        <v>450</v>
      </c>
      <c r="I122" s="90">
        <v>13000</v>
      </c>
      <c r="M122" s="91"/>
    </row>
    <row r="123" spans="1:13">
      <c r="A123" s="57">
        <v>90</v>
      </c>
      <c r="B123" s="32"/>
      <c r="C123" s="32" t="s">
        <v>552</v>
      </c>
      <c r="D123" s="32"/>
      <c r="E123" s="87"/>
      <c r="F123" s="87"/>
      <c r="G123" s="88" t="s">
        <v>335</v>
      </c>
      <c r="H123" s="89" t="s">
        <v>450</v>
      </c>
      <c r="I123" s="90">
        <v>1250000</v>
      </c>
      <c r="M123" s="91"/>
    </row>
    <row r="124" spans="1:13">
      <c r="A124" s="57">
        <v>91</v>
      </c>
      <c r="B124" s="32"/>
      <c r="C124" s="32" t="s">
        <v>200</v>
      </c>
      <c r="D124" s="32"/>
      <c r="E124" s="32"/>
      <c r="F124" s="32"/>
      <c r="G124" s="33" t="s">
        <v>270</v>
      </c>
      <c r="H124" s="34" t="s">
        <v>450</v>
      </c>
      <c r="I124" s="78">
        <v>102800</v>
      </c>
      <c r="M124" s="77"/>
    </row>
    <row r="125" spans="1:13">
      <c r="A125" s="57">
        <v>92</v>
      </c>
      <c r="B125" s="32"/>
      <c r="C125" s="32" t="s">
        <v>553</v>
      </c>
      <c r="D125" s="32"/>
      <c r="E125" s="32"/>
      <c r="F125" s="32"/>
      <c r="G125" s="33" t="s">
        <v>371</v>
      </c>
      <c r="H125" s="34" t="s">
        <v>450</v>
      </c>
      <c r="I125" s="78">
        <v>850000</v>
      </c>
      <c r="M125" s="77"/>
    </row>
    <row r="126" spans="1:13">
      <c r="A126" s="57">
        <v>93</v>
      </c>
      <c r="B126" s="32"/>
      <c r="C126" s="32" t="s">
        <v>554</v>
      </c>
      <c r="D126" s="32"/>
      <c r="E126" s="32"/>
      <c r="F126" s="32"/>
      <c r="G126" s="33" t="s">
        <v>280</v>
      </c>
      <c r="H126" s="34" t="s">
        <v>450</v>
      </c>
      <c r="I126" s="78">
        <v>185000</v>
      </c>
      <c r="M126" s="77"/>
    </row>
    <row r="127" spans="1:13">
      <c r="A127" s="57">
        <v>94</v>
      </c>
      <c r="B127" s="32"/>
      <c r="C127" s="32" t="s">
        <v>281</v>
      </c>
      <c r="D127" s="32"/>
      <c r="E127" s="32"/>
      <c r="F127" s="32"/>
      <c r="G127" s="33" t="s">
        <v>244</v>
      </c>
      <c r="H127" s="34" t="s">
        <v>450</v>
      </c>
      <c r="I127" s="78">
        <v>23000</v>
      </c>
      <c r="M127" s="77"/>
    </row>
    <row r="128" spans="1:13">
      <c r="A128" s="57">
        <v>95</v>
      </c>
      <c r="B128" s="62"/>
      <c r="C128" s="32" t="s">
        <v>555</v>
      </c>
      <c r="D128" s="32"/>
      <c r="E128" s="62"/>
      <c r="F128" s="32"/>
      <c r="G128" s="33" t="s">
        <v>244</v>
      </c>
      <c r="H128" s="34" t="s">
        <v>450</v>
      </c>
      <c r="I128" s="78">
        <v>1200</v>
      </c>
      <c r="M128" s="77"/>
    </row>
    <row r="129" spans="1:13">
      <c r="A129" s="57">
        <v>96</v>
      </c>
      <c r="B129" s="62"/>
      <c r="C129" s="32" t="s">
        <v>556</v>
      </c>
      <c r="D129" s="32"/>
      <c r="E129" s="62"/>
      <c r="F129" s="32"/>
      <c r="G129" s="33" t="s">
        <v>244</v>
      </c>
      <c r="H129" s="34" t="s">
        <v>450</v>
      </c>
      <c r="I129" s="78">
        <v>13320</v>
      </c>
      <c r="M129" s="77"/>
    </row>
    <row r="130" spans="1:13">
      <c r="A130" s="57">
        <v>97</v>
      </c>
      <c r="B130" s="62"/>
      <c r="C130" s="32" t="s">
        <v>557</v>
      </c>
      <c r="D130" s="32"/>
      <c r="E130" s="62"/>
      <c r="F130" s="32"/>
      <c r="G130" s="33" t="s">
        <v>235</v>
      </c>
      <c r="H130" s="34" t="s">
        <v>450</v>
      </c>
      <c r="I130" s="78">
        <v>410000</v>
      </c>
      <c r="M130" s="77"/>
    </row>
    <row r="131" spans="1:13">
      <c r="A131" s="57">
        <v>98</v>
      </c>
      <c r="B131" s="62"/>
      <c r="C131" s="32" t="s">
        <v>558</v>
      </c>
      <c r="D131" s="32"/>
      <c r="E131" s="62"/>
      <c r="F131" s="32"/>
      <c r="G131" s="33" t="s">
        <v>496</v>
      </c>
      <c r="H131" s="34" t="s">
        <v>450</v>
      </c>
      <c r="I131" s="78">
        <v>457000</v>
      </c>
      <c r="M131" s="77"/>
    </row>
    <row r="132" ht="13.5" spans="1:9">
      <c r="A132" s="57">
        <v>99</v>
      </c>
      <c r="B132" s="92"/>
      <c r="C132" s="93" t="s">
        <v>240</v>
      </c>
      <c r="D132" s="93"/>
      <c r="E132" s="93"/>
      <c r="F132" s="93"/>
      <c r="G132" s="94" t="s">
        <v>559</v>
      </c>
      <c r="H132" s="34" t="s">
        <v>450</v>
      </c>
      <c r="I132" s="78">
        <v>60000</v>
      </c>
    </row>
    <row r="133" ht="13.5" spans="1:9">
      <c r="A133" s="95"/>
      <c r="B133" s="96"/>
      <c r="C133" s="97"/>
      <c r="D133" s="97"/>
      <c r="E133" s="97"/>
      <c r="F133" s="97"/>
      <c r="G133" s="44"/>
      <c r="H133" s="46"/>
      <c r="I133" s="106"/>
    </row>
    <row r="134" spans="1:9">
      <c r="A134" s="98"/>
      <c r="B134" s="98"/>
      <c r="E134" s="99"/>
      <c r="F134" s="99"/>
      <c r="G134" s="100"/>
      <c r="H134" s="100"/>
      <c r="I134" s="101"/>
    </row>
    <row r="135" spans="1:11">
      <c r="A135" s="98"/>
      <c r="B135" s="98"/>
      <c r="E135" s="101"/>
      <c r="F135" s="101"/>
      <c r="G135" s="100"/>
      <c r="H135" s="102"/>
      <c r="I135" s="99"/>
      <c r="K135" s="107"/>
    </row>
    <row r="136" spans="1:9">
      <c r="A136" s="98"/>
      <c r="B136" s="98"/>
      <c r="E136" s="99"/>
      <c r="F136" s="99"/>
      <c r="G136" s="100"/>
      <c r="H136" s="100"/>
      <c r="I136" s="99"/>
    </row>
    <row r="137" spans="1:9">
      <c r="A137" s="103"/>
      <c r="B137" s="103"/>
      <c r="C137" s="103"/>
      <c r="D137" s="103"/>
      <c r="E137" s="103"/>
      <c r="F137" s="103"/>
      <c r="G137" s="100"/>
      <c r="H137" s="104"/>
      <c r="I137" s="99"/>
    </row>
    <row r="138" spans="1:9">
      <c r="A138" s="103"/>
      <c r="B138" s="103"/>
      <c r="C138" s="103"/>
      <c r="D138" s="103"/>
      <c r="E138" s="103"/>
      <c r="F138" s="103"/>
      <c r="G138" s="105"/>
      <c r="H138" s="100"/>
      <c r="I138" s="108"/>
    </row>
    <row r="139" spans="7:7">
      <c r="G139" s="104"/>
    </row>
    <row r="140" spans="7:7">
      <c r="G140" s="100"/>
    </row>
  </sheetData>
  <mergeCells count="6">
    <mergeCell ref="A1:I1"/>
    <mergeCell ref="A6:I6"/>
    <mergeCell ref="B7:F7"/>
    <mergeCell ref="H7:I7"/>
    <mergeCell ref="B32:F32"/>
    <mergeCell ref="H32:I32"/>
  </mergeCells>
  <printOptions horizontalCentered="1"/>
  <pageMargins left="0.7" right="0.7" top="0.53" bottom="0.62" header="0.16" footer="0.19"/>
  <pageSetup paperSize="9" scale="72" orientation="portrait" verticalDpi="300"/>
  <headerFooter>
    <oddFooter>&amp;RPage &amp;P of &amp;N</oddFooter>
  </headerFooter>
  <rowBreaks count="2" manualBreakCount="2">
    <brk id="57" max="8" man="1"/>
    <brk id="1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 Black Edition - tum0r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Rekap</vt:lpstr>
      <vt:lpstr>RAB</vt:lpstr>
      <vt:lpstr>Volume</vt:lpstr>
      <vt:lpstr>Analis</vt:lpstr>
      <vt:lpstr>DAFTAR HARGA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INDACOMPUTER</dc:creator>
  <cp:lastModifiedBy>Alwan Adhirajasa Yoga</cp:lastModifiedBy>
  <dcterms:created xsi:type="dcterms:W3CDTF">2016-09-19T03:34:00Z</dcterms:created>
  <cp:lastPrinted>2016-12-05T12:36:00Z</cp:lastPrinted>
  <dcterms:modified xsi:type="dcterms:W3CDTF">2023-01-11T12:02:09Z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0D275D3150724488BCEED20FD41BCD18</vt:lpwstr>
  </property>
  <property fmtid="{D5CDD505-2E9C-101B-9397-08002B2CF9AE}" pid="3" name="KSOProductBuildVer">
    <vt:lpwstr>1033-11.2.0.11440</vt:lpwstr>
  </property>
</Properties>
</file>