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drawings/drawing2.xml" ContentType="application/vnd.openxmlformats-officedocument.drawing+xml"/>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drawings/drawing3.xml" ContentType="application/vnd.openxmlformats-officedocument.drawing+xml"/>
  <Override PartName="/xl/drawings/drawing4.xml" ContentType="application/vnd.openxmlformats-officedocument.drawing+xml"/>
  <Override PartName="/xl/activeX/activeX20.xml" ContentType="application/vnd.ms-office.activeX+xml"/>
  <Override PartName="/xl/activeX/activeX20.bin" ContentType="application/vnd.ms-office.activeX"/>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workbookProtection workbookPassword="A4D6" lockStructure="1"/>
  <bookViews>
    <workbookView xWindow="60" yWindow="405" windowWidth="12120" windowHeight="8025" tabRatio="742" activeTab="5"/>
  </bookViews>
  <sheets>
    <sheet name="INTRO" sheetId="1" r:id="rId1"/>
    <sheet name="USER INPUTS" sheetId="2" r:id="rId2"/>
    <sheet name="POLLUTANTS" sheetId="10" r:id="rId3"/>
    <sheet name="INPUT REVIEW" sheetId="7" r:id="rId4"/>
    <sheet name="METHANE" sheetId="4" r:id="rId5"/>
    <sheet name="RESULTS" sheetId="5" r:id="rId6"/>
    <sheet name="GRAPHS" sheetId="6" r:id="rId7"/>
    <sheet name="INVENTORY" sheetId="8" r:id="rId8"/>
    <sheet name="REPORT" sheetId="9" r:id="rId9"/>
    <sheet name="DEFAULTS" sheetId="3" state="hidden" r:id="rId10"/>
  </sheets>
  <definedNames>
    <definedName name="AcceptanceRates">'USER INPUTS'!$K$8:$K$87</definedName>
    <definedName name="ClosureCalcNo">'USER INPUTS'!$F$3</definedName>
    <definedName name="ClosureCalcYes">'USER INPUTS'!$D$7</definedName>
    <definedName name="ClosureYear">'USER INPUTS'!$D$6</definedName>
    <definedName name="NewPollutants">POLLUTANTS!$B$64:$D$73</definedName>
    <definedName name="OpenYear">'USER INPUTS'!$D$5</definedName>
    <definedName name="_xlnm.Print_Area" localSheetId="9">DEFAULTS!$A$1:$H$85</definedName>
    <definedName name="_xlnm.Print_Area" localSheetId="6">GRAPHS!$A$1:$H$59</definedName>
    <definedName name="_xlnm.Print_Area" localSheetId="3">'INPUT REVIEW'!$A$1:$J$27,'INPUT REVIEW'!$K$3:$M$84</definedName>
    <definedName name="_xlnm.Print_Area" localSheetId="0">INTRO!$A$1:$J$44</definedName>
    <definedName name="_xlnm.Print_Area" localSheetId="7">INVENTORY!$A$1:$K$68</definedName>
    <definedName name="_xlnm.Print_Area" localSheetId="4">METHANE!$A$1:$J$19,METHANE!$B$21:$F$102</definedName>
    <definedName name="_xlnm.Print_Area" localSheetId="2">POLLUTANTS!$A$1:$G$80</definedName>
    <definedName name="_xlnm.Print_Area" localSheetId="8">REPORT!$A$1:$G$631</definedName>
    <definedName name="_xlnm.Print_Area" localSheetId="5">RESULTS!$A$1:$Q$149</definedName>
    <definedName name="_xlnm.Print_Area" localSheetId="1">'USER INPUTS'!$A$1:$H$37,'USER INPUTS'!$J$3:$M$87</definedName>
    <definedName name="_xlnm.Print_Titles" localSheetId="3">'INPUT REVIEW'!$3:$4</definedName>
    <definedName name="_xlnm.Print_Titles" localSheetId="4">METHANE!$21:$22</definedName>
    <definedName name="_xlnm.Print_Titles" localSheetId="5">RESULTS!$1:$8</definedName>
    <definedName name="_xlnm.Print_Titles" localSheetId="1">'USER INPUTS'!$3:$7</definedName>
    <definedName name="UserPollutantParameters">POLLUTANTS!$F$14:$G$61</definedName>
    <definedName name="WasteCapacity">'USER INPUTS'!$D$8</definedName>
  </definedNames>
  <calcPr calcId="144525"/>
</workbook>
</file>

<file path=xl/calcChain.xml><?xml version="1.0" encoding="utf-8"?>
<calcChain xmlns="http://schemas.openxmlformats.org/spreadsheetml/2006/main">
  <c r="J8" i="2" l="1"/>
  <c r="B23" i="4" s="1"/>
  <c r="C23" i="4"/>
  <c r="C24" i="4"/>
  <c r="C25" i="4"/>
  <c r="C26" i="4"/>
  <c r="C27" i="4"/>
  <c r="L13" i="2"/>
  <c r="C28" i="4"/>
  <c r="L14" i="2"/>
  <c r="C29" i="4"/>
  <c r="L15" i="2"/>
  <c r="C30" i="4"/>
  <c r="L16" i="2"/>
  <c r="C31" i="4"/>
  <c r="L17" i="2"/>
  <c r="C32" i="4"/>
  <c r="L18" i="2"/>
  <c r="C33" i="4"/>
  <c r="L19" i="2"/>
  <c r="C34" i="4"/>
  <c r="L20" i="2"/>
  <c r="C35" i="4"/>
  <c r="L21" i="2"/>
  <c r="C36" i="4"/>
  <c r="L22" i="2"/>
  <c r="C37" i="4"/>
  <c r="L23" i="2"/>
  <c r="C38" i="4"/>
  <c r="L24" i="2"/>
  <c r="C39" i="4"/>
  <c r="L25" i="2"/>
  <c r="C40" i="4"/>
  <c r="L26" i="2"/>
  <c r="C41" i="4"/>
  <c r="L27" i="2"/>
  <c r="C42" i="4"/>
  <c r="L28" i="2"/>
  <c r="C43" i="4"/>
  <c r="L29" i="2"/>
  <c r="C44" i="4"/>
  <c r="L30" i="2"/>
  <c r="C45" i="4"/>
  <c r="L31" i="2"/>
  <c r="C46" i="4"/>
  <c r="L32" i="2"/>
  <c r="C47" i="4"/>
  <c r="L33" i="2"/>
  <c r="C48" i="4"/>
  <c r="C49" i="4"/>
  <c r="C50" i="4"/>
  <c r="C51" i="4"/>
  <c r="C52" i="4"/>
  <c r="C53" i="4"/>
  <c r="C54" i="4"/>
  <c r="G52" i="4" s="1"/>
  <c r="H52" i="4" s="1"/>
  <c r="C55" i="4"/>
  <c r="C56" i="4"/>
  <c r="C57" i="4"/>
  <c r="C58" i="4"/>
  <c r="C59" i="4"/>
  <c r="C60" i="4"/>
  <c r="C61" i="4"/>
  <c r="C62" i="4"/>
  <c r="C63" i="4"/>
  <c r="C64" i="4"/>
  <c r="C65" i="4"/>
  <c r="C66" i="4"/>
  <c r="C67" i="4"/>
  <c r="C68" i="4"/>
  <c r="C69" i="4"/>
  <c r="C70" i="4"/>
  <c r="C71" i="4"/>
  <c r="C72" i="4"/>
  <c r="C73" i="4"/>
  <c r="C74" i="4"/>
  <c r="C75" i="4"/>
  <c r="C76" i="4"/>
  <c r="G43" i="4" s="1"/>
  <c r="H43" i="4" s="1"/>
  <c r="C77" i="4"/>
  <c r="C78" i="4"/>
  <c r="G60" i="4" s="1"/>
  <c r="H60" i="4" s="1"/>
  <c r="C79" i="4"/>
  <c r="C80" i="4"/>
  <c r="C81" i="4"/>
  <c r="C82" i="4"/>
  <c r="C83" i="4"/>
  <c r="C84" i="4"/>
  <c r="C85" i="4"/>
  <c r="C86" i="4"/>
  <c r="C87" i="4"/>
  <c r="C88" i="4"/>
  <c r="C89" i="4"/>
  <c r="C90" i="4"/>
  <c r="C91" i="4"/>
  <c r="C92" i="4"/>
  <c r="C93" i="4"/>
  <c r="C94" i="4"/>
  <c r="G92" i="4" s="1"/>
  <c r="H92" i="4" s="1"/>
  <c r="C95" i="4"/>
  <c r="C96" i="4"/>
  <c r="C97" i="4"/>
  <c r="C98" i="4"/>
  <c r="C99" i="4"/>
  <c r="C100" i="4"/>
  <c r="G44" i="4" s="1"/>
  <c r="H44" i="4" s="1"/>
  <c r="C101" i="4"/>
  <c r="C102" i="4"/>
  <c r="G101" i="4" s="1"/>
  <c r="H101" i="4" s="1"/>
  <c r="D24" i="4"/>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G23" i="4"/>
  <c r="H23" i="4" s="1"/>
  <c r="G68" i="4"/>
  <c r="H68" i="4" s="1"/>
  <c r="G84" i="4"/>
  <c r="H84" i="4" s="1"/>
  <c r="G100" i="4"/>
  <c r="H100" i="4" s="1"/>
  <c r="J9" i="2"/>
  <c r="J10" i="2"/>
  <c r="J11" i="2" s="1"/>
  <c r="D14" i="4"/>
  <c r="G10" i="4"/>
  <c r="G11" i="4"/>
  <c r="B24" i="4"/>
  <c r="D5" i="5"/>
  <c r="F11" i="3"/>
  <c r="Q8" i="5"/>
  <c r="B25" i="4"/>
  <c r="N8" i="5"/>
  <c r="B78" i="3"/>
  <c r="K8" i="5"/>
  <c r="H8" i="5"/>
  <c r="G8" i="3"/>
  <c r="F12" i="3"/>
  <c r="G12" i="3"/>
  <c r="F13" i="3"/>
  <c r="G13" i="3"/>
  <c r="F14" i="3"/>
  <c r="G14" i="3"/>
  <c r="F15" i="3"/>
  <c r="G15" i="3"/>
  <c r="F16" i="3"/>
  <c r="G16" i="3"/>
  <c r="F17" i="3"/>
  <c r="G17" i="3"/>
  <c r="F18" i="3"/>
  <c r="G18" i="3"/>
  <c r="F19" i="3"/>
  <c r="G19" i="3"/>
  <c r="F20" i="3"/>
  <c r="G20" i="3"/>
  <c r="F21" i="3"/>
  <c r="G21" i="3"/>
  <c r="F22" i="3"/>
  <c r="G22" i="3"/>
  <c r="F23" i="3"/>
  <c r="G23" i="3"/>
  <c r="F24" i="3"/>
  <c r="G24" i="3"/>
  <c r="F25" i="3"/>
  <c r="G25" i="3"/>
  <c r="F26" i="3"/>
  <c r="G26" i="3"/>
  <c r="F27" i="3"/>
  <c r="G27" i="3"/>
  <c r="F28" i="3"/>
  <c r="G28" i="3"/>
  <c r="F29" i="3"/>
  <c r="G29" i="3"/>
  <c r="F30" i="3"/>
  <c r="G30" i="3"/>
  <c r="F31" i="3"/>
  <c r="G31" i="3"/>
  <c r="F32" i="3"/>
  <c r="G32" i="3"/>
  <c r="F33" i="3"/>
  <c r="G33" i="3"/>
  <c r="F34" i="3"/>
  <c r="G34" i="3"/>
  <c r="F35" i="3"/>
  <c r="G35" i="3"/>
  <c r="F36" i="3"/>
  <c r="G36" i="3"/>
  <c r="F37" i="3"/>
  <c r="G37" i="3"/>
  <c r="F38" i="3"/>
  <c r="G38" i="3"/>
  <c r="F39" i="3"/>
  <c r="G39" i="3"/>
  <c r="F40" i="3"/>
  <c r="G40" i="3"/>
  <c r="F41" i="3"/>
  <c r="G41" i="3"/>
  <c r="F42" i="3"/>
  <c r="G42" i="3"/>
  <c r="F43" i="3"/>
  <c r="G43" i="3"/>
  <c r="F44" i="3"/>
  <c r="G44" i="3"/>
  <c r="F45" i="3"/>
  <c r="G45" i="3"/>
  <c r="F46" i="3"/>
  <c r="G46" i="3"/>
  <c r="F47" i="3"/>
  <c r="G47" i="3"/>
  <c r="F48" i="3"/>
  <c r="G48" i="3"/>
  <c r="F49" i="3"/>
  <c r="G49" i="3"/>
  <c r="F50" i="3"/>
  <c r="G50" i="3"/>
  <c r="F51" i="3"/>
  <c r="G51" i="3"/>
  <c r="F52" i="3"/>
  <c r="G52" i="3"/>
  <c r="F53" i="3"/>
  <c r="G53" i="3"/>
  <c r="F54" i="3"/>
  <c r="G54" i="3"/>
  <c r="F55" i="3"/>
  <c r="G55" i="3"/>
  <c r="F56" i="3"/>
  <c r="G56" i="3"/>
  <c r="F57" i="3"/>
  <c r="G57" i="3"/>
  <c r="B58" i="3"/>
  <c r="F58" i="3"/>
  <c r="G58" i="3"/>
  <c r="F59" i="3"/>
  <c r="G59" i="3"/>
  <c r="E60" i="3"/>
  <c r="B79" i="3" s="1"/>
  <c r="F60" i="3"/>
  <c r="G60" i="3"/>
  <c r="E61" i="3"/>
  <c r="F61" i="3"/>
  <c r="G61" i="3"/>
  <c r="E62" i="3"/>
  <c r="B61" i="8" s="1"/>
  <c r="F62" i="3"/>
  <c r="G62" i="3"/>
  <c r="E63" i="3"/>
  <c r="F63" i="3"/>
  <c r="G63" i="3"/>
  <c r="E64" i="3"/>
  <c r="B63" i="8" s="1"/>
  <c r="F64" i="3"/>
  <c r="G64" i="3"/>
  <c r="E65" i="3"/>
  <c r="F65" i="3"/>
  <c r="G65" i="3"/>
  <c r="E66" i="3"/>
  <c r="F66" i="3"/>
  <c r="G66" i="3"/>
  <c r="E67" i="3"/>
  <c r="F67" i="3"/>
  <c r="G67" i="3"/>
  <c r="E68" i="3"/>
  <c r="F68" i="3"/>
  <c r="G68" i="3"/>
  <c r="E69" i="3"/>
  <c r="F69" i="3"/>
  <c r="G69" i="3"/>
  <c r="B72" i="3"/>
  <c r="E1" i="6"/>
  <c r="B23" i="7"/>
  <c r="F4" i="7"/>
  <c r="D69" i="9" s="1"/>
  <c r="F7" i="7"/>
  <c r="F8" i="7"/>
  <c r="F11" i="7"/>
  <c r="F12" i="7"/>
  <c r="F13" i="7"/>
  <c r="F14" i="7"/>
  <c r="D17" i="7"/>
  <c r="C82" i="9" s="1"/>
  <c r="D18" i="7"/>
  <c r="D19" i="7"/>
  <c r="D20" i="7"/>
  <c r="G1" i="7"/>
  <c r="G8" i="7"/>
  <c r="K5" i="7"/>
  <c r="K6" i="7"/>
  <c r="K7" i="7"/>
  <c r="G1" i="8"/>
  <c r="F3" i="8"/>
  <c r="I24" i="4"/>
  <c r="I25" i="4" s="1"/>
  <c r="I26" i="4" s="1"/>
  <c r="I27" i="4" s="1"/>
  <c r="I28" i="4" s="1"/>
  <c r="I29" i="4" s="1"/>
  <c r="I30" i="4" s="1"/>
  <c r="I31" i="4" s="1"/>
  <c r="I32" i="4" s="1"/>
  <c r="I33" i="4" s="1"/>
  <c r="I34" i="4" s="1"/>
  <c r="I35" i="4" s="1"/>
  <c r="I36" i="4" s="1"/>
  <c r="I37" i="4" s="1"/>
  <c r="I38" i="4" s="1"/>
  <c r="I39" i="4" s="1"/>
  <c r="I40" i="4" s="1"/>
  <c r="I41" i="4" s="1"/>
  <c r="I42" i="4" s="1"/>
  <c r="I43" i="4" s="1"/>
  <c r="I44" i="4" s="1"/>
  <c r="I45" i="4" s="1"/>
  <c r="I46" i="4" s="1"/>
  <c r="I47" i="4" s="1"/>
  <c r="I48" i="4" s="1"/>
  <c r="I49" i="4" s="1"/>
  <c r="I50" i="4" s="1"/>
  <c r="I51" i="4" s="1"/>
  <c r="I52" i="4" s="1"/>
  <c r="I53" i="4" s="1"/>
  <c r="I54" i="4" s="1"/>
  <c r="I55" i="4" s="1"/>
  <c r="I56" i="4" s="1"/>
  <c r="I57" i="4" s="1"/>
  <c r="I58" i="4" s="1"/>
  <c r="I59" i="4" s="1"/>
  <c r="I60" i="4" s="1"/>
  <c r="I61" i="4" s="1"/>
  <c r="I62" i="4" s="1"/>
  <c r="I63" i="4" s="1"/>
  <c r="I64" i="4" s="1"/>
  <c r="I65" i="4" s="1"/>
  <c r="I66" i="4" s="1"/>
  <c r="I67" i="4" s="1"/>
  <c r="I68" i="4" s="1"/>
  <c r="I69" i="4" s="1"/>
  <c r="I70" i="4" s="1"/>
  <c r="I71" i="4" s="1"/>
  <c r="I72" i="4" s="1"/>
  <c r="I73" i="4" s="1"/>
  <c r="I74" i="4" s="1"/>
  <c r="I75" i="4" s="1"/>
  <c r="I76" i="4" s="1"/>
  <c r="I77" i="4" s="1"/>
  <c r="I78" i="4" s="1"/>
  <c r="I79" i="4" s="1"/>
  <c r="I80" i="4" s="1"/>
  <c r="I81" i="4" s="1"/>
  <c r="I82" i="4" s="1"/>
  <c r="I83" i="4" s="1"/>
  <c r="I84" i="4" s="1"/>
  <c r="I85" i="4" s="1"/>
  <c r="I86" i="4" s="1"/>
  <c r="I87" i="4" s="1"/>
  <c r="I88" i="4" s="1"/>
  <c r="I89" i="4" s="1"/>
  <c r="I90" i="4" s="1"/>
  <c r="I91" i="4" s="1"/>
  <c r="I92" i="4" s="1"/>
  <c r="I93" i="4" s="1"/>
  <c r="I94" i="4" s="1"/>
  <c r="I95" i="4" s="1"/>
  <c r="I96" i="4" s="1"/>
  <c r="I97" i="4" s="1"/>
  <c r="I98" i="4" s="1"/>
  <c r="I99" i="4" s="1"/>
  <c r="I100" i="4" s="1"/>
  <c r="I101" i="4" s="1"/>
  <c r="I102" i="4" s="1"/>
  <c r="I103" i="4" s="1"/>
  <c r="I104" i="4" s="1"/>
  <c r="I105" i="4" s="1"/>
  <c r="I106" i="4" s="1"/>
  <c r="I107" i="4" s="1"/>
  <c r="I108" i="4" s="1"/>
  <c r="I109" i="4" s="1"/>
  <c r="I110" i="4" s="1"/>
  <c r="I111" i="4" s="1"/>
  <c r="I112" i="4" s="1"/>
  <c r="I113" i="4" s="1"/>
  <c r="I114" i="4" s="1"/>
  <c r="I115" i="4" s="1"/>
  <c r="I116" i="4" s="1"/>
  <c r="I117" i="4" s="1"/>
  <c r="I118" i="4" s="1"/>
  <c r="I119" i="4" s="1"/>
  <c r="I120" i="4" s="1"/>
  <c r="I121" i="4" s="1"/>
  <c r="I122" i="4" s="1"/>
  <c r="I123" i="4" s="1"/>
  <c r="I124" i="4" s="1"/>
  <c r="I125" i="4" s="1"/>
  <c r="I126" i="4" s="1"/>
  <c r="I127" i="4" s="1"/>
  <c r="I128" i="4" s="1"/>
  <c r="I129" i="4" s="1"/>
  <c r="I130" i="4" s="1"/>
  <c r="I131" i="4" s="1"/>
  <c r="I132" i="4" s="1"/>
  <c r="I133" i="4" s="1"/>
  <c r="I134" i="4" s="1"/>
  <c r="I135" i="4" s="1"/>
  <c r="I136" i="4" s="1"/>
  <c r="I137" i="4" s="1"/>
  <c r="G7" i="8"/>
  <c r="K7" i="8" s="1"/>
  <c r="H7" i="8"/>
  <c r="I7" i="8" s="1"/>
  <c r="G8" i="8"/>
  <c r="H8" i="8"/>
  <c r="I8" i="8" s="1"/>
  <c r="K8" i="8"/>
  <c r="G9" i="8"/>
  <c r="H9" i="8"/>
  <c r="K9" i="8"/>
  <c r="G10" i="8"/>
  <c r="H10" i="8"/>
  <c r="I10" i="8" s="1"/>
  <c r="K10" i="8"/>
  <c r="G11" i="8"/>
  <c r="K11" i="8" s="1"/>
  <c r="H11" i="8"/>
  <c r="I11" i="8" s="1"/>
  <c r="G12" i="8"/>
  <c r="K12" i="8" s="1"/>
  <c r="H12" i="8"/>
  <c r="I12" i="8" s="1"/>
  <c r="G13" i="8"/>
  <c r="H13" i="8"/>
  <c r="K13" i="8"/>
  <c r="G14" i="8"/>
  <c r="K14" i="8" s="1"/>
  <c r="H14" i="8"/>
  <c r="I14" i="8" s="1"/>
  <c r="G15" i="8"/>
  <c r="K15" i="8" s="1"/>
  <c r="H15" i="8"/>
  <c r="I15" i="8" s="1"/>
  <c r="G16" i="8"/>
  <c r="K16" i="8" s="1"/>
  <c r="H16" i="8"/>
  <c r="I16" i="8" s="1"/>
  <c r="G17" i="8"/>
  <c r="H17" i="8"/>
  <c r="K17" i="8"/>
  <c r="G18" i="8"/>
  <c r="H18" i="8"/>
  <c r="I18" i="8" s="1"/>
  <c r="K18" i="8"/>
  <c r="G19" i="8"/>
  <c r="K19" i="8" s="1"/>
  <c r="H19" i="8"/>
  <c r="I19" i="8" s="1"/>
  <c r="G20" i="8"/>
  <c r="H20" i="8"/>
  <c r="I20" i="8" s="1"/>
  <c r="K20" i="8"/>
  <c r="G21" i="8"/>
  <c r="H21" i="8"/>
  <c r="K21" i="8"/>
  <c r="G22" i="8"/>
  <c r="H22" i="8"/>
  <c r="I22" i="8" s="1"/>
  <c r="K22" i="8"/>
  <c r="G23" i="8"/>
  <c r="K23" i="8" s="1"/>
  <c r="H23" i="8"/>
  <c r="I23" i="8" s="1"/>
  <c r="G24" i="8"/>
  <c r="H24" i="8"/>
  <c r="I24" i="8" s="1"/>
  <c r="K24" i="8"/>
  <c r="G25" i="8"/>
  <c r="H25" i="8"/>
  <c r="K25" i="8"/>
  <c r="G26" i="8"/>
  <c r="H26" i="8"/>
  <c r="I26" i="8" s="1"/>
  <c r="K26" i="8"/>
  <c r="G27" i="8"/>
  <c r="K27" i="8" s="1"/>
  <c r="H27" i="8"/>
  <c r="I27" i="8" s="1"/>
  <c r="G28" i="8"/>
  <c r="K28" i="8" s="1"/>
  <c r="H28" i="8"/>
  <c r="I28" i="8" s="1"/>
  <c r="G29" i="8"/>
  <c r="H29" i="8"/>
  <c r="K29" i="8"/>
  <c r="G30" i="8"/>
  <c r="K30" i="8" s="1"/>
  <c r="H30" i="8"/>
  <c r="I30" i="8" s="1"/>
  <c r="G31" i="8"/>
  <c r="K31" i="8" s="1"/>
  <c r="H31" i="8"/>
  <c r="I31" i="8" s="1"/>
  <c r="G32" i="8"/>
  <c r="K32" i="8" s="1"/>
  <c r="H32" i="8"/>
  <c r="I32" i="8" s="1"/>
  <c r="G33" i="8"/>
  <c r="H33" i="8"/>
  <c r="K33" i="8"/>
  <c r="G34" i="8"/>
  <c r="H34" i="8"/>
  <c r="I34" i="8" s="1"/>
  <c r="K34" i="8"/>
  <c r="G35" i="8"/>
  <c r="K35" i="8" s="1"/>
  <c r="H35" i="8"/>
  <c r="I35" i="8" s="1"/>
  <c r="G36" i="8"/>
  <c r="H36" i="8"/>
  <c r="I36" i="8" s="1"/>
  <c r="K36" i="8"/>
  <c r="G37" i="8"/>
  <c r="H37" i="8"/>
  <c r="K37" i="8"/>
  <c r="G38" i="8"/>
  <c r="H38" i="8"/>
  <c r="I38" i="8" s="1"/>
  <c r="K38" i="8"/>
  <c r="G39" i="8"/>
  <c r="K39" i="8" s="1"/>
  <c r="H39" i="8"/>
  <c r="I39" i="8" s="1"/>
  <c r="G40" i="8"/>
  <c r="H40" i="8"/>
  <c r="I40" i="8" s="1"/>
  <c r="K40" i="8"/>
  <c r="G41" i="8"/>
  <c r="H41" i="8"/>
  <c r="K41" i="8"/>
  <c r="G42" i="8"/>
  <c r="H42" i="8"/>
  <c r="I42" i="8" s="1"/>
  <c r="K42" i="8"/>
  <c r="G43" i="8"/>
  <c r="K43" i="8" s="1"/>
  <c r="H43" i="8"/>
  <c r="I43" i="8" s="1"/>
  <c r="G44" i="8"/>
  <c r="K44" i="8" s="1"/>
  <c r="H44" i="8"/>
  <c r="I44" i="8" s="1"/>
  <c r="G45" i="8"/>
  <c r="H45" i="8"/>
  <c r="K45" i="8"/>
  <c r="G46" i="8"/>
  <c r="K46" i="8" s="1"/>
  <c r="H46" i="8"/>
  <c r="I46" i="8" s="1"/>
  <c r="G47" i="8"/>
  <c r="K47" i="8" s="1"/>
  <c r="H47" i="8"/>
  <c r="I47" i="8" s="1"/>
  <c r="G48" i="8"/>
  <c r="K48" i="8" s="1"/>
  <c r="H48" i="8"/>
  <c r="I48" i="8" s="1"/>
  <c r="G49" i="8"/>
  <c r="H49" i="8"/>
  <c r="K49" i="8"/>
  <c r="G50" i="8"/>
  <c r="H50" i="8"/>
  <c r="I50" i="8" s="1"/>
  <c r="K50" i="8"/>
  <c r="G51" i="8"/>
  <c r="K51" i="8" s="1"/>
  <c r="H51" i="8"/>
  <c r="I51" i="8" s="1"/>
  <c r="G52" i="8"/>
  <c r="H52" i="8"/>
  <c r="I52" i="8" s="1"/>
  <c r="K52" i="8"/>
  <c r="G53" i="8"/>
  <c r="H53" i="8"/>
  <c r="K53" i="8"/>
  <c r="G54" i="8"/>
  <c r="H54" i="8"/>
  <c r="I54" i="8" s="1"/>
  <c r="K54" i="8"/>
  <c r="G55" i="8"/>
  <c r="K55" i="8" s="1"/>
  <c r="H55" i="8"/>
  <c r="I55" i="8" s="1"/>
  <c r="G56" i="8"/>
  <c r="H56" i="8"/>
  <c r="I56" i="8" s="1"/>
  <c r="K56" i="8"/>
  <c r="G57" i="8"/>
  <c r="H57" i="8"/>
  <c r="K57" i="8"/>
  <c r="G58" i="8"/>
  <c r="H58" i="8"/>
  <c r="I58" i="8" s="1"/>
  <c r="K58" i="8"/>
  <c r="B59" i="8"/>
  <c r="G59" i="8"/>
  <c r="K59" i="8" s="1"/>
  <c r="H59" i="8"/>
  <c r="I59" i="8" s="1"/>
  <c r="B60" i="8"/>
  <c r="G60" i="8"/>
  <c r="H60" i="8"/>
  <c r="I60" i="8" s="1"/>
  <c r="K60" i="8"/>
  <c r="G61" i="8"/>
  <c r="H61" i="8"/>
  <c r="I61" i="8" s="1"/>
  <c r="K61" i="8"/>
  <c r="B62" i="8"/>
  <c r="G62" i="8"/>
  <c r="H62" i="8"/>
  <c r="I62" i="8" s="1"/>
  <c r="K62" i="8"/>
  <c r="G63" i="8"/>
  <c r="K63" i="8" s="1"/>
  <c r="H63" i="8"/>
  <c r="I63" i="8" s="1"/>
  <c r="B64" i="8"/>
  <c r="G64" i="8"/>
  <c r="H64" i="8"/>
  <c r="I64" i="8" s="1"/>
  <c r="K64" i="8"/>
  <c r="B65" i="8"/>
  <c r="G65" i="8"/>
  <c r="H65" i="8"/>
  <c r="I65" i="8" s="1"/>
  <c r="K65" i="8"/>
  <c r="B66" i="8"/>
  <c r="G66" i="8"/>
  <c r="H66" i="8"/>
  <c r="I66" i="8" s="1"/>
  <c r="K66" i="8"/>
  <c r="B67" i="8"/>
  <c r="G67" i="8"/>
  <c r="K67" i="8" s="1"/>
  <c r="H67" i="8"/>
  <c r="I67" i="8" s="1"/>
  <c r="B68" i="8"/>
  <c r="G68" i="8"/>
  <c r="H68" i="8"/>
  <c r="I68" i="8" s="1"/>
  <c r="K68" i="8"/>
  <c r="F1" i="4"/>
  <c r="K99" i="4"/>
  <c r="N100" i="4"/>
  <c r="N101" i="4" s="1"/>
  <c r="Q101" i="4"/>
  <c r="Q102" i="4" s="1"/>
  <c r="Q103" i="4" s="1"/>
  <c r="T102" i="4"/>
  <c r="T103" i="4" s="1"/>
  <c r="T104" i="4" s="1"/>
  <c r="T105" i="4" s="1"/>
  <c r="T106" i="4" s="1"/>
  <c r="T107" i="4" s="1"/>
  <c r="T108" i="4" s="1"/>
  <c r="T109" i="4" s="1"/>
  <c r="T110" i="4" s="1"/>
  <c r="T111" i="4" s="1"/>
  <c r="T112" i="4" s="1"/>
  <c r="T113" i="4" s="1"/>
  <c r="T114" i="4" s="1"/>
  <c r="T115" i="4" s="1"/>
  <c r="T116" i="4" s="1"/>
  <c r="T117" i="4" s="1"/>
  <c r="T118" i="4" s="1"/>
  <c r="T119" i="4" s="1"/>
  <c r="T120" i="4" s="1"/>
  <c r="T121" i="4" s="1"/>
  <c r="T122" i="4" s="1"/>
  <c r="T123" i="4" s="1"/>
  <c r="T124" i="4" s="1"/>
  <c r="T125" i="4" s="1"/>
  <c r="T126" i="4" s="1"/>
  <c r="T127" i="4" s="1"/>
  <c r="T128" i="4" s="1"/>
  <c r="T129" i="4" s="1"/>
  <c r="T130" i="4" s="1"/>
  <c r="T131" i="4" s="1"/>
  <c r="T132" i="4" s="1"/>
  <c r="T133" i="4" s="1"/>
  <c r="T134" i="4" s="1"/>
  <c r="T135" i="4" s="1"/>
  <c r="T136" i="4" s="1"/>
  <c r="T137" i="4" s="1"/>
  <c r="T138" i="4" s="1"/>
  <c r="T139" i="4" s="1"/>
  <c r="T140" i="4" s="1"/>
  <c r="T141" i="4" s="1"/>
  <c r="T142" i="4" s="1"/>
  <c r="T143" i="4" s="1"/>
  <c r="T144" i="4" s="1"/>
  <c r="T145" i="4" s="1"/>
  <c r="T146" i="4" s="1"/>
  <c r="T147" i="4" s="1"/>
  <c r="T148" i="4" s="1"/>
  <c r="T149" i="4" s="1"/>
  <c r="T150" i="4" s="1"/>
  <c r="T151" i="4" s="1"/>
  <c r="T152" i="4" s="1"/>
  <c r="T153" i="4" s="1"/>
  <c r="T154" i="4" s="1"/>
  <c r="T155" i="4" s="1"/>
  <c r="T156" i="4" s="1"/>
  <c r="T157" i="4" s="1"/>
  <c r="T158" i="4" s="1"/>
  <c r="T159" i="4" s="1"/>
  <c r="T160" i="4" s="1"/>
  <c r="T161" i="4" s="1"/>
  <c r="T162" i="4" s="1"/>
  <c r="T163" i="4" s="1"/>
  <c r="W103" i="4"/>
  <c r="W104" i="4" s="1"/>
  <c r="W105" i="4" s="1"/>
  <c r="W106" i="4" s="1"/>
  <c r="W107" i="4" s="1"/>
  <c r="W108" i="4" s="1"/>
  <c r="W109" i="4" s="1"/>
  <c r="W110" i="4" s="1"/>
  <c r="W111" i="4" s="1"/>
  <c r="W112" i="4" s="1"/>
  <c r="W113" i="4" s="1"/>
  <c r="W114" i="4" s="1"/>
  <c r="W115" i="4" s="1"/>
  <c r="W116" i="4" s="1"/>
  <c r="W117" i="4" s="1"/>
  <c r="W118" i="4" s="1"/>
  <c r="W119" i="4" s="1"/>
  <c r="W120" i="4" s="1"/>
  <c r="W121" i="4" s="1"/>
  <c r="W122" i="4" s="1"/>
  <c r="W123" i="4" s="1"/>
  <c r="W124" i="4" s="1"/>
  <c r="W125" i="4" s="1"/>
  <c r="W126" i="4" s="1"/>
  <c r="W127" i="4" s="1"/>
  <c r="W128" i="4" s="1"/>
  <c r="W129" i="4" s="1"/>
  <c r="W130" i="4" s="1"/>
  <c r="W131" i="4" s="1"/>
  <c r="W132" i="4" s="1"/>
  <c r="W133" i="4" s="1"/>
  <c r="W134" i="4" s="1"/>
  <c r="W135" i="4" s="1"/>
  <c r="W136" i="4" s="1"/>
  <c r="W137" i="4" s="1"/>
  <c r="W138" i="4" s="1"/>
  <c r="W139" i="4" s="1"/>
  <c r="W140" i="4" s="1"/>
  <c r="W141" i="4" s="1"/>
  <c r="W142" i="4" s="1"/>
  <c r="W143" i="4" s="1"/>
  <c r="W144" i="4" s="1"/>
  <c r="W145" i="4" s="1"/>
  <c r="W146" i="4" s="1"/>
  <c r="W147" i="4" s="1"/>
  <c r="W148" i="4" s="1"/>
  <c r="W149" i="4" s="1"/>
  <c r="W150" i="4" s="1"/>
  <c r="W151" i="4" s="1"/>
  <c r="W152" i="4" s="1"/>
  <c r="W153" i="4" s="1"/>
  <c r="W154" i="4" s="1"/>
  <c r="W155" i="4" s="1"/>
  <c r="W156" i="4" s="1"/>
  <c r="W157" i="4" s="1"/>
  <c r="W158" i="4" s="1"/>
  <c r="W159" i="4" s="1"/>
  <c r="W160" i="4" s="1"/>
  <c r="W161" i="4" s="1"/>
  <c r="W162" i="4" s="1"/>
  <c r="W163" i="4" s="1"/>
  <c r="Z104" i="4"/>
  <c r="Z105" i="4" s="1"/>
  <c r="Z106" i="4" s="1"/>
  <c r="Z107" i="4" s="1"/>
  <c r="Z108" i="4" s="1"/>
  <c r="Z109" i="4" s="1"/>
  <c r="Z110" i="4" s="1"/>
  <c r="Z111" i="4" s="1"/>
  <c r="Z112" i="4" s="1"/>
  <c r="Z113" i="4" s="1"/>
  <c r="Z114" i="4" s="1"/>
  <c r="Z115" i="4" s="1"/>
  <c r="Z116" i="4" s="1"/>
  <c r="Z117" i="4" s="1"/>
  <c r="Z118" i="4" s="1"/>
  <c r="Z119" i="4" s="1"/>
  <c r="Z120" i="4" s="1"/>
  <c r="Z121" i="4" s="1"/>
  <c r="Z122" i="4" s="1"/>
  <c r="Z123" i="4" s="1"/>
  <c r="Z124" i="4" s="1"/>
  <c r="Z125" i="4" s="1"/>
  <c r="Z126" i="4" s="1"/>
  <c r="Z127" i="4" s="1"/>
  <c r="Z128" i="4" s="1"/>
  <c r="Z129" i="4" s="1"/>
  <c r="Z130" i="4" s="1"/>
  <c r="Z131" i="4" s="1"/>
  <c r="Z132" i="4" s="1"/>
  <c r="Z133" i="4" s="1"/>
  <c r="Z134" i="4" s="1"/>
  <c r="Z135" i="4" s="1"/>
  <c r="Z136" i="4" s="1"/>
  <c r="Z137" i="4" s="1"/>
  <c r="Z138" i="4" s="1"/>
  <c r="Z139" i="4" s="1"/>
  <c r="Z140" i="4" s="1"/>
  <c r="Z141" i="4" s="1"/>
  <c r="Z142" i="4" s="1"/>
  <c r="Z143" i="4" s="1"/>
  <c r="Z144" i="4" s="1"/>
  <c r="Z145" i="4" s="1"/>
  <c r="Z146" i="4" s="1"/>
  <c r="Z147" i="4" s="1"/>
  <c r="Z148" i="4" s="1"/>
  <c r="Z149" i="4" s="1"/>
  <c r="Z150" i="4" s="1"/>
  <c r="Z151" i="4" s="1"/>
  <c r="Z152" i="4" s="1"/>
  <c r="Z153" i="4" s="1"/>
  <c r="Z154" i="4" s="1"/>
  <c r="Z155" i="4" s="1"/>
  <c r="Z156" i="4" s="1"/>
  <c r="Z157" i="4" s="1"/>
  <c r="Z158" i="4" s="1"/>
  <c r="Z159" i="4" s="1"/>
  <c r="Z160" i="4" s="1"/>
  <c r="Z161" i="4" s="1"/>
  <c r="Z162" i="4" s="1"/>
  <c r="Z163" i="4" s="1"/>
  <c r="AC105" i="4"/>
  <c r="AC106" i="4"/>
  <c r="AC107" i="4" s="1"/>
  <c r="AC108" i="4" s="1"/>
  <c r="AC109" i="4" s="1"/>
  <c r="AC110" i="4" s="1"/>
  <c r="AC111" i="4" s="1"/>
  <c r="AC112" i="4" s="1"/>
  <c r="AC113" i="4" s="1"/>
  <c r="AC114" i="4" s="1"/>
  <c r="AC115" i="4" s="1"/>
  <c r="AC116" i="4" s="1"/>
  <c r="AC117" i="4" s="1"/>
  <c r="AC118" i="4" s="1"/>
  <c r="AC119" i="4" s="1"/>
  <c r="AC120" i="4" s="1"/>
  <c r="AC121" i="4" s="1"/>
  <c r="AC122" i="4" s="1"/>
  <c r="AC123" i="4" s="1"/>
  <c r="AC124" i="4" s="1"/>
  <c r="AC125" i="4" s="1"/>
  <c r="AC126" i="4" s="1"/>
  <c r="AC127" i="4" s="1"/>
  <c r="AC128" i="4" s="1"/>
  <c r="AC129" i="4" s="1"/>
  <c r="AC130" i="4" s="1"/>
  <c r="AC131" i="4" s="1"/>
  <c r="AC132" i="4" s="1"/>
  <c r="AC133" i="4" s="1"/>
  <c r="AC134" i="4" s="1"/>
  <c r="AC135" i="4" s="1"/>
  <c r="AC136" i="4" s="1"/>
  <c r="AC137" i="4" s="1"/>
  <c r="AC138" i="4" s="1"/>
  <c r="AC139" i="4" s="1"/>
  <c r="AC140" i="4" s="1"/>
  <c r="AC141" i="4" s="1"/>
  <c r="AC142" i="4" s="1"/>
  <c r="AC143" i="4" s="1"/>
  <c r="AC144" i="4" s="1"/>
  <c r="AC145" i="4" s="1"/>
  <c r="AC146" i="4" s="1"/>
  <c r="AC147" i="4" s="1"/>
  <c r="AC148" i="4" s="1"/>
  <c r="AC149" i="4" s="1"/>
  <c r="AC150" i="4" s="1"/>
  <c r="AC151" i="4" s="1"/>
  <c r="AC152" i="4" s="1"/>
  <c r="AC153" i="4" s="1"/>
  <c r="AC154" i="4" s="1"/>
  <c r="AC155" i="4" s="1"/>
  <c r="AC156" i="4" s="1"/>
  <c r="AC157" i="4" s="1"/>
  <c r="AC158" i="4" s="1"/>
  <c r="AC159" i="4" s="1"/>
  <c r="AC160" i="4" s="1"/>
  <c r="AC161" i="4" s="1"/>
  <c r="AC162" i="4" s="1"/>
  <c r="AC163" i="4" s="1"/>
  <c r="AF106" i="4"/>
  <c r="AF107" i="4"/>
  <c r="AI107" i="4"/>
  <c r="AI108" i="4" s="1"/>
  <c r="AI109" i="4" s="1"/>
  <c r="AI110" i="4" s="1"/>
  <c r="AI111" i="4" s="1"/>
  <c r="AI112" i="4" s="1"/>
  <c r="AI113" i="4" s="1"/>
  <c r="AI114" i="4" s="1"/>
  <c r="AI115" i="4" s="1"/>
  <c r="AI116" i="4" s="1"/>
  <c r="AI117" i="4" s="1"/>
  <c r="AI118" i="4" s="1"/>
  <c r="AI119" i="4" s="1"/>
  <c r="AI120" i="4" s="1"/>
  <c r="AI121" i="4" s="1"/>
  <c r="AI122" i="4" s="1"/>
  <c r="AI123" i="4" s="1"/>
  <c r="AI124" i="4" s="1"/>
  <c r="AI125" i="4" s="1"/>
  <c r="AI126" i="4" s="1"/>
  <c r="AI127" i="4" s="1"/>
  <c r="AI128" i="4" s="1"/>
  <c r="AI129" i="4" s="1"/>
  <c r="AI130" i="4" s="1"/>
  <c r="AI131" i="4" s="1"/>
  <c r="AI132" i="4" s="1"/>
  <c r="AI133" i="4" s="1"/>
  <c r="AI134" i="4" s="1"/>
  <c r="AI135" i="4" s="1"/>
  <c r="AI136" i="4" s="1"/>
  <c r="AI137" i="4" s="1"/>
  <c r="AI138" i="4" s="1"/>
  <c r="AI139" i="4" s="1"/>
  <c r="AI140" i="4" s="1"/>
  <c r="AI141" i="4" s="1"/>
  <c r="AI142" i="4" s="1"/>
  <c r="AI143" i="4" s="1"/>
  <c r="AI144" i="4" s="1"/>
  <c r="AI145" i="4" s="1"/>
  <c r="AI146" i="4" s="1"/>
  <c r="AI147" i="4" s="1"/>
  <c r="AI148" i="4" s="1"/>
  <c r="AI149" i="4" s="1"/>
  <c r="AI150" i="4" s="1"/>
  <c r="AI151" i="4" s="1"/>
  <c r="AI152" i="4" s="1"/>
  <c r="AI153" i="4" s="1"/>
  <c r="AI154" i="4" s="1"/>
  <c r="AI155" i="4" s="1"/>
  <c r="AI156" i="4" s="1"/>
  <c r="AI157" i="4" s="1"/>
  <c r="AI158" i="4" s="1"/>
  <c r="AI159" i="4" s="1"/>
  <c r="AI160" i="4" s="1"/>
  <c r="AI161" i="4" s="1"/>
  <c r="AI162" i="4" s="1"/>
  <c r="AI163" i="4" s="1"/>
  <c r="AF108" i="4"/>
  <c r="AL108" i="4"/>
  <c r="AL109" i="4" s="1"/>
  <c r="AL110" i="4" s="1"/>
  <c r="AL111" i="4" s="1"/>
  <c r="AL112" i="4" s="1"/>
  <c r="AL113" i="4" s="1"/>
  <c r="AL114" i="4" s="1"/>
  <c r="AL115" i="4" s="1"/>
  <c r="AL116" i="4" s="1"/>
  <c r="AL117" i="4" s="1"/>
  <c r="AL118" i="4" s="1"/>
  <c r="AL119" i="4" s="1"/>
  <c r="AL120" i="4" s="1"/>
  <c r="AL121" i="4" s="1"/>
  <c r="AL122" i="4" s="1"/>
  <c r="AL123" i="4" s="1"/>
  <c r="AL124" i="4" s="1"/>
  <c r="AL125" i="4" s="1"/>
  <c r="AL126" i="4" s="1"/>
  <c r="AL127" i="4" s="1"/>
  <c r="AL128" i="4" s="1"/>
  <c r="AL129" i="4" s="1"/>
  <c r="AL130" i="4" s="1"/>
  <c r="AL131" i="4" s="1"/>
  <c r="AL132" i="4" s="1"/>
  <c r="AL133" i="4" s="1"/>
  <c r="AL134" i="4" s="1"/>
  <c r="AL135" i="4" s="1"/>
  <c r="AL136" i="4" s="1"/>
  <c r="AL137" i="4" s="1"/>
  <c r="AL138" i="4" s="1"/>
  <c r="AL139" i="4" s="1"/>
  <c r="AL140" i="4" s="1"/>
  <c r="AL141" i="4" s="1"/>
  <c r="AL142" i="4" s="1"/>
  <c r="AL143" i="4" s="1"/>
  <c r="AL144" i="4" s="1"/>
  <c r="AL145" i="4" s="1"/>
  <c r="AL146" i="4" s="1"/>
  <c r="AL147" i="4" s="1"/>
  <c r="AL148" i="4" s="1"/>
  <c r="AL149" i="4" s="1"/>
  <c r="AL150" i="4" s="1"/>
  <c r="AL151" i="4" s="1"/>
  <c r="AL152" i="4" s="1"/>
  <c r="AL153" i="4" s="1"/>
  <c r="AL154" i="4" s="1"/>
  <c r="AL155" i="4" s="1"/>
  <c r="AL156" i="4" s="1"/>
  <c r="AL157" i="4" s="1"/>
  <c r="AL158" i="4" s="1"/>
  <c r="AL159" i="4" s="1"/>
  <c r="AL160" i="4" s="1"/>
  <c r="AL161" i="4" s="1"/>
  <c r="AL162" i="4" s="1"/>
  <c r="AL163" i="4" s="1"/>
  <c r="AF109" i="4"/>
  <c r="AF110" i="4" s="1"/>
  <c r="AF111" i="4" s="1"/>
  <c r="AF112" i="4" s="1"/>
  <c r="AF113" i="4" s="1"/>
  <c r="AF114" i="4" s="1"/>
  <c r="AF115" i="4" s="1"/>
  <c r="AF116" i="4" s="1"/>
  <c r="AF117" i="4" s="1"/>
  <c r="AF118" i="4" s="1"/>
  <c r="AF119" i="4" s="1"/>
  <c r="AF120" i="4" s="1"/>
  <c r="AF121" i="4" s="1"/>
  <c r="AF122" i="4" s="1"/>
  <c r="AF123" i="4" s="1"/>
  <c r="AF124" i="4" s="1"/>
  <c r="AF125" i="4" s="1"/>
  <c r="AF126" i="4" s="1"/>
  <c r="AF127" i="4" s="1"/>
  <c r="AF128" i="4" s="1"/>
  <c r="AF129" i="4" s="1"/>
  <c r="AF130" i="4" s="1"/>
  <c r="AF131" i="4" s="1"/>
  <c r="AF132" i="4" s="1"/>
  <c r="AF133" i="4" s="1"/>
  <c r="AF134" i="4" s="1"/>
  <c r="AF135" i="4" s="1"/>
  <c r="AF136" i="4" s="1"/>
  <c r="AF137" i="4" s="1"/>
  <c r="AF138" i="4" s="1"/>
  <c r="AF139" i="4" s="1"/>
  <c r="AF140" i="4" s="1"/>
  <c r="AF141" i="4" s="1"/>
  <c r="AF142" i="4" s="1"/>
  <c r="AF143" i="4" s="1"/>
  <c r="AF144" i="4" s="1"/>
  <c r="AF145" i="4" s="1"/>
  <c r="AF146" i="4" s="1"/>
  <c r="AF147" i="4" s="1"/>
  <c r="AF148" i="4" s="1"/>
  <c r="AF149" i="4" s="1"/>
  <c r="AF150" i="4" s="1"/>
  <c r="AF151" i="4" s="1"/>
  <c r="AF152" i="4" s="1"/>
  <c r="AF153" i="4" s="1"/>
  <c r="AF154" i="4" s="1"/>
  <c r="AF155" i="4" s="1"/>
  <c r="AF156" i="4" s="1"/>
  <c r="AF157" i="4" s="1"/>
  <c r="AF158" i="4" s="1"/>
  <c r="AF159" i="4" s="1"/>
  <c r="AF160" i="4" s="1"/>
  <c r="AF161" i="4" s="1"/>
  <c r="AF162" i="4" s="1"/>
  <c r="AF163" i="4" s="1"/>
  <c r="AO109" i="4"/>
  <c r="AO110" i="4"/>
  <c r="AO111" i="4" s="1"/>
  <c r="AO112" i="4" s="1"/>
  <c r="AO113" i="4" s="1"/>
  <c r="AO114" i="4" s="1"/>
  <c r="AO115" i="4" s="1"/>
  <c r="AO116" i="4" s="1"/>
  <c r="AO117" i="4" s="1"/>
  <c r="AO118" i="4" s="1"/>
  <c r="AO119" i="4" s="1"/>
  <c r="AO120" i="4" s="1"/>
  <c r="AO121" i="4" s="1"/>
  <c r="AO122" i="4" s="1"/>
  <c r="AO123" i="4" s="1"/>
  <c r="AO124" i="4" s="1"/>
  <c r="AO125" i="4" s="1"/>
  <c r="AO126" i="4" s="1"/>
  <c r="AO127" i="4" s="1"/>
  <c r="AO128" i="4" s="1"/>
  <c r="AO129" i="4" s="1"/>
  <c r="AO130" i="4" s="1"/>
  <c r="AO131" i="4" s="1"/>
  <c r="AO132" i="4" s="1"/>
  <c r="AO133" i="4" s="1"/>
  <c r="AO134" i="4" s="1"/>
  <c r="AO135" i="4" s="1"/>
  <c r="AO136" i="4" s="1"/>
  <c r="AO137" i="4" s="1"/>
  <c r="AO138" i="4" s="1"/>
  <c r="AO139" i="4" s="1"/>
  <c r="AO140" i="4" s="1"/>
  <c r="AO141" i="4" s="1"/>
  <c r="AO142" i="4" s="1"/>
  <c r="AO143" i="4" s="1"/>
  <c r="AO144" i="4" s="1"/>
  <c r="AO145" i="4" s="1"/>
  <c r="AO146" i="4" s="1"/>
  <c r="AO147" i="4" s="1"/>
  <c r="AO148" i="4" s="1"/>
  <c r="AO149" i="4" s="1"/>
  <c r="AO150" i="4" s="1"/>
  <c r="AO151" i="4" s="1"/>
  <c r="AO152" i="4" s="1"/>
  <c r="AO153" i="4" s="1"/>
  <c r="AO154" i="4" s="1"/>
  <c r="AO155" i="4" s="1"/>
  <c r="AO156" i="4" s="1"/>
  <c r="AO157" i="4" s="1"/>
  <c r="AO158" i="4" s="1"/>
  <c r="AO159" i="4" s="1"/>
  <c r="AO160" i="4" s="1"/>
  <c r="AO161" i="4" s="1"/>
  <c r="AO162" i="4" s="1"/>
  <c r="AO163" i="4" s="1"/>
  <c r="AR110" i="4"/>
  <c r="AR111" i="4"/>
  <c r="AU111" i="4"/>
  <c r="AU112" i="4" s="1"/>
  <c r="AU113" i="4" s="1"/>
  <c r="AU114" i="4" s="1"/>
  <c r="AU115" i="4" s="1"/>
  <c r="AU116" i="4" s="1"/>
  <c r="AU117" i="4" s="1"/>
  <c r="AU118" i="4" s="1"/>
  <c r="AU119" i="4" s="1"/>
  <c r="AU120" i="4" s="1"/>
  <c r="AU121" i="4" s="1"/>
  <c r="AU122" i="4" s="1"/>
  <c r="AU123" i="4" s="1"/>
  <c r="AU124" i="4" s="1"/>
  <c r="AU125" i="4" s="1"/>
  <c r="AU126" i="4" s="1"/>
  <c r="AU127" i="4" s="1"/>
  <c r="AU128" i="4" s="1"/>
  <c r="AU129" i="4" s="1"/>
  <c r="AU130" i="4" s="1"/>
  <c r="AU131" i="4" s="1"/>
  <c r="AU132" i="4" s="1"/>
  <c r="AU133" i="4" s="1"/>
  <c r="AU134" i="4" s="1"/>
  <c r="AU135" i="4" s="1"/>
  <c r="AU136" i="4" s="1"/>
  <c r="AU137" i="4" s="1"/>
  <c r="AU138" i="4" s="1"/>
  <c r="AU139" i="4" s="1"/>
  <c r="AU140" i="4" s="1"/>
  <c r="AU141" i="4" s="1"/>
  <c r="AU142" i="4" s="1"/>
  <c r="AU143" i="4" s="1"/>
  <c r="AU144" i="4" s="1"/>
  <c r="AU145" i="4" s="1"/>
  <c r="AU146" i="4" s="1"/>
  <c r="AU147" i="4" s="1"/>
  <c r="AU148" i="4" s="1"/>
  <c r="AU149" i="4" s="1"/>
  <c r="AU150" i="4" s="1"/>
  <c r="AU151" i="4" s="1"/>
  <c r="AU152" i="4" s="1"/>
  <c r="AU153" i="4" s="1"/>
  <c r="AU154" i="4" s="1"/>
  <c r="AU155" i="4" s="1"/>
  <c r="AU156" i="4" s="1"/>
  <c r="AU157" i="4" s="1"/>
  <c r="AU158" i="4" s="1"/>
  <c r="AU159" i="4" s="1"/>
  <c r="AU160" i="4" s="1"/>
  <c r="AU161" i="4" s="1"/>
  <c r="AU162" i="4" s="1"/>
  <c r="AU163" i="4" s="1"/>
  <c r="AR112" i="4"/>
  <c r="AX112" i="4"/>
  <c r="AX113" i="4" s="1"/>
  <c r="AX114" i="4" s="1"/>
  <c r="AX115" i="4" s="1"/>
  <c r="AX116" i="4" s="1"/>
  <c r="AX117" i="4" s="1"/>
  <c r="AX118" i="4" s="1"/>
  <c r="AX119" i="4" s="1"/>
  <c r="AX120" i="4" s="1"/>
  <c r="AX121" i="4" s="1"/>
  <c r="AX122" i="4" s="1"/>
  <c r="AX123" i="4" s="1"/>
  <c r="AX124" i="4" s="1"/>
  <c r="AX125" i="4" s="1"/>
  <c r="AX126" i="4" s="1"/>
  <c r="AX127" i="4" s="1"/>
  <c r="AX128" i="4" s="1"/>
  <c r="AX129" i="4" s="1"/>
  <c r="AX130" i="4" s="1"/>
  <c r="AX131" i="4" s="1"/>
  <c r="AX132" i="4" s="1"/>
  <c r="AX133" i="4" s="1"/>
  <c r="AX134" i="4" s="1"/>
  <c r="AX135" i="4" s="1"/>
  <c r="AX136" i="4" s="1"/>
  <c r="AX137" i="4" s="1"/>
  <c r="AX138" i="4" s="1"/>
  <c r="AX139" i="4" s="1"/>
  <c r="AX140" i="4" s="1"/>
  <c r="AX141" i="4" s="1"/>
  <c r="AX142" i="4" s="1"/>
  <c r="AX143" i="4" s="1"/>
  <c r="AX144" i="4" s="1"/>
  <c r="AX145" i="4" s="1"/>
  <c r="AX146" i="4" s="1"/>
  <c r="AX147" i="4" s="1"/>
  <c r="AX148" i="4" s="1"/>
  <c r="AX149" i="4" s="1"/>
  <c r="AX150" i="4" s="1"/>
  <c r="AX151" i="4" s="1"/>
  <c r="AX152" i="4" s="1"/>
  <c r="AX153" i="4" s="1"/>
  <c r="AX154" i="4" s="1"/>
  <c r="AX155" i="4" s="1"/>
  <c r="AX156" i="4" s="1"/>
  <c r="AX157" i="4" s="1"/>
  <c r="AX158" i="4" s="1"/>
  <c r="AX159" i="4" s="1"/>
  <c r="AX160" i="4" s="1"/>
  <c r="AX161" i="4" s="1"/>
  <c r="AX162" i="4" s="1"/>
  <c r="AX163" i="4" s="1"/>
  <c r="AR113" i="4"/>
  <c r="AR114" i="4" s="1"/>
  <c r="AR115" i="4" s="1"/>
  <c r="AR116" i="4" s="1"/>
  <c r="AR117" i="4" s="1"/>
  <c r="AR118" i="4" s="1"/>
  <c r="AR119" i="4" s="1"/>
  <c r="AR120" i="4" s="1"/>
  <c r="AR121" i="4" s="1"/>
  <c r="AR122" i="4" s="1"/>
  <c r="AR123" i="4" s="1"/>
  <c r="AR124" i="4" s="1"/>
  <c r="AR125" i="4" s="1"/>
  <c r="AR126" i="4" s="1"/>
  <c r="AR127" i="4" s="1"/>
  <c r="AR128" i="4" s="1"/>
  <c r="AR129" i="4" s="1"/>
  <c r="AR130" i="4" s="1"/>
  <c r="AR131" i="4" s="1"/>
  <c r="AR132" i="4" s="1"/>
  <c r="AR133" i="4" s="1"/>
  <c r="AR134" i="4" s="1"/>
  <c r="AR135" i="4" s="1"/>
  <c r="AR136" i="4" s="1"/>
  <c r="AR137" i="4" s="1"/>
  <c r="AR138" i="4" s="1"/>
  <c r="AR139" i="4" s="1"/>
  <c r="AR140" i="4" s="1"/>
  <c r="AR141" i="4" s="1"/>
  <c r="AR142" i="4" s="1"/>
  <c r="AR143" i="4" s="1"/>
  <c r="AR144" i="4" s="1"/>
  <c r="AR145" i="4" s="1"/>
  <c r="AR146" i="4" s="1"/>
  <c r="AR147" i="4" s="1"/>
  <c r="AR148" i="4" s="1"/>
  <c r="AR149" i="4" s="1"/>
  <c r="AR150" i="4" s="1"/>
  <c r="AR151" i="4" s="1"/>
  <c r="AR152" i="4" s="1"/>
  <c r="AR153" i="4" s="1"/>
  <c r="AR154" i="4" s="1"/>
  <c r="AR155" i="4" s="1"/>
  <c r="AR156" i="4" s="1"/>
  <c r="AR157" i="4" s="1"/>
  <c r="AR158" i="4" s="1"/>
  <c r="AR159" i="4" s="1"/>
  <c r="AR160" i="4" s="1"/>
  <c r="AR161" i="4" s="1"/>
  <c r="AR162" i="4" s="1"/>
  <c r="AR163" i="4" s="1"/>
  <c r="BA113" i="4"/>
  <c r="BA114" i="4"/>
  <c r="BA115" i="4" s="1"/>
  <c r="BA116" i="4" s="1"/>
  <c r="BA117" i="4" s="1"/>
  <c r="BA118" i="4" s="1"/>
  <c r="BA119" i="4" s="1"/>
  <c r="BA120" i="4" s="1"/>
  <c r="BA121" i="4" s="1"/>
  <c r="BA122" i="4" s="1"/>
  <c r="BA123" i="4" s="1"/>
  <c r="BA124" i="4" s="1"/>
  <c r="BA125" i="4" s="1"/>
  <c r="BA126" i="4" s="1"/>
  <c r="BA127" i="4" s="1"/>
  <c r="BA128" i="4" s="1"/>
  <c r="BA129" i="4" s="1"/>
  <c r="BA130" i="4" s="1"/>
  <c r="BA131" i="4" s="1"/>
  <c r="BA132" i="4" s="1"/>
  <c r="BA133" i="4" s="1"/>
  <c r="BA134" i="4" s="1"/>
  <c r="BA135" i="4" s="1"/>
  <c r="BA136" i="4" s="1"/>
  <c r="BA137" i="4" s="1"/>
  <c r="BA138" i="4" s="1"/>
  <c r="BA139" i="4" s="1"/>
  <c r="BA140" i="4" s="1"/>
  <c r="BA141" i="4" s="1"/>
  <c r="BA142" i="4" s="1"/>
  <c r="BA143" i="4" s="1"/>
  <c r="BA144" i="4" s="1"/>
  <c r="BA145" i="4" s="1"/>
  <c r="BA146" i="4" s="1"/>
  <c r="BA147" i="4" s="1"/>
  <c r="BA148" i="4" s="1"/>
  <c r="BA149" i="4" s="1"/>
  <c r="BA150" i="4" s="1"/>
  <c r="BA151" i="4" s="1"/>
  <c r="BA152" i="4" s="1"/>
  <c r="BA153" i="4" s="1"/>
  <c r="BA154" i="4" s="1"/>
  <c r="BA155" i="4" s="1"/>
  <c r="BA156" i="4" s="1"/>
  <c r="BA157" i="4" s="1"/>
  <c r="BA158" i="4" s="1"/>
  <c r="BA159" i="4" s="1"/>
  <c r="BA160" i="4" s="1"/>
  <c r="BA161" i="4" s="1"/>
  <c r="BA162" i="4" s="1"/>
  <c r="BA163" i="4" s="1"/>
  <c r="BD114" i="4"/>
  <c r="BD115" i="4"/>
  <c r="BG115" i="4"/>
  <c r="BG116" i="4" s="1"/>
  <c r="BG117" i="4" s="1"/>
  <c r="BG118" i="4" s="1"/>
  <c r="BG119" i="4" s="1"/>
  <c r="BG120" i="4" s="1"/>
  <c r="BG121" i="4" s="1"/>
  <c r="BG122" i="4" s="1"/>
  <c r="BG123" i="4" s="1"/>
  <c r="BG124" i="4" s="1"/>
  <c r="BG125" i="4" s="1"/>
  <c r="BG126" i="4" s="1"/>
  <c r="BG127" i="4" s="1"/>
  <c r="BG128" i="4" s="1"/>
  <c r="BG129" i="4" s="1"/>
  <c r="BG130" i="4" s="1"/>
  <c r="BG131" i="4" s="1"/>
  <c r="BG132" i="4" s="1"/>
  <c r="BG133" i="4" s="1"/>
  <c r="BG134" i="4" s="1"/>
  <c r="BG135" i="4" s="1"/>
  <c r="BG136" i="4" s="1"/>
  <c r="BG137" i="4" s="1"/>
  <c r="BG138" i="4" s="1"/>
  <c r="BG139" i="4" s="1"/>
  <c r="BG140" i="4" s="1"/>
  <c r="BG141" i="4" s="1"/>
  <c r="BG142" i="4" s="1"/>
  <c r="BG143" i="4" s="1"/>
  <c r="BG144" i="4" s="1"/>
  <c r="BG145" i="4" s="1"/>
  <c r="BG146" i="4" s="1"/>
  <c r="BG147" i="4" s="1"/>
  <c r="BG148" i="4" s="1"/>
  <c r="BG149" i="4" s="1"/>
  <c r="BG150" i="4" s="1"/>
  <c r="BG151" i="4" s="1"/>
  <c r="BG152" i="4" s="1"/>
  <c r="BG153" i="4" s="1"/>
  <c r="BG154" i="4" s="1"/>
  <c r="BG155" i="4" s="1"/>
  <c r="BG156" i="4" s="1"/>
  <c r="BG157" i="4" s="1"/>
  <c r="BG158" i="4" s="1"/>
  <c r="BG159" i="4" s="1"/>
  <c r="BG160" i="4" s="1"/>
  <c r="BG161" i="4" s="1"/>
  <c r="BG162" i="4" s="1"/>
  <c r="BG163" i="4" s="1"/>
  <c r="BD116" i="4"/>
  <c r="BJ116" i="4"/>
  <c r="BJ117" i="4" s="1"/>
  <c r="BJ118" i="4" s="1"/>
  <c r="BJ119" i="4" s="1"/>
  <c r="BJ120" i="4" s="1"/>
  <c r="BJ121" i="4" s="1"/>
  <c r="BJ122" i="4" s="1"/>
  <c r="BJ123" i="4" s="1"/>
  <c r="BJ124" i="4" s="1"/>
  <c r="BJ125" i="4" s="1"/>
  <c r="BJ126" i="4" s="1"/>
  <c r="BJ127" i="4" s="1"/>
  <c r="BJ128" i="4" s="1"/>
  <c r="BJ129" i="4" s="1"/>
  <c r="BJ130" i="4" s="1"/>
  <c r="BJ131" i="4" s="1"/>
  <c r="BJ132" i="4" s="1"/>
  <c r="BJ133" i="4" s="1"/>
  <c r="BJ134" i="4" s="1"/>
  <c r="BJ135" i="4" s="1"/>
  <c r="BJ136" i="4" s="1"/>
  <c r="BJ137" i="4" s="1"/>
  <c r="BJ138" i="4" s="1"/>
  <c r="BJ139" i="4" s="1"/>
  <c r="BJ140" i="4" s="1"/>
  <c r="BJ141" i="4" s="1"/>
  <c r="BJ142" i="4" s="1"/>
  <c r="BJ143" i="4" s="1"/>
  <c r="BJ144" i="4" s="1"/>
  <c r="BJ145" i="4" s="1"/>
  <c r="BJ146" i="4" s="1"/>
  <c r="BJ147" i="4" s="1"/>
  <c r="BJ148" i="4" s="1"/>
  <c r="BJ149" i="4" s="1"/>
  <c r="BJ150" i="4" s="1"/>
  <c r="BJ151" i="4" s="1"/>
  <c r="BJ152" i="4" s="1"/>
  <c r="BJ153" i="4" s="1"/>
  <c r="BJ154" i="4" s="1"/>
  <c r="BJ155" i="4" s="1"/>
  <c r="BJ156" i="4" s="1"/>
  <c r="BJ157" i="4" s="1"/>
  <c r="BJ158" i="4" s="1"/>
  <c r="BJ159" i="4" s="1"/>
  <c r="BJ160" i="4" s="1"/>
  <c r="BJ161" i="4" s="1"/>
  <c r="BJ162" i="4" s="1"/>
  <c r="BJ163" i="4" s="1"/>
  <c r="BD117" i="4"/>
  <c r="BD118" i="4" s="1"/>
  <c r="BD119" i="4" s="1"/>
  <c r="BD120" i="4" s="1"/>
  <c r="BD121" i="4" s="1"/>
  <c r="BD122" i="4" s="1"/>
  <c r="BD123" i="4" s="1"/>
  <c r="BD124" i="4" s="1"/>
  <c r="BD125" i="4" s="1"/>
  <c r="BD126" i="4" s="1"/>
  <c r="BD127" i="4" s="1"/>
  <c r="BD128" i="4" s="1"/>
  <c r="BD129" i="4" s="1"/>
  <c r="BD130" i="4" s="1"/>
  <c r="BD131" i="4" s="1"/>
  <c r="BD132" i="4" s="1"/>
  <c r="BD133" i="4" s="1"/>
  <c r="BD134" i="4" s="1"/>
  <c r="BD135" i="4" s="1"/>
  <c r="BD136" i="4" s="1"/>
  <c r="BD137" i="4" s="1"/>
  <c r="BD138" i="4" s="1"/>
  <c r="BD139" i="4" s="1"/>
  <c r="BD140" i="4" s="1"/>
  <c r="BD141" i="4" s="1"/>
  <c r="BD142" i="4" s="1"/>
  <c r="BD143" i="4" s="1"/>
  <c r="BD144" i="4" s="1"/>
  <c r="BD145" i="4" s="1"/>
  <c r="BD146" i="4" s="1"/>
  <c r="BD147" i="4" s="1"/>
  <c r="BD148" i="4" s="1"/>
  <c r="BD149" i="4" s="1"/>
  <c r="BD150" i="4" s="1"/>
  <c r="BD151" i="4" s="1"/>
  <c r="BD152" i="4" s="1"/>
  <c r="BD153" i="4" s="1"/>
  <c r="BD154" i="4" s="1"/>
  <c r="BD155" i="4" s="1"/>
  <c r="BD156" i="4" s="1"/>
  <c r="BD157" i="4" s="1"/>
  <c r="BD158" i="4" s="1"/>
  <c r="BD159" i="4" s="1"/>
  <c r="BD160" i="4" s="1"/>
  <c r="BD161" i="4" s="1"/>
  <c r="BD162" i="4" s="1"/>
  <c r="BD163" i="4" s="1"/>
  <c r="BM117" i="4"/>
  <c r="BM118" i="4"/>
  <c r="BM119" i="4" s="1"/>
  <c r="BM120" i="4" s="1"/>
  <c r="BM121" i="4" s="1"/>
  <c r="BM122" i="4" s="1"/>
  <c r="BM123" i="4" s="1"/>
  <c r="BM124" i="4" s="1"/>
  <c r="BM125" i="4" s="1"/>
  <c r="BM126" i="4" s="1"/>
  <c r="BM127" i="4" s="1"/>
  <c r="BM128" i="4" s="1"/>
  <c r="BM129" i="4" s="1"/>
  <c r="BM130" i="4" s="1"/>
  <c r="BM131" i="4" s="1"/>
  <c r="BM132" i="4" s="1"/>
  <c r="BM133" i="4" s="1"/>
  <c r="BM134" i="4" s="1"/>
  <c r="BM135" i="4" s="1"/>
  <c r="BM136" i="4" s="1"/>
  <c r="BM137" i="4" s="1"/>
  <c r="BM138" i="4" s="1"/>
  <c r="BM139" i="4" s="1"/>
  <c r="BM140" i="4" s="1"/>
  <c r="BM141" i="4" s="1"/>
  <c r="BM142" i="4" s="1"/>
  <c r="BM143" i="4" s="1"/>
  <c r="BM144" i="4" s="1"/>
  <c r="BM145" i="4" s="1"/>
  <c r="BM146" i="4" s="1"/>
  <c r="BM147" i="4" s="1"/>
  <c r="BM148" i="4" s="1"/>
  <c r="BM149" i="4" s="1"/>
  <c r="BM150" i="4" s="1"/>
  <c r="BM151" i="4" s="1"/>
  <c r="BM152" i="4" s="1"/>
  <c r="BM153" i="4" s="1"/>
  <c r="BM154" i="4" s="1"/>
  <c r="BM155" i="4" s="1"/>
  <c r="BM156" i="4" s="1"/>
  <c r="BM157" i="4" s="1"/>
  <c r="BM158" i="4" s="1"/>
  <c r="BM159" i="4" s="1"/>
  <c r="BM160" i="4" s="1"/>
  <c r="BM161" i="4" s="1"/>
  <c r="BM162" i="4" s="1"/>
  <c r="BM163" i="4" s="1"/>
  <c r="BP118" i="4"/>
  <c r="BP119" i="4"/>
  <c r="BS119" i="4"/>
  <c r="BS120" i="4" s="1"/>
  <c r="BS121" i="4" s="1"/>
  <c r="BS122" i="4" s="1"/>
  <c r="BS123" i="4" s="1"/>
  <c r="BS124" i="4" s="1"/>
  <c r="BS125" i="4" s="1"/>
  <c r="BS126" i="4" s="1"/>
  <c r="BS127" i="4" s="1"/>
  <c r="BS128" i="4" s="1"/>
  <c r="BS129" i="4" s="1"/>
  <c r="BS130" i="4" s="1"/>
  <c r="BS131" i="4" s="1"/>
  <c r="BS132" i="4" s="1"/>
  <c r="BS133" i="4" s="1"/>
  <c r="BS134" i="4" s="1"/>
  <c r="BS135" i="4" s="1"/>
  <c r="BS136" i="4" s="1"/>
  <c r="BS137" i="4" s="1"/>
  <c r="BS138" i="4" s="1"/>
  <c r="BS139" i="4" s="1"/>
  <c r="BS140" i="4" s="1"/>
  <c r="BS141" i="4" s="1"/>
  <c r="BS142" i="4" s="1"/>
  <c r="BS143" i="4" s="1"/>
  <c r="BS144" i="4" s="1"/>
  <c r="BS145" i="4" s="1"/>
  <c r="BS146" i="4" s="1"/>
  <c r="BS147" i="4" s="1"/>
  <c r="BS148" i="4" s="1"/>
  <c r="BS149" i="4" s="1"/>
  <c r="BS150" i="4" s="1"/>
  <c r="BS151" i="4" s="1"/>
  <c r="BS152" i="4" s="1"/>
  <c r="BS153" i="4" s="1"/>
  <c r="BS154" i="4" s="1"/>
  <c r="BS155" i="4" s="1"/>
  <c r="BS156" i="4" s="1"/>
  <c r="BS157" i="4" s="1"/>
  <c r="BS158" i="4" s="1"/>
  <c r="BS159" i="4" s="1"/>
  <c r="BS160" i="4" s="1"/>
  <c r="BS161" i="4" s="1"/>
  <c r="BS162" i="4" s="1"/>
  <c r="BS163" i="4" s="1"/>
  <c r="BP120" i="4"/>
  <c r="BV120" i="4"/>
  <c r="BV121" i="4" s="1"/>
  <c r="BV122" i="4" s="1"/>
  <c r="BV123" i="4" s="1"/>
  <c r="BV124" i="4" s="1"/>
  <c r="BV125" i="4" s="1"/>
  <c r="BV126" i="4" s="1"/>
  <c r="BV127" i="4" s="1"/>
  <c r="BV128" i="4" s="1"/>
  <c r="BV129" i="4" s="1"/>
  <c r="BV130" i="4" s="1"/>
  <c r="BV131" i="4" s="1"/>
  <c r="BV132" i="4" s="1"/>
  <c r="BV133" i="4" s="1"/>
  <c r="BV134" i="4" s="1"/>
  <c r="BV135" i="4" s="1"/>
  <c r="BV136" i="4" s="1"/>
  <c r="BV137" i="4" s="1"/>
  <c r="BV138" i="4" s="1"/>
  <c r="BV139" i="4" s="1"/>
  <c r="BV140" i="4" s="1"/>
  <c r="BV141" i="4" s="1"/>
  <c r="BV142" i="4" s="1"/>
  <c r="BV143" i="4" s="1"/>
  <c r="BV144" i="4" s="1"/>
  <c r="BV145" i="4" s="1"/>
  <c r="BV146" i="4" s="1"/>
  <c r="BV147" i="4" s="1"/>
  <c r="BV148" i="4" s="1"/>
  <c r="BV149" i="4" s="1"/>
  <c r="BV150" i="4" s="1"/>
  <c r="BV151" i="4" s="1"/>
  <c r="BV152" i="4" s="1"/>
  <c r="BV153" i="4" s="1"/>
  <c r="BV154" i="4" s="1"/>
  <c r="BV155" i="4" s="1"/>
  <c r="BV156" i="4" s="1"/>
  <c r="BV157" i="4" s="1"/>
  <c r="BV158" i="4" s="1"/>
  <c r="BV159" i="4" s="1"/>
  <c r="BV160" i="4" s="1"/>
  <c r="BV161" i="4" s="1"/>
  <c r="BV162" i="4" s="1"/>
  <c r="BV163" i="4" s="1"/>
  <c r="BP121" i="4"/>
  <c r="BP122" i="4" s="1"/>
  <c r="BP123" i="4" s="1"/>
  <c r="BP124" i="4" s="1"/>
  <c r="BP125" i="4" s="1"/>
  <c r="BP126" i="4" s="1"/>
  <c r="BP127" i="4" s="1"/>
  <c r="BP128" i="4" s="1"/>
  <c r="BP129" i="4" s="1"/>
  <c r="BP130" i="4" s="1"/>
  <c r="BP131" i="4" s="1"/>
  <c r="BP132" i="4" s="1"/>
  <c r="BP133" i="4" s="1"/>
  <c r="BP134" i="4" s="1"/>
  <c r="BP135" i="4" s="1"/>
  <c r="BP136" i="4" s="1"/>
  <c r="BP137" i="4" s="1"/>
  <c r="BP138" i="4" s="1"/>
  <c r="BP139" i="4" s="1"/>
  <c r="BP140" i="4" s="1"/>
  <c r="BP141" i="4" s="1"/>
  <c r="BP142" i="4" s="1"/>
  <c r="BP143" i="4" s="1"/>
  <c r="BP144" i="4" s="1"/>
  <c r="BP145" i="4" s="1"/>
  <c r="BP146" i="4" s="1"/>
  <c r="BP147" i="4" s="1"/>
  <c r="BP148" i="4" s="1"/>
  <c r="BP149" i="4" s="1"/>
  <c r="BP150" i="4" s="1"/>
  <c r="BP151" i="4" s="1"/>
  <c r="BP152" i="4" s="1"/>
  <c r="BP153" i="4" s="1"/>
  <c r="BP154" i="4" s="1"/>
  <c r="BP155" i="4" s="1"/>
  <c r="BP156" i="4" s="1"/>
  <c r="BP157" i="4" s="1"/>
  <c r="BP158" i="4" s="1"/>
  <c r="BP159" i="4" s="1"/>
  <c r="BP160" i="4" s="1"/>
  <c r="BP161" i="4" s="1"/>
  <c r="BP162" i="4" s="1"/>
  <c r="BP163" i="4" s="1"/>
  <c r="BY121" i="4"/>
  <c r="BY122" i="4"/>
  <c r="BY123" i="4" s="1"/>
  <c r="BY124" i="4" s="1"/>
  <c r="BY125" i="4" s="1"/>
  <c r="BY126" i="4" s="1"/>
  <c r="BY127" i="4" s="1"/>
  <c r="BY128" i="4" s="1"/>
  <c r="BY129" i="4" s="1"/>
  <c r="BY130" i="4" s="1"/>
  <c r="BY131" i="4" s="1"/>
  <c r="BY132" i="4" s="1"/>
  <c r="BY133" i="4" s="1"/>
  <c r="BY134" i="4" s="1"/>
  <c r="BY135" i="4" s="1"/>
  <c r="BY136" i="4" s="1"/>
  <c r="BY137" i="4" s="1"/>
  <c r="BY138" i="4" s="1"/>
  <c r="BY139" i="4" s="1"/>
  <c r="BY140" i="4" s="1"/>
  <c r="BY141" i="4" s="1"/>
  <c r="BY142" i="4" s="1"/>
  <c r="BY143" i="4" s="1"/>
  <c r="BY144" i="4" s="1"/>
  <c r="BY145" i="4" s="1"/>
  <c r="BY146" i="4" s="1"/>
  <c r="BY147" i="4" s="1"/>
  <c r="BY148" i="4" s="1"/>
  <c r="BY149" i="4" s="1"/>
  <c r="BY150" i="4" s="1"/>
  <c r="BY151" i="4" s="1"/>
  <c r="BY152" i="4" s="1"/>
  <c r="BY153" i="4" s="1"/>
  <c r="BY154" i="4" s="1"/>
  <c r="BY155" i="4" s="1"/>
  <c r="BY156" i="4" s="1"/>
  <c r="BY157" i="4" s="1"/>
  <c r="BY158" i="4" s="1"/>
  <c r="BY159" i="4" s="1"/>
  <c r="BY160" i="4" s="1"/>
  <c r="BY161" i="4" s="1"/>
  <c r="BY162" i="4" s="1"/>
  <c r="BY163" i="4" s="1"/>
  <c r="CB122" i="4"/>
  <c r="CB123" i="4"/>
  <c r="CE123" i="4"/>
  <c r="CE124" i="4" s="1"/>
  <c r="CE125" i="4" s="1"/>
  <c r="CE126" i="4" s="1"/>
  <c r="CE127" i="4" s="1"/>
  <c r="CE128" i="4" s="1"/>
  <c r="CE129" i="4" s="1"/>
  <c r="CE130" i="4" s="1"/>
  <c r="CE131" i="4" s="1"/>
  <c r="CE132" i="4" s="1"/>
  <c r="CE133" i="4" s="1"/>
  <c r="CE134" i="4" s="1"/>
  <c r="CE135" i="4" s="1"/>
  <c r="CE136" i="4" s="1"/>
  <c r="CE137" i="4" s="1"/>
  <c r="CE138" i="4" s="1"/>
  <c r="CE139" i="4" s="1"/>
  <c r="CE140" i="4" s="1"/>
  <c r="CE141" i="4" s="1"/>
  <c r="CE142" i="4" s="1"/>
  <c r="CE143" i="4" s="1"/>
  <c r="CE144" i="4" s="1"/>
  <c r="CE145" i="4" s="1"/>
  <c r="CE146" i="4" s="1"/>
  <c r="CE147" i="4" s="1"/>
  <c r="CE148" i="4" s="1"/>
  <c r="CE149" i="4" s="1"/>
  <c r="CE150" i="4" s="1"/>
  <c r="CE151" i="4" s="1"/>
  <c r="CE152" i="4" s="1"/>
  <c r="CE153" i="4" s="1"/>
  <c r="CE154" i="4" s="1"/>
  <c r="CE155" i="4" s="1"/>
  <c r="CE156" i="4" s="1"/>
  <c r="CE157" i="4" s="1"/>
  <c r="CE158" i="4" s="1"/>
  <c r="CE159" i="4" s="1"/>
  <c r="CE160" i="4" s="1"/>
  <c r="CE161" i="4" s="1"/>
  <c r="CE162" i="4" s="1"/>
  <c r="CE163" i="4" s="1"/>
  <c r="CB124" i="4"/>
  <c r="CB125" i="4" s="1"/>
  <c r="CB126" i="4"/>
  <c r="CB127" i="4" s="1"/>
  <c r="CB128" i="4" s="1"/>
  <c r="CB129" i="4" s="1"/>
  <c r="CB130" i="4" s="1"/>
  <c r="CB131" i="4" s="1"/>
  <c r="CB132" i="4" s="1"/>
  <c r="CB133" i="4" s="1"/>
  <c r="CB134" i="4" s="1"/>
  <c r="CB135" i="4" s="1"/>
  <c r="CB136" i="4" s="1"/>
  <c r="CB137" i="4" s="1"/>
  <c r="CB138" i="4" s="1"/>
  <c r="CB139" i="4" s="1"/>
  <c r="CB140" i="4" s="1"/>
  <c r="CB141" i="4" s="1"/>
  <c r="CB142" i="4" s="1"/>
  <c r="CB143" i="4" s="1"/>
  <c r="CB144" i="4" s="1"/>
  <c r="CB145" i="4" s="1"/>
  <c r="CB146" i="4" s="1"/>
  <c r="CB147" i="4" s="1"/>
  <c r="CB148" i="4" s="1"/>
  <c r="CB149" i="4" s="1"/>
  <c r="CB150" i="4" s="1"/>
  <c r="CB151" i="4" s="1"/>
  <c r="CB152" i="4" s="1"/>
  <c r="CB153" i="4" s="1"/>
  <c r="CB154" i="4" s="1"/>
  <c r="CB155" i="4" s="1"/>
  <c r="CB156" i="4" s="1"/>
  <c r="CB157" i="4" s="1"/>
  <c r="CB158" i="4" s="1"/>
  <c r="CB159" i="4" s="1"/>
  <c r="CB160" i="4" s="1"/>
  <c r="CB161" i="4" s="1"/>
  <c r="CB162" i="4" s="1"/>
  <c r="CB163" i="4" s="1"/>
  <c r="EA139" i="4"/>
  <c r="EA140" i="4"/>
  <c r="ED140" i="4"/>
  <c r="ED141" i="4" s="1"/>
  <c r="ED142" i="4" s="1"/>
  <c r="EA141" i="4"/>
  <c r="EG141" i="4"/>
  <c r="EA142" i="4"/>
  <c r="EA143" i="4" s="1"/>
  <c r="EA144" i="4" s="1"/>
  <c r="EG142" i="4"/>
  <c r="EG143" i="4" s="1"/>
  <c r="EG144" i="4" s="1"/>
  <c r="EJ142" i="4"/>
  <c r="ED143" i="4"/>
  <c r="EJ143" i="4"/>
  <c r="EJ144" i="4" s="1"/>
  <c r="EJ145" i="4" s="1"/>
  <c r="EJ146" i="4" s="1"/>
  <c r="EJ147" i="4" s="1"/>
  <c r="EJ148" i="4" s="1"/>
  <c r="EJ149" i="4" s="1"/>
  <c r="EJ150" i="4" s="1"/>
  <c r="EJ151" i="4" s="1"/>
  <c r="EJ152" i="4" s="1"/>
  <c r="EJ153" i="4" s="1"/>
  <c r="EJ154" i="4" s="1"/>
  <c r="EJ155" i="4" s="1"/>
  <c r="EJ156" i="4" s="1"/>
  <c r="EJ157" i="4" s="1"/>
  <c r="EJ158" i="4" s="1"/>
  <c r="EJ159" i="4" s="1"/>
  <c r="EJ160" i="4" s="1"/>
  <c r="EJ161" i="4" s="1"/>
  <c r="EJ162" i="4" s="1"/>
  <c r="EJ163" i="4" s="1"/>
  <c r="EM143" i="4"/>
  <c r="ED144" i="4"/>
  <c r="ED145" i="4" s="1"/>
  <c r="ED146" i="4" s="1"/>
  <c r="ED147" i="4" s="1"/>
  <c r="ED148" i="4" s="1"/>
  <c r="ED149" i="4" s="1"/>
  <c r="ED150" i="4" s="1"/>
  <c r="ED151" i="4" s="1"/>
  <c r="ED152" i="4" s="1"/>
  <c r="ED153" i="4" s="1"/>
  <c r="ED154" i="4" s="1"/>
  <c r="ED155" i="4" s="1"/>
  <c r="ED156" i="4" s="1"/>
  <c r="ED157" i="4" s="1"/>
  <c r="ED158" i="4" s="1"/>
  <c r="ED159" i="4" s="1"/>
  <c r="ED160" i="4" s="1"/>
  <c r="ED161" i="4" s="1"/>
  <c r="ED162" i="4" s="1"/>
  <c r="ED163" i="4" s="1"/>
  <c r="EM144" i="4"/>
  <c r="EP144" i="4"/>
  <c r="EP145" i="4" s="1"/>
  <c r="EP146" i="4" s="1"/>
  <c r="EA145" i="4"/>
  <c r="EG145" i="4"/>
  <c r="EM145" i="4"/>
  <c r="ES145" i="4"/>
  <c r="EA146" i="4"/>
  <c r="EA147" i="4" s="1"/>
  <c r="EA148" i="4" s="1"/>
  <c r="EG146" i="4"/>
  <c r="EG147" i="4" s="1"/>
  <c r="EG148" i="4" s="1"/>
  <c r="EM146" i="4"/>
  <c r="EM147" i="4" s="1"/>
  <c r="EM148" i="4" s="1"/>
  <c r="EM149" i="4" s="1"/>
  <c r="EM150" i="4" s="1"/>
  <c r="EM151" i="4" s="1"/>
  <c r="EM152" i="4" s="1"/>
  <c r="EM153" i="4" s="1"/>
  <c r="EM154" i="4" s="1"/>
  <c r="EM155" i="4" s="1"/>
  <c r="EM156" i="4" s="1"/>
  <c r="EM157" i="4" s="1"/>
  <c r="EM158" i="4" s="1"/>
  <c r="EM159" i="4" s="1"/>
  <c r="EM160" i="4" s="1"/>
  <c r="EM161" i="4" s="1"/>
  <c r="EM162" i="4" s="1"/>
  <c r="EM163" i="4" s="1"/>
  <c r="ES146" i="4"/>
  <c r="ES147" i="4" s="1"/>
  <c r="ES148" i="4" s="1"/>
  <c r="EV146" i="4"/>
  <c r="EP147" i="4"/>
  <c r="EV147" i="4"/>
  <c r="EV148" i="4" s="1"/>
  <c r="EV149" i="4" s="1"/>
  <c r="EV150" i="4" s="1"/>
  <c r="EV151" i="4" s="1"/>
  <c r="EV152" i="4" s="1"/>
  <c r="EV153" i="4" s="1"/>
  <c r="EV154" i="4" s="1"/>
  <c r="EV155" i="4" s="1"/>
  <c r="EV156" i="4" s="1"/>
  <c r="EV157" i="4" s="1"/>
  <c r="EV158" i="4" s="1"/>
  <c r="EV159" i="4" s="1"/>
  <c r="EV160" i="4" s="1"/>
  <c r="EV161" i="4" s="1"/>
  <c r="EV162" i="4" s="1"/>
  <c r="EV163" i="4" s="1"/>
  <c r="EY147" i="4"/>
  <c r="EP148" i="4"/>
  <c r="EP149" i="4" s="1"/>
  <c r="EP150" i="4" s="1"/>
  <c r="EP151" i="4" s="1"/>
  <c r="EP152" i="4" s="1"/>
  <c r="EP153" i="4" s="1"/>
  <c r="EP154" i="4" s="1"/>
  <c r="EP155" i="4" s="1"/>
  <c r="EP156" i="4" s="1"/>
  <c r="EP157" i="4" s="1"/>
  <c r="EP158" i="4" s="1"/>
  <c r="EP159" i="4" s="1"/>
  <c r="EP160" i="4" s="1"/>
  <c r="EP161" i="4" s="1"/>
  <c r="EP162" i="4" s="1"/>
  <c r="EP163" i="4" s="1"/>
  <c r="EY148" i="4"/>
  <c r="EY149" i="4" s="1"/>
  <c r="EY150" i="4" s="1"/>
  <c r="EY151" i="4" s="1"/>
  <c r="EY152" i="4" s="1"/>
  <c r="EY153" i="4" s="1"/>
  <c r="EY154" i="4" s="1"/>
  <c r="EY155" i="4" s="1"/>
  <c r="EY156" i="4" s="1"/>
  <c r="EY157" i="4" s="1"/>
  <c r="EY158" i="4" s="1"/>
  <c r="EY159" i="4" s="1"/>
  <c r="EY160" i="4" s="1"/>
  <c r="EY161" i="4" s="1"/>
  <c r="EY162" i="4" s="1"/>
  <c r="EY163" i="4" s="1"/>
  <c r="FB148" i="4"/>
  <c r="EA149" i="4"/>
  <c r="EA150" i="4" s="1"/>
  <c r="EA151" i="4" s="1"/>
  <c r="EA152" i="4" s="1"/>
  <c r="EA153" i="4" s="1"/>
  <c r="EA154" i="4" s="1"/>
  <c r="EA155" i="4" s="1"/>
  <c r="EA156" i="4" s="1"/>
  <c r="EA157" i="4" s="1"/>
  <c r="EA158" i="4" s="1"/>
  <c r="EA159" i="4" s="1"/>
  <c r="EA160" i="4" s="1"/>
  <c r="EA161" i="4" s="1"/>
  <c r="EA162" i="4" s="1"/>
  <c r="EA163" i="4" s="1"/>
  <c r="EG149" i="4"/>
  <c r="ES149" i="4"/>
  <c r="ES150" i="4" s="1"/>
  <c r="ES151" i="4" s="1"/>
  <c r="ES152" i="4" s="1"/>
  <c r="ES153" i="4" s="1"/>
  <c r="ES154" i="4" s="1"/>
  <c r="ES155" i="4" s="1"/>
  <c r="ES156" i="4" s="1"/>
  <c r="ES157" i="4" s="1"/>
  <c r="ES158" i="4" s="1"/>
  <c r="ES159" i="4" s="1"/>
  <c r="ES160" i="4" s="1"/>
  <c r="ES161" i="4" s="1"/>
  <c r="ES162" i="4" s="1"/>
  <c r="ES163" i="4" s="1"/>
  <c r="FB149" i="4"/>
  <c r="FE149" i="4"/>
  <c r="FE150" i="4" s="1"/>
  <c r="FE151" i="4" s="1"/>
  <c r="FE152" i="4" s="1"/>
  <c r="FE153" i="4" s="1"/>
  <c r="FE154" i="4" s="1"/>
  <c r="FE155" i="4" s="1"/>
  <c r="FE156" i="4" s="1"/>
  <c r="FE157" i="4" s="1"/>
  <c r="FE158" i="4" s="1"/>
  <c r="FE159" i="4" s="1"/>
  <c r="FE160" i="4" s="1"/>
  <c r="FE161" i="4" s="1"/>
  <c r="FE162" i="4" s="1"/>
  <c r="FE163" i="4" s="1"/>
  <c r="EG150" i="4"/>
  <c r="EG151" i="4" s="1"/>
  <c r="EG152" i="4" s="1"/>
  <c r="EG153" i="4" s="1"/>
  <c r="EG154" i="4" s="1"/>
  <c r="EG155" i="4" s="1"/>
  <c r="EG156" i="4" s="1"/>
  <c r="EG157" i="4" s="1"/>
  <c r="EG158" i="4" s="1"/>
  <c r="EG159" i="4" s="1"/>
  <c r="EG160" i="4" s="1"/>
  <c r="EG161" i="4" s="1"/>
  <c r="EG162" i="4" s="1"/>
  <c r="EG163" i="4" s="1"/>
  <c r="FB150" i="4"/>
  <c r="FB151" i="4" s="1"/>
  <c r="FB152" i="4" s="1"/>
  <c r="FB153" i="4" s="1"/>
  <c r="FB154" i="4" s="1"/>
  <c r="FB155" i="4" s="1"/>
  <c r="FB156" i="4" s="1"/>
  <c r="FB157" i="4" s="1"/>
  <c r="FB158" i="4" s="1"/>
  <c r="FB159" i="4" s="1"/>
  <c r="FB160" i="4" s="1"/>
  <c r="FB161" i="4" s="1"/>
  <c r="FB162" i="4" s="1"/>
  <c r="FB163" i="4" s="1"/>
  <c r="FH150" i="4"/>
  <c r="FH151" i="4"/>
  <c r="FH152" i="4" s="1"/>
  <c r="FH153" i="4" s="1"/>
  <c r="FH154" i="4" s="1"/>
  <c r="FH155" i="4" s="1"/>
  <c r="FH156" i="4" s="1"/>
  <c r="FH157" i="4" s="1"/>
  <c r="FH158" i="4" s="1"/>
  <c r="FH159" i="4" s="1"/>
  <c r="FH160" i="4" s="1"/>
  <c r="FH161" i="4" s="1"/>
  <c r="FH162" i="4" s="1"/>
  <c r="FH163" i="4" s="1"/>
  <c r="FK151" i="4"/>
  <c r="FK152" i="4"/>
  <c r="FN152" i="4"/>
  <c r="FN153" i="4" s="1"/>
  <c r="FN154" i="4" s="1"/>
  <c r="FN155" i="4" s="1"/>
  <c r="FN156" i="4" s="1"/>
  <c r="FN157" i="4" s="1"/>
  <c r="FN158" i="4" s="1"/>
  <c r="FN159" i="4" s="1"/>
  <c r="FN160" i="4" s="1"/>
  <c r="FN161" i="4" s="1"/>
  <c r="FN162" i="4" s="1"/>
  <c r="FN163" i="4" s="1"/>
  <c r="FK153" i="4"/>
  <c r="FQ153" i="4"/>
  <c r="FK154" i="4"/>
  <c r="FK155" i="4" s="1"/>
  <c r="FK156" i="4" s="1"/>
  <c r="FK157" i="4" s="1"/>
  <c r="FK158" i="4" s="1"/>
  <c r="FK159" i="4" s="1"/>
  <c r="FK160" i="4" s="1"/>
  <c r="FK161" i="4" s="1"/>
  <c r="FK162" i="4" s="1"/>
  <c r="FK163" i="4" s="1"/>
  <c r="FQ154" i="4"/>
  <c r="FQ155" i="4" s="1"/>
  <c r="FQ156" i="4" s="1"/>
  <c r="FQ157" i="4" s="1"/>
  <c r="FQ158" i="4" s="1"/>
  <c r="FQ159" i="4" s="1"/>
  <c r="FQ160" i="4" s="1"/>
  <c r="FQ161" i="4" s="1"/>
  <c r="FQ162" i="4" s="1"/>
  <c r="FQ163" i="4" s="1"/>
  <c r="FT154" i="4"/>
  <c r="FT155" i="4" s="1"/>
  <c r="FT156" i="4" s="1"/>
  <c r="FT157" i="4" s="1"/>
  <c r="FT158" i="4" s="1"/>
  <c r="FT159" i="4" s="1"/>
  <c r="FT160" i="4" s="1"/>
  <c r="FT161" i="4" s="1"/>
  <c r="FT162" i="4" s="1"/>
  <c r="FT163" i="4" s="1"/>
  <c r="FW155" i="4"/>
  <c r="FW156" i="4"/>
  <c r="FZ156" i="4"/>
  <c r="FZ157" i="4" s="1"/>
  <c r="FZ158" i="4" s="1"/>
  <c r="FZ159" i="4" s="1"/>
  <c r="FZ160" i="4" s="1"/>
  <c r="FZ161" i="4" s="1"/>
  <c r="FZ162" i="4" s="1"/>
  <c r="FZ163" i="4" s="1"/>
  <c r="FW157" i="4"/>
  <c r="FW158" i="4" s="1"/>
  <c r="FW159" i="4" s="1"/>
  <c r="FW160" i="4" s="1"/>
  <c r="FW161" i="4" s="1"/>
  <c r="FW162" i="4" s="1"/>
  <c r="FW163" i="4" s="1"/>
  <c r="GC157" i="4"/>
  <c r="GC158" i="4"/>
  <c r="GC159" i="4" s="1"/>
  <c r="GC160" i="4" s="1"/>
  <c r="GC161" i="4" s="1"/>
  <c r="GC162" i="4" s="1"/>
  <c r="GC163" i="4" s="1"/>
  <c r="GF158" i="4"/>
  <c r="GF159" i="4" s="1"/>
  <c r="GF160" i="4" s="1"/>
  <c r="GF161" i="4" s="1"/>
  <c r="GF162" i="4" s="1"/>
  <c r="GF163" i="4" s="1"/>
  <c r="GI159" i="4"/>
  <c r="GI160" i="4" s="1"/>
  <c r="GI161" i="4" s="1"/>
  <c r="GI162" i="4" s="1"/>
  <c r="GI163" i="4" s="1"/>
  <c r="GL160" i="4"/>
  <c r="GL161" i="4" s="1"/>
  <c r="GL162" i="4" s="1"/>
  <c r="GL163" i="4" s="1"/>
  <c r="GO161" i="4"/>
  <c r="GO162" i="4"/>
  <c r="GO163" i="4" s="1"/>
  <c r="GR162" i="4"/>
  <c r="GR163" i="4" s="1"/>
  <c r="GU163" i="4"/>
  <c r="D1" i="10"/>
  <c r="C13" i="10"/>
  <c r="H14" i="10"/>
  <c r="H15" i="10"/>
  <c r="H74" i="10" s="1"/>
  <c r="D23" i="2" s="1"/>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4" i="10"/>
  <c r="H65" i="10"/>
  <c r="H66" i="10"/>
  <c r="H67" i="10"/>
  <c r="H68" i="10"/>
  <c r="H69" i="10"/>
  <c r="H70" i="10"/>
  <c r="H71" i="10"/>
  <c r="H72" i="10"/>
  <c r="H73" i="10"/>
  <c r="D10" i="10"/>
  <c r="D28" i="9"/>
  <c r="D30" i="9"/>
  <c r="A33" i="9"/>
  <c r="A42" i="9"/>
  <c r="A44" i="9"/>
  <c r="D72" i="9"/>
  <c r="D73" i="9"/>
  <c r="E73" i="9"/>
  <c r="D76" i="9"/>
  <c r="D77" i="9"/>
  <c r="D78" i="9"/>
  <c r="D79" i="9"/>
  <c r="C83" i="9"/>
  <c r="C84" i="9"/>
  <c r="C85" i="9"/>
  <c r="D182" i="9"/>
  <c r="E186" i="9"/>
  <c r="F186" i="9"/>
  <c r="E187" i="9"/>
  <c r="F187" i="9"/>
  <c r="E188" i="9"/>
  <c r="F188" i="9"/>
  <c r="E189" i="9"/>
  <c r="F189" i="9"/>
  <c r="E190" i="9"/>
  <c r="F190" i="9"/>
  <c r="E191" i="9"/>
  <c r="F191" i="9"/>
  <c r="E192" i="9"/>
  <c r="F192" i="9"/>
  <c r="E193" i="9"/>
  <c r="F193" i="9"/>
  <c r="E194" i="9"/>
  <c r="F194" i="9"/>
  <c r="E195" i="9"/>
  <c r="F195" i="9"/>
  <c r="E196" i="9"/>
  <c r="F196" i="9"/>
  <c r="E197" i="9"/>
  <c r="F197" i="9"/>
  <c r="E198" i="9"/>
  <c r="F198" i="9"/>
  <c r="E199" i="9"/>
  <c r="F199" i="9"/>
  <c r="E200" i="9"/>
  <c r="F200" i="9"/>
  <c r="E201" i="9"/>
  <c r="F201" i="9"/>
  <c r="E202" i="9"/>
  <c r="F202" i="9"/>
  <c r="E203" i="9"/>
  <c r="F203" i="9"/>
  <c r="E204" i="9"/>
  <c r="F204" i="9"/>
  <c r="E205" i="9"/>
  <c r="F205" i="9"/>
  <c r="E206" i="9"/>
  <c r="F206" i="9"/>
  <c r="E207" i="9"/>
  <c r="F207" i="9"/>
  <c r="E208" i="9"/>
  <c r="F208" i="9"/>
  <c r="E209" i="9"/>
  <c r="F209" i="9"/>
  <c r="E210" i="9"/>
  <c r="F210" i="9"/>
  <c r="E211" i="9"/>
  <c r="F211" i="9"/>
  <c r="E212" i="9"/>
  <c r="F212" i="9"/>
  <c r="E213" i="9"/>
  <c r="F213" i="9"/>
  <c r="E214" i="9"/>
  <c r="F214" i="9"/>
  <c r="E222" i="9"/>
  <c r="F222" i="9"/>
  <c r="E223" i="9"/>
  <c r="F223" i="9"/>
  <c r="E224" i="9"/>
  <c r="F224" i="9"/>
  <c r="E225" i="9"/>
  <c r="F225" i="9"/>
  <c r="E226" i="9"/>
  <c r="F226" i="9"/>
  <c r="E227" i="9"/>
  <c r="F227" i="9"/>
  <c r="E228" i="9"/>
  <c r="F228" i="9"/>
  <c r="E229" i="9"/>
  <c r="F229" i="9"/>
  <c r="E230" i="9"/>
  <c r="F230" i="9"/>
  <c r="E231" i="9"/>
  <c r="F231" i="9"/>
  <c r="E232" i="9"/>
  <c r="F232" i="9"/>
  <c r="E233" i="9"/>
  <c r="F233" i="9"/>
  <c r="E234" i="9"/>
  <c r="F234" i="9"/>
  <c r="E235" i="9"/>
  <c r="F235" i="9"/>
  <c r="E236" i="9"/>
  <c r="F236" i="9"/>
  <c r="E237" i="9"/>
  <c r="F237" i="9"/>
  <c r="E238" i="9"/>
  <c r="F238" i="9"/>
  <c r="E239" i="9"/>
  <c r="F239" i="9"/>
  <c r="E240" i="9"/>
  <c r="F240" i="9"/>
  <c r="B241" i="9"/>
  <c r="E241" i="9"/>
  <c r="F241" i="9"/>
  <c r="B242" i="9"/>
  <c r="E242" i="9"/>
  <c r="F242" i="9"/>
  <c r="B243" i="9"/>
  <c r="E243" i="9"/>
  <c r="F243" i="9"/>
  <c r="B244" i="9"/>
  <c r="E244" i="9"/>
  <c r="F244" i="9"/>
  <c r="B245" i="9"/>
  <c r="E245" i="9"/>
  <c r="F245" i="9"/>
  <c r="B246" i="9"/>
  <c r="E246" i="9"/>
  <c r="F246" i="9"/>
  <c r="B247" i="9"/>
  <c r="E247" i="9"/>
  <c r="F247" i="9"/>
  <c r="B248" i="9"/>
  <c r="E248" i="9"/>
  <c r="F248" i="9"/>
  <c r="B249" i="9"/>
  <c r="E249" i="9"/>
  <c r="F249" i="9"/>
  <c r="B250" i="9"/>
  <c r="E250" i="9"/>
  <c r="F250" i="9"/>
  <c r="B320" i="9"/>
  <c r="C320" i="9"/>
  <c r="D320" i="9"/>
  <c r="E320" i="9"/>
  <c r="F320" i="9"/>
  <c r="G320" i="9"/>
  <c r="B479" i="9"/>
  <c r="C479" i="9"/>
  <c r="D479" i="9"/>
  <c r="E479" i="9"/>
  <c r="F479" i="9"/>
  <c r="G479" i="9"/>
  <c r="D9" i="5"/>
  <c r="D90" i="9"/>
  <c r="E9" i="5"/>
  <c r="E90" i="9"/>
  <c r="D319" i="9"/>
  <c r="G319" i="9"/>
  <c r="D375" i="9"/>
  <c r="G375" i="9"/>
  <c r="D432" i="9"/>
  <c r="G432" i="9"/>
  <c r="D478" i="9"/>
  <c r="G478" i="9"/>
  <c r="D534" i="9"/>
  <c r="G534" i="9"/>
  <c r="G591" i="9"/>
  <c r="O7" i="5"/>
  <c r="E477" i="9" s="1"/>
  <c r="L7" i="5"/>
  <c r="B477" i="9" s="1"/>
  <c r="B533" i="9"/>
  <c r="I7" i="5"/>
  <c r="E318" i="9" s="1"/>
  <c r="F7" i="5"/>
  <c r="B318" i="9" s="1"/>
  <c r="A122" i="5"/>
  <c r="A604" i="9" s="1"/>
  <c r="A121" i="5"/>
  <c r="A603" i="9" s="1"/>
  <c r="A120" i="5"/>
  <c r="A602" i="9" s="1"/>
  <c r="A119" i="5"/>
  <c r="A601" i="9" s="1"/>
  <c r="A118" i="5"/>
  <c r="A600" i="9" s="1"/>
  <c r="A117" i="5"/>
  <c r="A599" i="9" s="1"/>
  <c r="A116" i="5"/>
  <c r="A598" i="9" s="1"/>
  <c r="A115" i="5"/>
  <c r="A597" i="9" s="1"/>
  <c r="A114" i="5"/>
  <c r="A596" i="9" s="1"/>
  <c r="A113" i="5"/>
  <c r="A595" i="9" s="1"/>
  <c r="A112" i="5"/>
  <c r="A594" i="9" s="1"/>
  <c r="A111" i="5"/>
  <c r="A593" i="9" s="1"/>
  <c r="A110" i="5"/>
  <c r="A592" i="9" s="1"/>
  <c r="A109" i="5"/>
  <c r="A585" i="9" s="1"/>
  <c r="A108" i="5"/>
  <c r="A584" i="9" s="1"/>
  <c r="A107" i="5"/>
  <c r="A583" i="9" s="1"/>
  <c r="A106" i="5"/>
  <c r="A582" i="9" s="1"/>
  <c r="A105" i="5"/>
  <c r="A581" i="9" s="1"/>
  <c r="A104" i="5"/>
  <c r="A580" i="9" s="1"/>
  <c r="A103" i="5"/>
  <c r="A579" i="9" s="1"/>
  <c r="A102" i="5"/>
  <c r="A578" i="9" s="1"/>
  <c r="A101" i="5"/>
  <c r="A577" i="9" s="1"/>
  <c r="A100" i="5"/>
  <c r="A576" i="9" s="1"/>
  <c r="A99" i="5"/>
  <c r="A575" i="9" s="1"/>
  <c r="A98" i="5"/>
  <c r="A574" i="9" s="1"/>
  <c r="A97" i="5"/>
  <c r="A573" i="9" s="1"/>
  <c r="A96" i="5"/>
  <c r="A572" i="9" s="1"/>
  <c r="A95" i="5"/>
  <c r="A571" i="9" s="1"/>
  <c r="A94" i="5"/>
  <c r="A570" i="9" s="1"/>
  <c r="A93" i="5"/>
  <c r="A569" i="9" s="1"/>
  <c r="A92" i="5"/>
  <c r="A568" i="9" s="1"/>
  <c r="A91" i="5"/>
  <c r="A567" i="9" s="1"/>
  <c r="A90" i="5"/>
  <c r="A566" i="9" s="1"/>
  <c r="A89" i="5"/>
  <c r="A565" i="9" s="1"/>
  <c r="A88" i="5"/>
  <c r="A564" i="9" s="1"/>
  <c r="A87" i="5"/>
  <c r="A563" i="9" s="1"/>
  <c r="A86" i="5"/>
  <c r="A562" i="9" s="1"/>
  <c r="A85" i="5"/>
  <c r="A561" i="9" s="1"/>
  <c r="A84" i="5"/>
  <c r="A560" i="9" s="1"/>
  <c r="A83" i="5"/>
  <c r="A559" i="9" s="1"/>
  <c r="A82" i="5"/>
  <c r="A558" i="9" s="1"/>
  <c r="A81" i="5"/>
  <c r="A557" i="9" s="1"/>
  <c r="A80" i="5"/>
  <c r="A556" i="9" s="1"/>
  <c r="A79" i="5"/>
  <c r="A555" i="9" s="1"/>
  <c r="A78" i="5"/>
  <c r="A554" i="9" s="1"/>
  <c r="A77" i="5"/>
  <c r="A553" i="9" s="1"/>
  <c r="A76" i="5"/>
  <c r="A552" i="9" s="1"/>
  <c r="A75" i="5"/>
  <c r="A551" i="9" s="1"/>
  <c r="A74" i="5"/>
  <c r="A550" i="9" s="1"/>
  <c r="A73" i="5"/>
  <c r="A549" i="9" s="1"/>
  <c r="A72" i="5"/>
  <c r="A548" i="9" s="1"/>
  <c r="A71" i="5"/>
  <c r="A547" i="9" s="1"/>
  <c r="A70" i="5"/>
  <c r="A546" i="9" s="1"/>
  <c r="A69" i="5"/>
  <c r="A545" i="9" s="1"/>
  <c r="A68" i="5"/>
  <c r="A544" i="9" s="1"/>
  <c r="A67" i="5"/>
  <c r="A543" i="9" s="1"/>
  <c r="A66" i="5"/>
  <c r="A542" i="9" s="1"/>
  <c r="A65" i="5"/>
  <c r="A541" i="9" s="1"/>
  <c r="A64" i="5"/>
  <c r="A540" i="9" s="1"/>
  <c r="A63" i="5"/>
  <c r="A539" i="9" s="1"/>
  <c r="A62" i="5"/>
  <c r="A538" i="9" s="1"/>
  <c r="A61" i="5"/>
  <c r="A537" i="9" s="1"/>
  <c r="A60" i="5"/>
  <c r="A536" i="9" s="1"/>
  <c r="A59" i="5"/>
  <c r="A535" i="9" s="1"/>
  <c r="A58" i="5"/>
  <c r="A528" i="9" s="1"/>
  <c r="A57" i="5"/>
  <c r="A527" i="9" s="1"/>
  <c r="A56" i="5"/>
  <c r="A526" i="9" s="1"/>
  <c r="A55" i="5"/>
  <c r="A525" i="9" s="1"/>
  <c r="A54" i="5"/>
  <c r="A524" i="9" s="1"/>
  <c r="A53" i="5"/>
  <c r="A523" i="9" s="1"/>
  <c r="A52" i="5"/>
  <c r="A522" i="9" s="1"/>
  <c r="A51" i="5"/>
  <c r="A521" i="9" s="1"/>
  <c r="A50" i="5"/>
  <c r="A520" i="9" s="1"/>
  <c r="A49" i="5"/>
  <c r="A519" i="9" s="1"/>
  <c r="A48" i="5"/>
  <c r="A518" i="9" s="1"/>
  <c r="A47" i="5"/>
  <c r="A517" i="9" s="1"/>
  <c r="A46" i="5"/>
  <c r="A516" i="9" s="1"/>
  <c r="A45" i="5"/>
  <c r="A515" i="9" s="1"/>
  <c r="A44" i="5"/>
  <c r="A514" i="9" s="1"/>
  <c r="A43" i="5"/>
  <c r="A513" i="9" s="1"/>
  <c r="A42" i="5"/>
  <c r="A512" i="9" s="1"/>
  <c r="A41" i="5"/>
  <c r="A511" i="9" s="1"/>
  <c r="A40" i="5"/>
  <c r="A510" i="9" s="1"/>
  <c r="A39" i="5"/>
  <c r="A509" i="9" s="1"/>
  <c r="A38" i="5"/>
  <c r="A508" i="9" s="1"/>
  <c r="A37" i="5"/>
  <c r="A507" i="9" s="1"/>
  <c r="A36" i="5"/>
  <c r="A506" i="9" s="1"/>
  <c r="A35" i="5"/>
  <c r="A505" i="9" s="1"/>
  <c r="A34" i="5"/>
  <c r="A504" i="9" s="1"/>
  <c r="A33" i="5"/>
  <c r="A503" i="9" s="1"/>
  <c r="A32" i="5"/>
  <c r="A502" i="9" s="1"/>
  <c r="A31" i="5"/>
  <c r="A501" i="9" s="1"/>
  <c r="A30" i="5"/>
  <c r="A500" i="9" s="1"/>
  <c r="A29" i="5"/>
  <c r="A499" i="9" s="1"/>
  <c r="A28" i="5"/>
  <c r="A498" i="9" s="1"/>
  <c r="A27" i="5"/>
  <c r="A497" i="9" s="1"/>
  <c r="A26" i="5"/>
  <c r="A496" i="9" s="1"/>
  <c r="A25" i="5"/>
  <c r="A495" i="9" s="1"/>
  <c r="A24" i="5"/>
  <c r="A494" i="9" s="1"/>
  <c r="A23" i="5"/>
  <c r="A493" i="9" s="1"/>
  <c r="A22" i="5"/>
  <c r="A492" i="9" s="1"/>
  <c r="A21" i="5"/>
  <c r="A491" i="9" s="1"/>
  <c r="A20" i="5"/>
  <c r="A490" i="9" s="1"/>
  <c r="A19" i="5"/>
  <c r="A489" i="9" s="1"/>
  <c r="A18" i="5"/>
  <c r="A488" i="9" s="1"/>
  <c r="A17" i="5"/>
  <c r="A487" i="9" s="1"/>
  <c r="A16" i="5"/>
  <c r="A486" i="9" s="1"/>
  <c r="A15" i="5"/>
  <c r="A485" i="9" s="1"/>
  <c r="A14" i="5"/>
  <c r="A484" i="9" s="1"/>
  <c r="A13" i="5"/>
  <c r="A483" i="9" s="1"/>
  <c r="A12" i="5"/>
  <c r="A482" i="9" s="1"/>
  <c r="A11" i="5"/>
  <c r="A481" i="9" s="1"/>
  <c r="A10" i="5"/>
  <c r="A480" i="9" s="1"/>
  <c r="A9" i="5"/>
  <c r="A479" i="9" s="1"/>
  <c r="A442" i="9"/>
  <c r="A438" i="9"/>
  <c r="A434" i="9"/>
  <c r="A424" i="9"/>
  <c r="A420" i="9"/>
  <c r="A416" i="9"/>
  <c r="A412" i="9"/>
  <c r="A408" i="9"/>
  <c r="A404" i="9"/>
  <c r="A400" i="9"/>
  <c r="A396" i="9"/>
  <c r="A392" i="9"/>
  <c r="A388" i="9"/>
  <c r="A384" i="9"/>
  <c r="A380" i="9"/>
  <c r="A376" i="9"/>
  <c r="A366" i="9"/>
  <c r="A362" i="9"/>
  <c r="A358" i="9"/>
  <c r="A354" i="9"/>
  <c r="A350" i="9"/>
  <c r="A346" i="9"/>
  <c r="A342" i="9"/>
  <c r="A338" i="9"/>
  <c r="A334" i="9"/>
  <c r="A330" i="9"/>
  <c r="A326" i="9"/>
  <c r="A322" i="9"/>
  <c r="A173" i="9"/>
  <c r="A169" i="9"/>
  <c r="A165" i="9"/>
  <c r="A161" i="9"/>
  <c r="A157" i="9"/>
  <c r="A153" i="9"/>
  <c r="A149" i="9"/>
  <c r="A145" i="9"/>
  <c r="A141" i="9"/>
  <c r="A137" i="9"/>
  <c r="A128" i="9"/>
  <c r="A124" i="9"/>
  <c r="A120" i="9"/>
  <c r="A116" i="9"/>
  <c r="A112" i="9"/>
  <c r="A108" i="9"/>
  <c r="A104" i="9"/>
  <c r="A100" i="9"/>
  <c r="A96" i="9"/>
  <c r="A92" i="9"/>
  <c r="E1" i="5"/>
  <c r="E5" i="2"/>
  <c r="K7" i="2"/>
  <c r="L7" i="2" s="1"/>
  <c r="B9" i="2"/>
  <c r="D12" i="2"/>
  <c r="E13" i="2"/>
  <c r="G13" i="2"/>
  <c r="E14" i="2"/>
  <c r="E15" i="2"/>
  <c r="G15" i="2"/>
  <c r="E17" i="2"/>
  <c r="D18" i="2"/>
  <c r="E19"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B76" i="3" l="1"/>
  <c r="B81" i="3" s="1"/>
  <c r="B77" i="3"/>
  <c r="B82" i="3" s="1"/>
  <c r="G76" i="4"/>
  <c r="H76" i="4" s="1"/>
  <c r="L12" i="2"/>
  <c r="L11" i="2"/>
  <c r="L10" i="2"/>
  <c r="L9" i="2"/>
  <c r="L8" i="2"/>
  <c r="B374" i="9"/>
  <c r="G96" i="4"/>
  <c r="H96" i="4" s="1"/>
  <c r="G88" i="4"/>
  <c r="H88" i="4" s="1"/>
  <c r="G80" i="4"/>
  <c r="H80" i="4" s="1"/>
  <c r="G72" i="4"/>
  <c r="H72" i="4" s="1"/>
  <c r="G64" i="4"/>
  <c r="H64" i="4" s="1"/>
  <c r="G56" i="4"/>
  <c r="H56" i="4" s="1"/>
  <c r="G48" i="4"/>
  <c r="H48" i="4" s="1"/>
  <c r="G35" i="4"/>
  <c r="H35" i="4" s="1"/>
  <c r="B84" i="3"/>
  <c r="E533" i="9"/>
  <c r="E374" i="9"/>
  <c r="D47" i="4"/>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G94" i="4"/>
  <c r="H94" i="4" s="1"/>
  <c r="G90" i="4"/>
  <c r="H90" i="4" s="1"/>
  <c r="G86" i="4"/>
  <c r="H86" i="4" s="1"/>
  <c r="G74" i="4"/>
  <c r="H74" i="4" s="1"/>
  <c r="G62" i="4"/>
  <c r="H62" i="4" s="1"/>
  <c r="G31" i="4"/>
  <c r="H31" i="4" s="1"/>
  <c r="J44" i="8"/>
  <c r="J28" i="8"/>
  <c r="J12" i="8"/>
  <c r="G98" i="4"/>
  <c r="H98" i="4" s="1"/>
  <c r="G82" i="4"/>
  <c r="H82" i="4" s="1"/>
  <c r="G78" i="4"/>
  <c r="H78" i="4" s="1"/>
  <c r="G70" i="4"/>
  <c r="H70" i="4" s="1"/>
  <c r="G66" i="4"/>
  <c r="H66" i="4" s="1"/>
  <c r="G58" i="4"/>
  <c r="H58" i="4" s="1"/>
  <c r="G54" i="4"/>
  <c r="H54" i="4" s="1"/>
  <c r="G50" i="4"/>
  <c r="H50" i="4" s="1"/>
  <c r="G46" i="4"/>
  <c r="H46" i="4" s="1"/>
  <c r="G39" i="4"/>
  <c r="H39" i="4" s="1"/>
  <c r="G27" i="4"/>
  <c r="G97" i="4"/>
  <c r="H97" i="4" s="1"/>
  <c r="G95" i="4"/>
  <c r="H95" i="4" s="1"/>
  <c r="G93" i="4"/>
  <c r="H93" i="4" s="1"/>
  <c r="G91" i="4"/>
  <c r="H91" i="4" s="1"/>
  <c r="G89" i="4"/>
  <c r="H89" i="4" s="1"/>
  <c r="G81" i="4"/>
  <c r="H81" i="4" s="1"/>
  <c r="G67" i="4"/>
  <c r="H67" i="4" s="1"/>
  <c r="G57" i="4"/>
  <c r="H57" i="4" s="1"/>
  <c r="G37" i="4"/>
  <c r="H37" i="4" s="1"/>
  <c r="G33" i="4"/>
  <c r="H33" i="4" s="1"/>
  <c r="G25" i="4"/>
  <c r="H25" i="4" s="1"/>
  <c r="G99" i="4"/>
  <c r="H99" i="4" s="1"/>
  <c r="G87" i="4"/>
  <c r="H87" i="4" s="1"/>
  <c r="G85" i="4"/>
  <c r="H85" i="4" s="1"/>
  <c r="G83" i="4"/>
  <c r="H83" i="4" s="1"/>
  <c r="G79" i="4"/>
  <c r="H79" i="4" s="1"/>
  <c r="G77" i="4"/>
  <c r="H77" i="4" s="1"/>
  <c r="G75" i="4"/>
  <c r="H75" i="4" s="1"/>
  <c r="G73" i="4"/>
  <c r="H73" i="4" s="1"/>
  <c r="G71" i="4"/>
  <c r="H71" i="4" s="1"/>
  <c r="G69" i="4"/>
  <c r="H69" i="4" s="1"/>
  <c r="G65" i="4"/>
  <c r="H65" i="4" s="1"/>
  <c r="G63" i="4"/>
  <c r="H63" i="4" s="1"/>
  <c r="G61" i="4"/>
  <c r="H61" i="4" s="1"/>
  <c r="G59" i="4"/>
  <c r="H59" i="4" s="1"/>
  <c r="G55" i="4"/>
  <c r="H55" i="4" s="1"/>
  <c r="G53" i="4"/>
  <c r="H53" i="4" s="1"/>
  <c r="G51" i="4"/>
  <c r="H51" i="4" s="1"/>
  <c r="G49" i="4"/>
  <c r="H49" i="4" s="1"/>
  <c r="G47" i="4"/>
  <c r="H47" i="4" s="1"/>
  <c r="G45" i="4"/>
  <c r="H45" i="4" s="1"/>
  <c r="G41" i="4"/>
  <c r="H41" i="4" s="1"/>
  <c r="G29" i="4"/>
  <c r="H29" i="4" s="1"/>
  <c r="D75" i="4"/>
  <c r="D76" i="4" s="1"/>
  <c r="D77" i="4" s="1"/>
  <c r="G42" i="4"/>
  <c r="H42" i="4" s="1"/>
  <c r="G40" i="4"/>
  <c r="H40" i="4" s="1"/>
  <c r="G38" i="4"/>
  <c r="H38" i="4" s="1"/>
  <c r="G36" i="4"/>
  <c r="H36" i="4" s="1"/>
  <c r="G34" i="4"/>
  <c r="H34" i="4" s="1"/>
  <c r="G32" i="4"/>
  <c r="H32" i="4" s="1"/>
  <c r="G30" i="4"/>
  <c r="H30" i="4" s="1"/>
  <c r="G28" i="4"/>
  <c r="H28" i="4" s="1"/>
  <c r="G26" i="4"/>
  <c r="H26" i="4" s="1"/>
  <c r="G24" i="4"/>
  <c r="H24" i="4" s="1"/>
  <c r="J48" i="8"/>
  <c r="J32" i="8"/>
  <c r="J16" i="8"/>
  <c r="J56" i="8"/>
  <c r="J51" i="8"/>
  <c r="J46" i="8"/>
  <c r="J40" i="8"/>
  <c r="J35" i="8"/>
  <c r="J30" i="8"/>
  <c r="J24" i="8"/>
  <c r="J19" i="8"/>
  <c r="J14" i="8"/>
  <c r="J8" i="8"/>
  <c r="J67" i="8"/>
  <c r="J63" i="8"/>
  <c r="J59" i="8"/>
  <c r="J52" i="8"/>
  <c r="J47" i="8"/>
  <c r="J36" i="8"/>
  <c r="J31" i="8"/>
  <c r="J20" i="8"/>
  <c r="J15" i="8"/>
  <c r="J65" i="8"/>
  <c r="J61" i="8"/>
  <c r="J55" i="8"/>
  <c r="J54" i="8"/>
  <c r="J43" i="8"/>
  <c r="J39" i="8"/>
  <c r="J38" i="8"/>
  <c r="J27" i="8"/>
  <c r="J23" i="8"/>
  <c r="J22" i="8"/>
  <c r="J11" i="8"/>
  <c r="J7" i="8"/>
  <c r="I53" i="8"/>
  <c r="J53" i="8"/>
  <c r="I45" i="8"/>
  <c r="J45" i="8"/>
  <c r="I37" i="8"/>
  <c r="J37" i="8"/>
  <c r="I29" i="8"/>
  <c r="J29" i="8"/>
  <c r="I21" i="8"/>
  <c r="J21" i="8"/>
  <c r="I13" i="8"/>
  <c r="J13" i="8"/>
  <c r="A90" i="9"/>
  <c r="A94" i="9"/>
  <c r="A98" i="9"/>
  <c r="A102" i="9"/>
  <c r="A106" i="9"/>
  <c r="A110" i="9"/>
  <c r="A114" i="9"/>
  <c r="A118" i="9"/>
  <c r="A122" i="9"/>
  <c r="A126" i="9"/>
  <c r="A135" i="9"/>
  <c r="A139" i="9"/>
  <c r="A143" i="9"/>
  <c r="A147" i="9"/>
  <c r="A151" i="9"/>
  <c r="A155" i="9"/>
  <c r="A159" i="9"/>
  <c r="A163" i="9"/>
  <c r="A167" i="9"/>
  <c r="A171" i="9"/>
  <c r="A320" i="9"/>
  <c r="A324" i="9"/>
  <c r="A328" i="9"/>
  <c r="A332" i="9"/>
  <c r="A336" i="9"/>
  <c r="A340" i="9"/>
  <c r="A344" i="9"/>
  <c r="A348" i="9"/>
  <c r="A352" i="9"/>
  <c r="A356" i="9"/>
  <c r="A360" i="9"/>
  <c r="A364" i="9"/>
  <c r="A368" i="9"/>
  <c r="A378" i="9"/>
  <c r="A382" i="9"/>
  <c r="A386" i="9"/>
  <c r="A390" i="9"/>
  <c r="A394" i="9"/>
  <c r="A398" i="9"/>
  <c r="A402" i="9"/>
  <c r="A406" i="9"/>
  <c r="A410" i="9"/>
  <c r="A414" i="9"/>
  <c r="A418" i="9"/>
  <c r="A422" i="9"/>
  <c r="A426" i="9"/>
  <c r="A436" i="9"/>
  <c r="A440" i="9"/>
  <c r="A444" i="9"/>
  <c r="J68" i="8"/>
  <c r="J66" i="8"/>
  <c r="J64" i="8"/>
  <c r="J62" i="8"/>
  <c r="J60" i="8"/>
  <c r="J58" i="8"/>
  <c r="I57" i="8"/>
  <c r="J57" i="8"/>
  <c r="J50" i="8"/>
  <c r="I49" i="8"/>
  <c r="J49" i="8"/>
  <c r="J42" i="8"/>
  <c r="I41" i="8"/>
  <c r="J41" i="8"/>
  <c r="J34" i="8"/>
  <c r="I33" i="8"/>
  <c r="J33" i="8"/>
  <c r="J26" i="8"/>
  <c r="I25" i="8"/>
  <c r="J25" i="8"/>
  <c r="J18" i="8"/>
  <c r="I17" i="8"/>
  <c r="J17" i="8"/>
  <c r="J10" i="8"/>
  <c r="I9" i="8"/>
  <c r="J9" i="8"/>
  <c r="I138" i="4"/>
  <c r="A123" i="5"/>
  <c r="Q104" i="4"/>
  <c r="Q105" i="4" s="1"/>
  <c r="Q106" i="4" s="1"/>
  <c r="N102" i="4"/>
  <c r="N103" i="4" s="1"/>
  <c r="A91" i="9"/>
  <c r="A93" i="9"/>
  <c r="A95" i="9"/>
  <c r="A97" i="9"/>
  <c r="A99" i="9"/>
  <c r="A101" i="9"/>
  <c r="A103" i="9"/>
  <c r="A105" i="9"/>
  <c r="A107" i="9"/>
  <c r="A109" i="9"/>
  <c r="A111" i="9"/>
  <c r="A113" i="9"/>
  <c r="A115" i="9"/>
  <c r="A117" i="9"/>
  <c r="A119" i="9"/>
  <c r="A121" i="9"/>
  <c r="A123" i="9"/>
  <c r="A125" i="9"/>
  <c r="A127" i="9"/>
  <c r="A129" i="9"/>
  <c r="A136" i="9"/>
  <c r="A138" i="9"/>
  <c r="A140" i="9"/>
  <c r="A142" i="9"/>
  <c r="A144" i="9"/>
  <c r="A146" i="9"/>
  <c r="A148" i="9"/>
  <c r="A150" i="9"/>
  <c r="A152" i="9"/>
  <c r="A154" i="9"/>
  <c r="A156" i="9"/>
  <c r="A158" i="9"/>
  <c r="A160" i="9"/>
  <c r="A162" i="9"/>
  <c r="A164" i="9"/>
  <c r="A166" i="9"/>
  <c r="A168" i="9"/>
  <c r="A170" i="9"/>
  <c r="A172" i="9"/>
  <c r="A174" i="9"/>
  <c r="A321" i="9"/>
  <c r="A323" i="9"/>
  <c r="A325" i="9"/>
  <c r="A327" i="9"/>
  <c r="A329" i="9"/>
  <c r="A331" i="9"/>
  <c r="A333" i="9"/>
  <c r="A335" i="9"/>
  <c r="A337" i="9"/>
  <c r="A339" i="9"/>
  <c r="A341" i="9"/>
  <c r="A343" i="9"/>
  <c r="A345" i="9"/>
  <c r="A347" i="9"/>
  <c r="A349" i="9"/>
  <c r="A351" i="9"/>
  <c r="A353" i="9"/>
  <c r="A355" i="9"/>
  <c r="A357" i="9"/>
  <c r="A359" i="9"/>
  <c r="A361" i="9"/>
  <c r="A363" i="9"/>
  <c r="A365" i="9"/>
  <c r="A367" i="9"/>
  <c r="A369" i="9"/>
  <c r="A377" i="9"/>
  <c r="A379" i="9"/>
  <c r="A381" i="9"/>
  <c r="A383" i="9"/>
  <c r="A385" i="9"/>
  <c r="A387" i="9"/>
  <c r="A389" i="9"/>
  <c r="A391" i="9"/>
  <c r="A393" i="9"/>
  <c r="A395" i="9"/>
  <c r="A397" i="9"/>
  <c r="A399" i="9"/>
  <c r="A401" i="9"/>
  <c r="A403" i="9"/>
  <c r="A405" i="9"/>
  <c r="A407" i="9"/>
  <c r="A409" i="9"/>
  <c r="A411" i="9"/>
  <c r="A413" i="9"/>
  <c r="A415" i="9"/>
  <c r="A417" i="9"/>
  <c r="A419" i="9"/>
  <c r="A421" i="9"/>
  <c r="A423" i="9"/>
  <c r="A425" i="9"/>
  <c r="A433" i="9"/>
  <c r="A435" i="9"/>
  <c r="A437" i="9"/>
  <c r="A439" i="9"/>
  <c r="A441" i="9"/>
  <c r="A443" i="9"/>
  <c r="A445" i="9"/>
  <c r="B431" i="9"/>
  <c r="E431" i="9"/>
  <c r="B590" i="9"/>
  <c r="E590" i="9"/>
  <c r="K100" i="4"/>
  <c r="K101" i="4" s="1"/>
  <c r="D591" i="9"/>
  <c r="B83" i="3"/>
  <c r="J12" i="2"/>
  <c r="B26" i="4"/>
  <c r="H27" i="4" l="1"/>
  <c r="G102" i="4"/>
  <c r="D13" i="4" s="1"/>
  <c r="D78" i="4"/>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A605" i="9"/>
  <c r="A446" i="9"/>
  <c r="I139" i="4"/>
  <c r="A124" i="5"/>
  <c r="J13" i="2"/>
  <c r="B27" i="4"/>
  <c r="K102" i="4"/>
  <c r="N104" i="4"/>
  <c r="Q107" i="4"/>
  <c r="K8" i="7"/>
  <c r="H102" i="4" l="1"/>
  <c r="F13" i="4"/>
  <c r="D16" i="4"/>
  <c r="D15" i="4"/>
  <c r="E18" i="4" s="1"/>
  <c r="F6" i="7"/>
  <c r="C19" i="4"/>
  <c r="E24" i="4"/>
  <c r="E23" i="4"/>
  <c r="E25" i="4"/>
  <c r="E26" i="4"/>
  <c r="U28" i="4" s="1"/>
  <c r="V28" i="4" s="1"/>
  <c r="A606" i="9"/>
  <c r="A447" i="9"/>
  <c r="I140" i="4"/>
  <c r="A125" i="5"/>
  <c r="Q108" i="4"/>
  <c r="N105" i="4"/>
  <c r="K103" i="4"/>
  <c r="J14" i="2"/>
  <c r="B28" i="4"/>
  <c r="E27" i="4"/>
  <c r="K9" i="7"/>
  <c r="U156" i="4" l="1"/>
  <c r="V156" i="4" s="1"/>
  <c r="U125" i="4"/>
  <c r="V125" i="4" s="1"/>
  <c r="U99" i="4"/>
  <c r="V99" i="4" s="1"/>
  <c r="U141" i="4"/>
  <c r="V141" i="4" s="1"/>
  <c r="U109" i="4"/>
  <c r="V109" i="4" s="1"/>
  <c r="U82" i="4"/>
  <c r="V82" i="4" s="1"/>
  <c r="L8" i="7"/>
  <c r="B93" i="9" s="1"/>
  <c r="U149" i="4"/>
  <c r="V149" i="4" s="1"/>
  <c r="U133" i="4"/>
  <c r="V133" i="4" s="1"/>
  <c r="U117" i="4"/>
  <c r="V117" i="4" s="1"/>
  <c r="U98" i="4"/>
  <c r="V98" i="4" s="1"/>
  <c r="U79" i="4"/>
  <c r="V79" i="4" s="1"/>
  <c r="U59" i="4"/>
  <c r="V59" i="4" s="1"/>
  <c r="U160" i="4"/>
  <c r="V160" i="4" s="1"/>
  <c r="U153" i="4"/>
  <c r="V153" i="4" s="1"/>
  <c r="U145" i="4"/>
  <c r="V145" i="4" s="1"/>
  <c r="U137" i="4"/>
  <c r="V137" i="4" s="1"/>
  <c r="U129" i="4"/>
  <c r="V129" i="4" s="1"/>
  <c r="U121" i="4"/>
  <c r="V121" i="4" s="1"/>
  <c r="U113" i="4"/>
  <c r="V113" i="4" s="1"/>
  <c r="U102" i="4"/>
  <c r="V102" i="4" s="1"/>
  <c r="U89" i="4"/>
  <c r="V89" i="4" s="1"/>
  <c r="U91" i="4"/>
  <c r="V91" i="4" s="1"/>
  <c r="U90" i="4"/>
  <c r="V90" i="4" s="1"/>
  <c r="U64" i="4"/>
  <c r="V64" i="4" s="1"/>
  <c r="U54" i="4"/>
  <c r="V54" i="4" s="1"/>
  <c r="B12" i="5"/>
  <c r="U162" i="4"/>
  <c r="V162" i="4" s="1"/>
  <c r="U158" i="4"/>
  <c r="V158" i="4" s="1"/>
  <c r="U154" i="4"/>
  <c r="V154" i="4" s="1"/>
  <c r="U151" i="4"/>
  <c r="V151" i="4" s="1"/>
  <c r="U147" i="4"/>
  <c r="V147" i="4" s="1"/>
  <c r="U143" i="4"/>
  <c r="V143" i="4" s="1"/>
  <c r="U139" i="4"/>
  <c r="V139" i="4" s="1"/>
  <c r="U135" i="4"/>
  <c r="V135" i="4" s="1"/>
  <c r="U131" i="4"/>
  <c r="V131" i="4" s="1"/>
  <c r="U127" i="4"/>
  <c r="V127" i="4" s="1"/>
  <c r="U123" i="4"/>
  <c r="V123" i="4" s="1"/>
  <c r="U119" i="4"/>
  <c r="V119" i="4" s="1"/>
  <c r="U115" i="4"/>
  <c r="V115" i="4" s="1"/>
  <c r="U111" i="4"/>
  <c r="V111" i="4" s="1"/>
  <c r="U107" i="4"/>
  <c r="V107" i="4" s="1"/>
  <c r="U104" i="4"/>
  <c r="V104" i="4" s="1"/>
  <c r="U94" i="4"/>
  <c r="V94" i="4" s="1"/>
  <c r="U103" i="4"/>
  <c r="V103" i="4" s="1"/>
  <c r="U95" i="4"/>
  <c r="V95" i="4" s="1"/>
  <c r="U83" i="4"/>
  <c r="V83" i="4" s="1"/>
  <c r="U74" i="4"/>
  <c r="V74" i="4" s="1"/>
  <c r="U86" i="4"/>
  <c r="V86" i="4" s="1"/>
  <c r="U76" i="4"/>
  <c r="V76" i="4" s="1"/>
  <c r="U69" i="4"/>
  <c r="V69" i="4" s="1"/>
  <c r="U60" i="4"/>
  <c r="V60" i="4" s="1"/>
  <c r="U45" i="4"/>
  <c r="V45" i="4" s="1"/>
  <c r="E19" i="4"/>
  <c r="C12" i="5"/>
  <c r="U163" i="4"/>
  <c r="V163" i="4" s="1"/>
  <c r="U161" i="4"/>
  <c r="V161" i="4" s="1"/>
  <c r="U159" i="4"/>
  <c r="V159" i="4" s="1"/>
  <c r="U157" i="4"/>
  <c r="V157" i="4" s="1"/>
  <c r="U155" i="4"/>
  <c r="V155" i="4" s="1"/>
  <c r="M8" i="7"/>
  <c r="C93" i="9" s="1"/>
  <c r="U152" i="4"/>
  <c r="V152" i="4" s="1"/>
  <c r="U150" i="4"/>
  <c r="V150" i="4" s="1"/>
  <c r="U148" i="4"/>
  <c r="V148" i="4" s="1"/>
  <c r="U146" i="4"/>
  <c r="V146" i="4" s="1"/>
  <c r="U144" i="4"/>
  <c r="V144" i="4" s="1"/>
  <c r="U142" i="4"/>
  <c r="V142" i="4" s="1"/>
  <c r="U140" i="4"/>
  <c r="V140" i="4" s="1"/>
  <c r="U138" i="4"/>
  <c r="V138" i="4" s="1"/>
  <c r="U136" i="4"/>
  <c r="V136" i="4" s="1"/>
  <c r="U134" i="4"/>
  <c r="V134" i="4" s="1"/>
  <c r="U132" i="4"/>
  <c r="V132" i="4" s="1"/>
  <c r="U130" i="4"/>
  <c r="V130" i="4" s="1"/>
  <c r="U128" i="4"/>
  <c r="V128" i="4" s="1"/>
  <c r="U126" i="4"/>
  <c r="V126" i="4" s="1"/>
  <c r="U124" i="4"/>
  <c r="V124" i="4" s="1"/>
  <c r="U122" i="4"/>
  <c r="V122" i="4" s="1"/>
  <c r="U120" i="4"/>
  <c r="V120" i="4" s="1"/>
  <c r="U118" i="4"/>
  <c r="V118" i="4" s="1"/>
  <c r="U116" i="4"/>
  <c r="V116" i="4" s="1"/>
  <c r="U114" i="4"/>
  <c r="V114" i="4" s="1"/>
  <c r="U112" i="4"/>
  <c r="V112" i="4" s="1"/>
  <c r="U110" i="4"/>
  <c r="V110" i="4" s="1"/>
  <c r="U108" i="4"/>
  <c r="V108" i="4" s="1"/>
  <c r="U106" i="4"/>
  <c r="V106" i="4" s="1"/>
  <c r="U105" i="4"/>
  <c r="V105" i="4" s="1"/>
  <c r="U100" i="4"/>
  <c r="V100" i="4" s="1"/>
  <c r="U96" i="4"/>
  <c r="V96" i="4" s="1"/>
  <c r="U92" i="4"/>
  <c r="V92" i="4" s="1"/>
  <c r="U85" i="4"/>
  <c r="V85" i="4" s="1"/>
  <c r="U101" i="4"/>
  <c r="V101" i="4" s="1"/>
  <c r="U97" i="4"/>
  <c r="V97" i="4" s="1"/>
  <c r="U93" i="4"/>
  <c r="V93" i="4" s="1"/>
  <c r="U87" i="4"/>
  <c r="V87" i="4" s="1"/>
  <c r="U81" i="4"/>
  <c r="V81" i="4" s="1"/>
  <c r="U77" i="4"/>
  <c r="V77" i="4" s="1"/>
  <c r="U70" i="4"/>
  <c r="V70" i="4" s="1"/>
  <c r="U88" i="4"/>
  <c r="V88" i="4" s="1"/>
  <c r="U84" i="4"/>
  <c r="V84" i="4" s="1"/>
  <c r="U80" i="4"/>
  <c r="V80" i="4" s="1"/>
  <c r="U68" i="4"/>
  <c r="V68" i="4" s="1"/>
  <c r="U73" i="4"/>
  <c r="V73" i="4" s="1"/>
  <c r="U65" i="4"/>
  <c r="V65" i="4" s="1"/>
  <c r="U63" i="4"/>
  <c r="V63" i="4" s="1"/>
  <c r="U56" i="4"/>
  <c r="V56" i="4" s="1"/>
  <c r="U47" i="4"/>
  <c r="V47" i="4" s="1"/>
  <c r="U33" i="4"/>
  <c r="V33" i="4" s="1"/>
  <c r="U43" i="4"/>
  <c r="V43" i="4" s="1"/>
  <c r="U37" i="4"/>
  <c r="V37" i="4" s="1"/>
  <c r="U29" i="4"/>
  <c r="V29" i="4" s="1"/>
  <c r="U51" i="4"/>
  <c r="V51" i="4" s="1"/>
  <c r="U49" i="4"/>
  <c r="V49" i="4" s="1"/>
  <c r="U39" i="4"/>
  <c r="V39" i="4" s="1"/>
  <c r="U41" i="4"/>
  <c r="V41" i="4" s="1"/>
  <c r="U35" i="4"/>
  <c r="V35" i="4" s="1"/>
  <c r="U31" i="4"/>
  <c r="V31" i="4" s="1"/>
  <c r="U27" i="4"/>
  <c r="V27" i="4" s="1"/>
  <c r="F5" i="7"/>
  <c r="D70" i="9" s="1"/>
  <c r="D4" i="5"/>
  <c r="C18" i="4"/>
  <c r="U78" i="4"/>
  <c r="V78" i="4" s="1"/>
  <c r="U72" i="4"/>
  <c r="V72" i="4" s="1"/>
  <c r="U66" i="4"/>
  <c r="V66" i="4" s="1"/>
  <c r="U75" i="4"/>
  <c r="V75" i="4" s="1"/>
  <c r="U71" i="4"/>
  <c r="V71" i="4" s="1"/>
  <c r="U67" i="4"/>
  <c r="V67" i="4" s="1"/>
  <c r="U62" i="4"/>
  <c r="V62" i="4" s="1"/>
  <c r="U58" i="4"/>
  <c r="V58" i="4" s="1"/>
  <c r="U61" i="4"/>
  <c r="V61" i="4" s="1"/>
  <c r="U57" i="4"/>
  <c r="V57" i="4" s="1"/>
  <c r="U55" i="4"/>
  <c r="V55" i="4" s="1"/>
  <c r="U53" i="4"/>
  <c r="V53" i="4" s="1"/>
  <c r="U52" i="4"/>
  <c r="V52" i="4" s="1"/>
  <c r="U50" i="4"/>
  <c r="V50" i="4" s="1"/>
  <c r="U46" i="4"/>
  <c r="V46" i="4" s="1"/>
  <c r="U48" i="4"/>
  <c r="V48" i="4" s="1"/>
  <c r="U42" i="4"/>
  <c r="V42" i="4" s="1"/>
  <c r="U38" i="4"/>
  <c r="V38" i="4" s="1"/>
  <c r="U44" i="4"/>
  <c r="V44" i="4" s="1"/>
  <c r="U40" i="4"/>
  <c r="V40" i="4" s="1"/>
  <c r="U36" i="4"/>
  <c r="V36" i="4" s="1"/>
  <c r="U34" i="4"/>
  <c r="V34" i="4" s="1"/>
  <c r="U32" i="4"/>
  <c r="V32" i="4" s="1"/>
  <c r="U30" i="4"/>
  <c r="V30" i="4" s="1"/>
  <c r="L29" i="4"/>
  <c r="M29" i="4" s="1"/>
  <c r="L30" i="4"/>
  <c r="M30" i="4" s="1"/>
  <c r="L31" i="4"/>
  <c r="M31" i="4" s="1"/>
  <c r="L32" i="4"/>
  <c r="M32" i="4" s="1"/>
  <c r="L33" i="4"/>
  <c r="M33" i="4" s="1"/>
  <c r="L34" i="4"/>
  <c r="M34" i="4" s="1"/>
  <c r="L35" i="4"/>
  <c r="M35" i="4" s="1"/>
  <c r="L36" i="4"/>
  <c r="M36" i="4" s="1"/>
  <c r="L37" i="4"/>
  <c r="M37" i="4" s="1"/>
  <c r="L38" i="4"/>
  <c r="M38" i="4" s="1"/>
  <c r="L39" i="4"/>
  <c r="M39" i="4" s="1"/>
  <c r="L40" i="4"/>
  <c r="M40" i="4" s="1"/>
  <c r="L41" i="4"/>
  <c r="M41" i="4" s="1"/>
  <c r="L42" i="4"/>
  <c r="M42" i="4" s="1"/>
  <c r="L43" i="4"/>
  <c r="M43" i="4" s="1"/>
  <c r="L44" i="4"/>
  <c r="M44" i="4" s="1"/>
  <c r="L45" i="4"/>
  <c r="M45" i="4" s="1"/>
  <c r="L46" i="4"/>
  <c r="M46" i="4" s="1"/>
  <c r="L47" i="4"/>
  <c r="M47" i="4" s="1"/>
  <c r="L48" i="4"/>
  <c r="M48" i="4" s="1"/>
  <c r="L49" i="4"/>
  <c r="M49" i="4" s="1"/>
  <c r="L50" i="4"/>
  <c r="M50" i="4" s="1"/>
  <c r="L51" i="4"/>
  <c r="M51" i="4" s="1"/>
  <c r="L52" i="4"/>
  <c r="M52" i="4" s="1"/>
  <c r="F24" i="4"/>
  <c r="L70" i="4"/>
  <c r="M70" i="4" s="1"/>
  <c r="L74" i="4"/>
  <c r="M74" i="4" s="1"/>
  <c r="L53" i="4"/>
  <c r="M53" i="4" s="1"/>
  <c r="L55" i="4"/>
  <c r="M55" i="4" s="1"/>
  <c r="L57" i="4"/>
  <c r="M57" i="4" s="1"/>
  <c r="L59" i="4"/>
  <c r="M59" i="4" s="1"/>
  <c r="L61" i="4"/>
  <c r="M61" i="4" s="1"/>
  <c r="L63" i="4"/>
  <c r="M63" i="4" s="1"/>
  <c r="L64" i="4"/>
  <c r="M64" i="4" s="1"/>
  <c r="L66" i="4"/>
  <c r="M66" i="4" s="1"/>
  <c r="L69" i="4"/>
  <c r="M69" i="4" s="1"/>
  <c r="L73" i="4"/>
  <c r="M73" i="4" s="1"/>
  <c r="L79" i="4"/>
  <c r="M79" i="4" s="1"/>
  <c r="L83" i="4"/>
  <c r="M83" i="4" s="1"/>
  <c r="L87" i="4"/>
  <c r="M87" i="4" s="1"/>
  <c r="L91" i="4"/>
  <c r="M91" i="4" s="1"/>
  <c r="L93" i="4"/>
  <c r="M93" i="4" s="1"/>
  <c r="L95" i="4"/>
  <c r="M95" i="4" s="1"/>
  <c r="L96" i="4"/>
  <c r="M96" i="4" s="1"/>
  <c r="L98" i="4"/>
  <c r="M98" i="4" s="1"/>
  <c r="L100" i="4"/>
  <c r="M100" i="4" s="1"/>
  <c r="L102" i="4"/>
  <c r="M102" i="4" s="1"/>
  <c r="L104" i="4"/>
  <c r="L106" i="4"/>
  <c r="L108" i="4"/>
  <c r="L110" i="4"/>
  <c r="L54" i="4"/>
  <c r="M54" i="4" s="1"/>
  <c r="L56" i="4"/>
  <c r="M56" i="4" s="1"/>
  <c r="L58" i="4"/>
  <c r="M58" i="4" s="1"/>
  <c r="L60" i="4"/>
  <c r="M60" i="4" s="1"/>
  <c r="L62" i="4"/>
  <c r="M62" i="4" s="1"/>
  <c r="L65" i="4"/>
  <c r="M65" i="4" s="1"/>
  <c r="L67" i="4"/>
  <c r="M67" i="4" s="1"/>
  <c r="L68" i="4"/>
  <c r="M68" i="4" s="1"/>
  <c r="L71" i="4"/>
  <c r="M71" i="4" s="1"/>
  <c r="L72" i="4"/>
  <c r="M72" i="4" s="1"/>
  <c r="L75" i="4"/>
  <c r="M75" i="4" s="1"/>
  <c r="L76" i="4"/>
  <c r="M76" i="4" s="1"/>
  <c r="L77" i="4"/>
  <c r="M77" i="4" s="1"/>
  <c r="L78" i="4"/>
  <c r="M78" i="4" s="1"/>
  <c r="L80" i="4"/>
  <c r="M80" i="4" s="1"/>
  <c r="L81" i="4"/>
  <c r="M81" i="4" s="1"/>
  <c r="L82" i="4"/>
  <c r="M82" i="4" s="1"/>
  <c r="L84" i="4"/>
  <c r="M84" i="4" s="1"/>
  <c r="L85" i="4"/>
  <c r="M85" i="4" s="1"/>
  <c r="L86" i="4"/>
  <c r="M86" i="4" s="1"/>
  <c r="L88" i="4"/>
  <c r="M88" i="4" s="1"/>
  <c r="L89" i="4"/>
  <c r="M89" i="4" s="1"/>
  <c r="L90" i="4"/>
  <c r="M90" i="4" s="1"/>
  <c r="L92" i="4"/>
  <c r="M92" i="4" s="1"/>
  <c r="L94" i="4"/>
  <c r="M94" i="4" s="1"/>
  <c r="L97" i="4"/>
  <c r="M97" i="4" s="1"/>
  <c r="L99" i="4"/>
  <c r="M99" i="4" s="1"/>
  <c r="L101" i="4"/>
  <c r="M101" i="4" s="1"/>
  <c r="L103" i="4"/>
  <c r="L105" i="4"/>
  <c r="L107" i="4"/>
  <c r="L109" i="4"/>
  <c r="L111" i="4"/>
  <c r="L113" i="4"/>
  <c r="L115" i="4"/>
  <c r="L117" i="4"/>
  <c r="L119" i="4"/>
  <c r="L121" i="4"/>
  <c r="L123" i="4"/>
  <c r="L125" i="4"/>
  <c r="L127" i="4"/>
  <c r="L129" i="4"/>
  <c r="L131" i="4"/>
  <c r="L133" i="4"/>
  <c r="L135" i="4"/>
  <c r="L137" i="4"/>
  <c r="L139" i="4"/>
  <c r="L141" i="4"/>
  <c r="L143" i="4"/>
  <c r="L145" i="4"/>
  <c r="L114" i="4"/>
  <c r="L118" i="4"/>
  <c r="L122" i="4"/>
  <c r="L126" i="4"/>
  <c r="L130" i="4"/>
  <c r="L134" i="4"/>
  <c r="L138" i="4"/>
  <c r="L142" i="4"/>
  <c r="L147" i="4"/>
  <c r="L149" i="4"/>
  <c r="L151" i="4"/>
  <c r="L153" i="4"/>
  <c r="L155" i="4"/>
  <c r="L157" i="4"/>
  <c r="L159" i="4"/>
  <c r="L161" i="4"/>
  <c r="L163" i="4"/>
  <c r="L5" i="7"/>
  <c r="B90" i="9" s="1"/>
  <c r="B9" i="5"/>
  <c r="C9" i="5"/>
  <c r="L112" i="4"/>
  <c r="L116" i="4"/>
  <c r="L120" i="4"/>
  <c r="L124" i="4"/>
  <c r="L128" i="4"/>
  <c r="L132" i="4"/>
  <c r="L136" i="4"/>
  <c r="L140" i="4"/>
  <c r="L144" i="4"/>
  <c r="L146" i="4"/>
  <c r="L148" i="4"/>
  <c r="L150" i="4"/>
  <c r="L152" i="4"/>
  <c r="L154" i="4"/>
  <c r="L156" i="4"/>
  <c r="L158" i="4"/>
  <c r="L160" i="4"/>
  <c r="L162" i="4"/>
  <c r="L24" i="4"/>
  <c r="M24" i="4" s="1"/>
  <c r="J24" i="4" s="1"/>
  <c r="M5" i="7"/>
  <c r="C90" i="9" s="1"/>
  <c r="L26" i="4"/>
  <c r="M26" i="4" s="1"/>
  <c r="L28" i="4"/>
  <c r="M28" i="4" s="1"/>
  <c r="L25" i="4"/>
  <c r="M25" i="4" s="1"/>
  <c r="L27" i="4"/>
  <c r="M27" i="4" s="1"/>
  <c r="R70" i="4"/>
  <c r="S70" i="4" s="1"/>
  <c r="R74" i="4"/>
  <c r="S74" i="4" s="1"/>
  <c r="R79" i="4"/>
  <c r="S79" i="4" s="1"/>
  <c r="R83" i="4"/>
  <c r="S83" i="4" s="1"/>
  <c r="R87" i="4"/>
  <c r="S87" i="4" s="1"/>
  <c r="R91" i="4"/>
  <c r="S91" i="4" s="1"/>
  <c r="R93" i="4"/>
  <c r="S93" i="4" s="1"/>
  <c r="R95" i="4"/>
  <c r="S95" i="4" s="1"/>
  <c r="R96" i="4"/>
  <c r="S96" i="4" s="1"/>
  <c r="R98" i="4"/>
  <c r="S98" i="4" s="1"/>
  <c r="R100" i="4"/>
  <c r="S100" i="4" s="1"/>
  <c r="R102" i="4"/>
  <c r="S102" i="4" s="1"/>
  <c r="R104" i="4"/>
  <c r="S104" i="4" s="1"/>
  <c r="R106" i="4"/>
  <c r="S106" i="4" s="1"/>
  <c r="R108" i="4"/>
  <c r="R69" i="4"/>
  <c r="S69" i="4" s="1"/>
  <c r="R73" i="4"/>
  <c r="S73" i="4" s="1"/>
  <c r="R78" i="4"/>
  <c r="S78" i="4" s="1"/>
  <c r="R82" i="4"/>
  <c r="S82" i="4" s="1"/>
  <c r="R86" i="4"/>
  <c r="S86" i="4" s="1"/>
  <c r="R90" i="4"/>
  <c r="S90" i="4" s="1"/>
  <c r="R92" i="4"/>
  <c r="S92" i="4" s="1"/>
  <c r="R94" i="4"/>
  <c r="S94" i="4" s="1"/>
  <c r="R97" i="4"/>
  <c r="S97" i="4" s="1"/>
  <c r="R99" i="4"/>
  <c r="S99" i="4" s="1"/>
  <c r="R101" i="4"/>
  <c r="S101" i="4" s="1"/>
  <c r="R103" i="4"/>
  <c r="S103" i="4" s="1"/>
  <c r="R105" i="4"/>
  <c r="S105" i="4" s="1"/>
  <c r="R107" i="4"/>
  <c r="S107" i="4" s="1"/>
  <c r="R109" i="4"/>
  <c r="R111" i="4"/>
  <c r="R113" i="4"/>
  <c r="R115" i="4"/>
  <c r="R117" i="4"/>
  <c r="R119" i="4"/>
  <c r="R121" i="4"/>
  <c r="R123" i="4"/>
  <c r="R125" i="4"/>
  <c r="R127" i="4"/>
  <c r="R129" i="4"/>
  <c r="R131" i="4"/>
  <c r="R133" i="4"/>
  <c r="R135" i="4"/>
  <c r="R137" i="4"/>
  <c r="R139" i="4"/>
  <c r="R141" i="4"/>
  <c r="R143" i="4"/>
  <c r="R112" i="4"/>
  <c r="R116" i="4"/>
  <c r="R120" i="4"/>
  <c r="R124" i="4"/>
  <c r="R128" i="4"/>
  <c r="R132" i="4"/>
  <c r="R136" i="4"/>
  <c r="R140" i="4"/>
  <c r="R144" i="4"/>
  <c r="R145" i="4"/>
  <c r="R147" i="4"/>
  <c r="R149" i="4"/>
  <c r="R151" i="4"/>
  <c r="R153" i="4"/>
  <c r="R155" i="4"/>
  <c r="R157" i="4"/>
  <c r="R159" i="4"/>
  <c r="R161" i="4"/>
  <c r="R163" i="4"/>
  <c r="L7" i="7"/>
  <c r="B92" i="9" s="1"/>
  <c r="B11" i="5"/>
  <c r="C11" i="5"/>
  <c r="R110" i="4"/>
  <c r="R114" i="4"/>
  <c r="R118" i="4"/>
  <c r="R122" i="4"/>
  <c r="R126" i="4"/>
  <c r="R130" i="4"/>
  <c r="R134" i="4"/>
  <c r="R138" i="4"/>
  <c r="R142" i="4"/>
  <c r="R146" i="4"/>
  <c r="R148" i="4"/>
  <c r="R150" i="4"/>
  <c r="R152" i="4"/>
  <c r="R154" i="4"/>
  <c r="R156" i="4"/>
  <c r="R158" i="4"/>
  <c r="R160" i="4"/>
  <c r="R162" i="4"/>
  <c r="M7" i="7"/>
  <c r="C92" i="9" s="1"/>
  <c r="R35" i="4"/>
  <c r="S35" i="4" s="1"/>
  <c r="R37" i="4"/>
  <c r="S37" i="4" s="1"/>
  <c r="R41" i="4"/>
  <c r="S41" i="4" s="1"/>
  <c r="R47" i="4"/>
  <c r="S47" i="4" s="1"/>
  <c r="R53" i="4"/>
  <c r="S53" i="4" s="1"/>
  <c r="R55" i="4"/>
  <c r="S55" i="4" s="1"/>
  <c r="R57" i="4"/>
  <c r="S57" i="4" s="1"/>
  <c r="R60" i="4"/>
  <c r="S60" i="4" s="1"/>
  <c r="R62" i="4"/>
  <c r="S62" i="4" s="1"/>
  <c r="R66" i="4"/>
  <c r="S66" i="4" s="1"/>
  <c r="R40" i="4"/>
  <c r="S40" i="4" s="1"/>
  <c r="R44" i="4"/>
  <c r="S44" i="4" s="1"/>
  <c r="R46" i="4"/>
  <c r="S46" i="4" s="1"/>
  <c r="R50" i="4"/>
  <c r="S50" i="4" s="1"/>
  <c r="R52" i="4"/>
  <c r="S52" i="4" s="1"/>
  <c r="R63" i="4"/>
  <c r="S63" i="4" s="1"/>
  <c r="R67" i="4"/>
  <c r="S67" i="4" s="1"/>
  <c r="R71" i="4"/>
  <c r="S71" i="4" s="1"/>
  <c r="R75" i="4"/>
  <c r="S75" i="4" s="1"/>
  <c r="R77" i="4"/>
  <c r="S77" i="4" s="1"/>
  <c r="R81" i="4"/>
  <c r="S81" i="4" s="1"/>
  <c r="R85" i="4"/>
  <c r="S85" i="4" s="1"/>
  <c r="R89" i="4"/>
  <c r="S89" i="4" s="1"/>
  <c r="R26" i="4"/>
  <c r="S26" i="4" s="1"/>
  <c r="R28" i="4"/>
  <c r="S28" i="4" s="1"/>
  <c r="R33" i="4"/>
  <c r="S33" i="4" s="1"/>
  <c r="R31" i="4"/>
  <c r="S31" i="4" s="1"/>
  <c r="R29" i="4"/>
  <c r="S29" i="4" s="1"/>
  <c r="R36" i="4"/>
  <c r="S36" i="4" s="1"/>
  <c r="R39" i="4"/>
  <c r="S39" i="4" s="1"/>
  <c r="R43" i="4"/>
  <c r="S43" i="4" s="1"/>
  <c r="R49" i="4"/>
  <c r="S49" i="4" s="1"/>
  <c r="R54" i="4"/>
  <c r="S54" i="4" s="1"/>
  <c r="R56" i="4"/>
  <c r="S56" i="4" s="1"/>
  <c r="R58" i="4"/>
  <c r="S58" i="4" s="1"/>
  <c r="R61" i="4"/>
  <c r="S61" i="4" s="1"/>
  <c r="R65" i="4"/>
  <c r="S65" i="4" s="1"/>
  <c r="R38" i="4"/>
  <c r="S38" i="4" s="1"/>
  <c r="R42" i="4"/>
  <c r="S42" i="4" s="1"/>
  <c r="R45" i="4"/>
  <c r="S45" i="4" s="1"/>
  <c r="R48" i="4"/>
  <c r="S48" i="4" s="1"/>
  <c r="R51" i="4"/>
  <c r="S51" i="4" s="1"/>
  <c r="R59" i="4"/>
  <c r="S59" i="4" s="1"/>
  <c r="R64" i="4"/>
  <c r="S64" i="4" s="1"/>
  <c r="R68" i="4"/>
  <c r="S68" i="4" s="1"/>
  <c r="R72" i="4"/>
  <c r="S72" i="4" s="1"/>
  <c r="R76" i="4"/>
  <c r="S76" i="4" s="1"/>
  <c r="R80" i="4"/>
  <c r="S80" i="4" s="1"/>
  <c r="R84" i="4"/>
  <c r="S84" i="4" s="1"/>
  <c r="R88" i="4"/>
  <c r="S88" i="4" s="1"/>
  <c r="R27" i="4"/>
  <c r="S27" i="4" s="1"/>
  <c r="R34" i="4"/>
  <c r="S34" i="4" s="1"/>
  <c r="R32" i="4"/>
  <c r="S32" i="4" s="1"/>
  <c r="R30" i="4"/>
  <c r="S30" i="4" s="1"/>
  <c r="O44" i="4"/>
  <c r="P44" i="4" s="1"/>
  <c r="O45" i="4"/>
  <c r="P45" i="4" s="1"/>
  <c r="O50" i="4"/>
  <c r="P50" i="4" s="1"/>
  <c r="O51" i="4"/>
  <c r="P51" i="4" s="1"/>
  <c r="O52" i="4"/>
  <c r="P52" i="4" s="1"/>
  <c r="O53" i="4"/>
  <c r="P53" i="4" s="1"/>
  <c r="O54" i="4"/>
  <c r="P54" i="4" s="1"/>
  <c r="O55" i="4"/>
  <c r="P55" i="4" s="1"/>
  <c r="O56" i="4"/>
  <c r="P56" i="4" s="1"/>
  <c r="O57" i="4"/>
  <c r="P57" i="4" s="1"/>
  <c r="O58" i="4"/>
  <c r="P58" i="4" s="1"/>
  <c r="O59" i="4"/>
  <c r="P59" i="4" s="1"/>
  <c r="O60" i="4"/>
  <c r="P60" i="4" s="1"/>
  <c r="O61" i="4"/>
  <c r="P61" i="4" s="1"/>
  <c r="O62" i="4"/>
  <c r="P62" i="4" s="1"/>
  <c r="O64" i="4"/>
  <c r="P64" i="4" s="1"/>
  <c r="O65" i="4"/>
  <c r="P65" i="4" s="1"/>
  <c r="O66" i="4"/>
  <c r="P66" i="4" s="1"/>
  <c r="O68" i="4"/>
  <c r="P68" i="4" s="1"/>
  <c r="O69" i="4"/>
  <c r="P69" i="4" s="1"/>
  <c r="O72" i="4"/>
  <c r="P72" i="4" s="1"/>
  <c r="O73" i="4"/>
  <c r="P73" i="4" s="1"/>
  <c r="O30" i="4"/>
  <c r="P30" i="4" s="1"/>
  <c r="O32" i="4"/>
  <c r="P32" i="4" s="1"/>
  <c r="O34" i="4"/>
  <c r="P34" i="4" s="1"/>
  <c r="O36" i="4"/>
  <c r="P36" i="4" s="1"/>
  <c r="O38" i="4"/>
  <c r="P38" i="4" s="1"/>
  <c r="O40" i="4"/>
  <c r="P40" i="4" s="1"/>
  <c r="O42" i="4"/>
  <c r="P42" i="4" s="1"/>
  <c r="O46" i="4"/>
  <c r="P46" i="4" s="1"/>
  <c r="O48" i="4"/>
  <c r="P48" i="4" s="1"/>
  <c r="O67" i="4"/>
  <c r="P67" i="4" s="1"/>
  <c r="O70" i="4"/>
  <c r="P70" i="4" s="1"/>
  <c r="O71" i="4"/>
  <c r="P71" i="4" s="1"/>
  <c r="O74" i="4"/>
  <c r="P74" i="4" s="1"/>
  <c r="O75" i="4"/>
  <c r="P75" i="4" s="1"/>
  <c r="O77" i="4"/>
  <c r="P77" i="4" s="1"/>
  <c r="O78" i="4"/>
  <c r="P78" i="4" s="1"/>
  <c r="O81" i="4"/>
  <c r="P81" i="4" s="1"/>
  <c r="O82" i="4"/>
  <c r="P82" i="4" s="1"/>
  <c r="O85" i="4"/>
  <c r="P85" i="4" s="1"/>
  <c r="O86" i="4"/>
  <c r="P86" i="4" s="1"/>
  <c r="O89" i="4"/>
  <c r="P89" i="4" s="1"/>
  <c r="O90" i="4"/>
  <c r="P90" i="4" s="1"/>
  <c r="O92" i="4"/>
  <c r="P92" i="4" s="1"/>
  <c r="O94" i="4"/>
  <c r="P94" i="4" s="1"/>
  <c r="O95" i="4"/>
  <c r="P95" i="4" s="1"/>
  <c r="O97" i="4"/>
  <c r="P97" i="4" s="1"/>
  <c r="O99" i="4"/>
  <c r="P99" i="4" s="1"/>
  <c r="O101" i="4"/>
  <c r="P101" i="4" s="1"/>
  <c r="O103" i="4"/>
  <c r="P103" i="4" s="1"/>
  <c r="O105" i="4"/>
  <c r="O107" i="4"/>
  <c r="O109" i="4"/>
  <c r="O29" i="4"/>
  <c r="P29" i="4" s="1"/>
  <c r="O31" i="4"/>
  <c r="P31" i="4" s="1"/>
  <c r="O33" i="4"/>
  <c r="P33" i="4" s="1"/>
  <c r="O35" i="4"/>
  <c r="P35" i="4" s="1"/>
  <c r="O37" i="4"/>
  <c r="P37" i="4" s="1"/>
  <c r="O39" i="4"/>
  <c r="P39" i="4" s="1"/>
  <c r="O41" i="4"/>
  <c r="P41" i="4" s="1"/>
  <c r="O43" i="4"/>
  <c r="P43" i="4" s="1"/>
  <c r="O47" i="4"/>
  <c r="P47" i="4" s="1"/>
  <c r="O49" i="4"/>
  <c r="P49" i="4" s="1"/>
  <c r="O63" i="4"/>
  <c r="P63" i="4" s="1"/>
  <c r="O76" i="4"/>
  <c r="P76" i="4" s="1"/>
  <c r="O79" i="4"/>
  <c r="P79" i="4" s="1"/>
  <c r="O80" i="4"/>
  <c r="P80" i="4" s="1"/>
  <c r="O83" i="4"/>
  <c r="P83" i="4" s="1"/>
  <c r="O84" i="4"/>
  <c r="P84" i="4" s="1"/>
  <c r="O87" i="4"/>
  <c r="P87" i="4" s="1"/>
  <c r="O88" i="4"/>
  <c r="P88" i="4" s="1"/>
  <c r="O91" i="4"/>
  <c r="P91" i="4" s="1"/>
  <c r="O93" i="4"/>
  <c r="P93" i="4" s="1"/>
  <c r="O96" i="4"/>
  <c r="P96" i="4" s="1"/>
  <c r="O98" i="4"/>
  <c r="P98" i="4" s="1"/>
  <c r="O100" i="4"/>
  <c r="P100" i="4" s="1"/>
  <c r="O102" i="4"/>
  <c r="P102" i="4" s="1"/>
  <c r="O104" i="4"/>
  <c r="P104" i="4" s="1"/>
  <c r="O106" i="4"/>
  <c r="O108" i="4"/>
  <c r="O110" i="4"/>
  <c r="O112" i="4"/>
  <c r="O114" i="4"/>
  <c r="O116" i="4"/>
  <c r="O118" i="4"/>
  <c r="O120" i="4"/>
  <c r="O122" i="4"/>
  <c r="O124" i="4"/>
  <c r="O126" i="4"/>
  <c r="O128" i="4"/>
  <c r="O130" i="4"/>
  <c r="O132" i="4"/>
  <c r="O134" i="4"/>
  <c r="O136" i="4"/>
  <c r="O138" i="4"/>
  <c r="O140" i="4"/>
  <c r="O142" i="4"/>
  <c r="O144" i="4"/>
  <c r="O111" i="4"/>
  <c r="O115" i="4"/>
  <c r="O119" i="4"/>
  <c r="O123" i="4"/>
  <c r="O127" i="4"/>
  <c r="O131" i="4"/>
  <c r="O135" i="4"/>
  <c r="O139" i="4"/>
  <c r="O143" i="4"/>
  <c r="O146" i="4"/>
  <c r="O148" i="4"/>
  <c r="O150" i="4"/>
  <c r="O152" i="4"/>
  <c r="O154" i="4"/>
  <c r="O156" i="4"/>
  <c r="O158" i="4"/>
  <c r="O160" i="4"/>
  <c r="O162" i="4"/>
  <c r="L6" i="7"/>
  <c r="B91" i="9" s="1"/>
  <c r="B10" i="5"/>
  <c r="C10" i="5"/>
  <c r="O113" i="4"/>
  <c r="O117" i="4"/>
  <c r="O121" i="4"/>
  <c r="O125" i="4"/>
  <c r="O129" i="4"/>
  <c r="O133" i="4"/>
  <c r="O137" i="4"/>
  <c r="O141" i="4"/>
  <c r="O145" i="4"/>
  <c r="O147" i="4"/>
  <c r="O149" i="4"/>
  <c r="O151" i="4"/>
  <c r="O153" i="4"/>
  <c r="O155" i="4"/>
  <c r="O157" i="4"/>
  <c r="O159" i="4"/>
  <c r="O161" i="4"/>
  <c r="O163" i="4"/>
  <c r="M6" i="7"/>
  <c r="C91" i="9" s="1"/>
  <c r="O26" i="4"/>
  <c r="P26" i="4" s="1"/>
  <c r="O28" i="4"/>
  <c r="P28" i="4" s="1"/>
  <c r="O25" i="4"/>
  <c r="P25" i="4" s="1"/>
  <c r="O27" i="4"/>
  <c r="P27" i="4" s="1"/>
  <c r="J27" i="4" s="1"/>
  <c r="F14" i="4"/>
  <c r="E67" i="9" s="1"/>
  <c r="A2" i="5"/>
  <c r="D71" i="9"/>
  <c r="G4" i="7"/>
  <c r="A607" i="9"/>
  <c r="A448" i="9"/>
  <c r="I141" i="4"/>
  <c r="A126" i="5"/>
  <c r="X28" i="4"/>
  <c r="Y28" i="4" s="1"/>
  <c r="X29" i="4"/>
  <c r="Y29" i="4" s="1"/>
  <c r="X30" i="4"/>
  <c r="Y30" i="4" s="1"/>
  <c r="X31" i="4"/>
  <c r="Y31" i="4" s="1"/>
  <c r="X32" i="4"/>
  <c r="Y32" i="4" s="1"/>
  <c r="X33" i="4"/>
  <c r="Y33" i="4" s="1"/>
  <c r="X34" i="4"/>
  <c r="Y34" i="4" s="1"/>
  <c r="X35" i="4"/>
  <c r="Y35" i="4" s="1"/>
  <c r="X36" i="4"/>
  <c r="Y36" i="4" s="1"/>
  <c r="X38" i="4"/>
  <c r="Y38" i="4" s="1"/>
  <c r="X39" i="4"/>
  <c r="Y39" i="4" s="1"/>
  <c r="X42" i="4"/>
  <c r="Y42" i="4" s="1"/>
  <c r="X43" i="4"/>
  <c r="Y43" i="4" s="1"/>
  <c r="X44" i="4"/>
  <c r="Y44" i="4" s="1"/>
  <c r="X45" i="4"/>
  <c r="Y45" i="4" s="1"/>
  <c r="X37" i="4"/>
  <c r="Y37" i="4" s="1"/>
  <c r="X40" i="4"/>
  <c r="Y40" i="4" s="1"/>
  <c r="X41" i="4"/>
  <c r="Y41" i="4" s="1"/>
  <c r="X46" i="4"/>
  <c r="Y46" i="4" s="1"/>
  <c r="X47" i="4"/>
  <c r="Y47" i="4" s="1"/>
  <c r="X48" i="4"/>
  <c r="Y48" i="4" s="1"/>
  <c r="X49" i="4"/>
  <c r="Y49" i="4" s="1"/>
  <c r="X50" i="4"/>
  <c r="Y50" i="4" s="1"/>
  <c r="X51" i="4"/>
  <c r="Y51" i="4" s="1"/>
  <c r="X52" i="4"/>
  <c r="Y52" i="4" s="1"/>
  <c r="X53" i="4"/>
  <c r="Y53" i="4" s="1"/>
  <c r="X54" i="4"/>
  <c r="Y54" i="4" s="1"/>
  <c r="X55" i="4"/>
  <c r="Y55" i="4" s="1"/>
  <c r="X56" i="4"/>
  <c r="Y56" i="4" s="1"/>
  <c r="X57" i="4"/>
  <c r="Y57" i="4" s="1"/>
  <c r="X60" i="4"/>
  <c r="Y60" i="4" s="1"/>
  <c r="X61" i="4"/>
  <c r="Y61" i="4" s="1"/>
  <c r="X63" i="4"/>
  <c r="Y63" i="4" s="1"/>
  <c r="X65" i="4"/>
  <c r="Y65" i="4" s="1"/>
  <c r="X67" i="4"/>
  <c r="Y67" i="4" s="1"/>
  <c r="X69" i="4"/>
  <c r="Y69" i="4" s="1"/>
  <c r="X71" i="4"/>
  <c r="Y71" i="4" s="1"/>
  <c r="X73" i="4"/>
  <c r="Y73" i="4" s="1"/>
  <c r="X75" i="4"/>
  <c r="Y75" i="4" s="1"/>
  <c r="X58" i="4"/>
  <c r="Y58" i="4" s="1"/>
  <c r="X59" i="4"/>
  <c r="Y59" i="4" s="1"/>
  <c r="X62" i="4"/>
  <c r="Y62" i="4" s="1"/>
  <c r="X64" i="4"/>
  <c r="Y64" i="4" s="1"/>
  <c r="X66" i="4"/>
  <c r="Y66" i="4" s="1"/>
  <c r="X70" i="4"/>
  <c r="Y70" i="4" s="1"/>
  <c r="X74" i="4"/>
  <c r="Y74" i="4" s="1"/>
  <c r="X76" i="4"/>
  <c r="Y76" i="4" s="1"/>
  <c r="X78" i="4"/>
  <c r="Y78" i="4" s="1"/>
  <c r="X80" i="4"/>
  <c r="Y80" i="4" s="1"/>
  <c r="X82" i="4"/>
  <c r="Y82" i="4" s="1"/>
  <c r="X84" i="4"/>
  <c r="Y84" i="4" s="1"/>
  <c r="X86" i="4"/>
  <c r="Y86" i="4" s="1"/>
  <c r="X88" i="4"/>
  <c r="Y88" i="4" s="1"/>
  <c r="X90" i="4"/>
  <c r="Y90" i="4" s="1"/>
  <c r="X68" i="4"/>
  <c r="Y68" i="4" s="1"/>
  <c r="X72" i="4"/>
  <c r="Y72" i="4" s="1"/>
  <c r="X77" i="4"/>
  <c r="Y77" i="4" s="1"/>
  <c r="X79" i="4"/>
  <c r="Y79" i="4" s="1"/>
  <c r="X81" i="4"/>
  <c r="Y81" i="4" s="1"/>
  <c r="X83" i="4"/>
  <c r="Y83" i="4" s="1"/>
  <c r="X85" i="4"/>
  <c r="Y85" i="4" s="1"/>
  <c r="X89" i="4"/>
  <c r="Y89" i="4" s="1"/>
  <c r="X91" i="4"/>
  <c r="Y91" i="4" s="1"/>
  <c r="X93" i="4"/>
  <c r="Y93" i="4" s="1"/>
  <c r="X95" i="4"/>
  <c r="Y95" i="4" s="1"/>
  <c r="X97" i="4"/>
  <c r="Y97" i="4" s="1"/>
  <c r="X99" i="4"/>
  <c r="Y99" i="4" s="1"/>
  <c r="X101" i="4"/>
  <c r="Y101" i="4" s="1"/>
  <c r="X103" i="4"/>
  <c r="Y103" i="4" s="1"/>
  <c r="X87" i="4"/>
  <c r="Y87" i="4" s="1"/>
  <c r="X92" i="4"/>
  <c r="Y92" i="4" s="1"/>
  <c r="X94" i="4"/>
  <c r="Y94" i="4" s="1"/>
  <c r="X96" i="4"/>
  <c r="Y96" i="4" s="1"/>
  <c r="X98" i="4"/>
  <c r="Y98" i="4" s="1"/>
  <c r="X100" i="4"/>
  <c r="Y100" i="4" s="1"/>
  <c r="X102" i="4"/>
  <c r="Y102" i="4" s="1"/>
  <c r="X104" i="4"/>
  <c r="Y104" i="4" s="1"/>
  <c r="X105" i="4"/>
  <c r="Y105" i="4" s="1"/>
  <c r="X106" i="4"/>
  <c r="Y106" i="4" s="1"/>
  <c r="X107" i="4"/>
  <c r="Y107" i="4" s="1"/>
  <c r="X108" i="4"/>
  <c r="Y108" i="4" s="1"/>
  <c r="X109" i="4"/>
  <c r="Y109" i="4" s="1"/>
  <c r="X110" i="4"/>
  <c r="Y110" i="4" s="1"/>
  <c r="X111" i="4"/>
  <c r="Y111" i="4" s="1"/>
  <c r="X112" i="4"/>
  <c r="Y112" i="4" s="1"/>
  <c r="X113" i="4"/>
  <c r="Y113" i="4" s="1"/>
  <c r="X114" i="4"/>
  <c r="Y114" i="4" s="1"/>
  <c r="X115" i="4"/>
  <c r="Y115" i="4" s="1"/>
  <c r="X116" i="4"/>
  <c r="Y116" i="4" s="1"/>
  <c r="X117" i="4"/>
  <c r="Y117" i="4" s="1"/>
  <c r="X118" i="4"/>
  <c r="Y118" i="4" s="1"/>
  <c r="X119" i="4"/>
  <c r="Y119" i="4" s="1"/>
  <c r="X120" i="4"/>
  <c r="Y120" i="4" s="1"/>
  <c r="X121" i="4"/>
  <c r="Y121" i="4" s="1"/>
  <c r="X122" i="4"/>
  <c r="Y122" i="4" s="1"/>
  <c r="X123" i="4"/>
  <c r="Y123" i="4" s="1"/>
  <c r="X124" i="4"/>
  <c r="Y124" i="4" s="1"/>
  <c r="X125" i="4"/>
  <c r="Y125" i="4" s="1"/>
  <c r="X126" i="4"/>
  <c r="Y126" i="4" s="1"/>
  <c r="X127" i="4"/>
  <c r="Y127" i="4" s="1"/>
  <c r="X128" i="4"/>
  <c r="Y128" i="4" s="1"/>
  <c r="X129" i="4"/>
  <c r="Y129" i="4" s="1"/>
  <c r="X130" i="4"/>
  <c r="Y130" i="4" s="1"/>
  <c r="X131" i="4"/>
  <c r="Y131" i="4" s="1"/>
  <c r="X132" i="4"/>
  <c r="Y132" i="4" s="1"/>
  <c r="X133" i="4"/>
  <c r="Y133" i="4" s="1"/>
  <c r="X134" i="4"/>
  <c r="Y134" i="4" s="1"/>
  <c r="X135" i="4"/>
  <c r="Y135" i="4" s="1"/>
  <c r="X136" i="4"/>
  <c r="Y136" i="4" s="1"/>
  <c r="X137" i="4"/>
  <c r="Y137" i="4" s="1"/>
  <c r="X138" i="4"/>
  <c r="Y138" i="4" s="1"/>
  <c r="X139" i="4"/>
  <c r="Y139" i="4" s="1"/>
  <c r="X140" i="4"/>
  <c r="Y140" i="4" s="1"/>
  <c r="X141" i="4"/>
  <c r="Y141" i="4" s="1"/>
  <c r="X142" i="4"/>
  <c r="Y142" i="4" s="1"/>
  <c r="X143" i="4"/>
  <c r="Y143" i="4" s="1"/>
  <c r="X144" i="4"/>
  <c r="Y144" i="4" s="1"/>
  <c r="X145" i="4"/>
  <c r="Y145" i="4" s="1"/>
  <c r="X146" i="4"/>
  <c r="Y146" i="4" s="1"/>
  <c r="X147" i="4"/>
  <c r="Y147" i="4" s="1"/>
  <c r="X148" i="4"/>
  <c r="Y148" i="4" s="1"/>
  <c r="X149" i="4"/>
  <c r="Y149" i="4" s="1"/>
  <c r="X150" i="4"/>
  <c r="Y150" i="4" s="1"/>
  <c r="X151" i="4"/>
  <c r="Y151" i="4" s="1"/>
  <c r="X152" i="4"/>
  <c r="Y152" i="4" s="1"/>
  <c r="X153" i="4"/>
  <c r="Y153" i="4" s="1"/>
  <c r="M9" i="7"/>
  <c r="C94" i="9" s="1"/>
  <c r="X154" i="4"/>
  <c r="Y154" i="4" s="1"/>
  <c r="X155" i="4"/>
  <c r="Y155" i="4" s="1"/>
  <c r="X156" i="4"/>
  <c r="Y156" i="4" s="1"/>
  <c r="X157" i="4"/>
  <c r="Y157" i="4" s="1"/>
  <c r="X158" i="4"/>
  <c r="Y158" i="4" s="1"/>
  <c r="X159" i="4"/>
  <c r="Y159" i="4" s="1"/>
  <c r="X160" i="4"/>
  <c r="Y160" i="4" s="1"/>
  <c r="X161" i="4"/>
  <c r="Y161" i="4" s="1"/>
  <c r="X162" i="4"/>
  <c r="Y162" i="4" s="1"/>
  <c r="X163" i="4"/>
  <c r="Y163" i="4" s="1"/>
  <c r="L9" i="7"/>
  <c r="B94" i="9" s="1"/>
  <c r="C13" i="5"/>
  <c r="B13" i="5"/>
  <c r="E28" i="4"/>
  <c r="K10" i="7"/>
  <c r="S108" i="4"/>
  <c r="Q109" i="4"/>
  <c r="J15" i="2"/>
  <c r="B29" i="4"/>
  <c r="M103" i="4"/>
  <c r="K104" i="4"/>
  <c r="N106" i="4"/>
  <c r="P105" i="4"/>
  <c r="P13" i="5" l="1"/>
  <c r="I13" i="5"/>
  <c r="E324" i="9" s="1"/>
  <c r="L13" i="5"/>
  <c r="B483" i="9" s="1"/>
  <c r="G13" i="5"/>
  <c r="H13" i="5" s="1"/>
  <c r="D324" i="9" s="1"/>
  <c r="O13" i="5"/>
  <c r="E483" i="9" s="1"/>
  <c r="M13" i="5"/>
  <c r="N13" i="5" s="1"/>
  <c r="D483" i="9" s="1"/>
  <c r="F13" i="5"/>
  <c r="B324" i="9" s="1"/>
  <c r="J13" i="5"/>
  <c r="K13" i="5" s="1"/>
  <c r="G324" i="9" s="1"/>
  <c r="J25" i="4"/>
  <c r="J26" i="4"/>
  <c r="P10" i="5"/>
  <c r="G10" i="5"/>
  <c r="M10" i="5"/>
  <c r="F10" i="5"/>
  <c r="B321" i="9" s="1"/>
  <c r="J10" i="5"/>
  <c r="O10" i="5"/>
  <c r="E480" i="9" s="1"/>
  <c r="I10" i="5"/>
  <c r="E321" i="9" s="1"/>
  <c r="L10" i="5"/>
  <c r="B480" i="9" s="1"/>
  <c r="J28" i="4"/>
  <c r="F25" i="4"/>
  <c r="D10" i="5"/>
  <c r="D91" i="9" s="1"/>
  <c r="E10" i="5"/>
  <c r="E91" i="9" s="1"/>
  <c r="I142" i="4"/>
  <c r="A127" i="5"/>
  <c r="A608" i="9"/>
  <c r="A449" i="9"/>
  <c r="P106" i="4"/>
  <c r="N107" i="4"/>
  <c r="J16" i="2"/>
  <c r="B30" i="4"/>
  <c r="S109" i="4"/>
  <c r="Q110" i="4"/>
  <c r="AA29" i="4"/>
  <c r="AB29" i="4" s="1"/>
  <c r="J29" i="4" s="1"/>
  <c r="AA30" i="4"/>
  <c r="AB30" i="4" s="1"/>
  <c r="AA31" i="4"/>
  <c r="AB31" i="4" s="1"/>
  <c r="AA32" i="4"/>
  <c r="AB32" i="4" s="1"/>
  <c r="AA33" i="4"/>
  <c r="AB33" i="4" s="1"/>
  <c r="AA34" i="4"/>
  <c r="AB34" i="4" s="1"/>
  <c r="AA35" i="4"/>
  <c r="AB35" i="4" s="1"/>
  <c r="AA36" i="4"/>
  <c r="AB36" i="4" s="1"/>
  <c r="AA37" i="4"/>
  <c r="AB37" i="4" s="1"/>
  <c r="AA40" i="4"/>
  <c r="AB40" i="4" s="1"/>
  <c r="AA41" i="4"/>
  <c r="AB41" i="4" s="1"/>
  <c r="AA43" i="4"/>
  <c r="AB43" i="4" s="1"/>
  <c r="AA44" i="4"/>
  <c r="AB44" i="4" s="1"/>
  <c r="AA45" i="4"/>
  <c r="AB45" i="4" s="1"/>
  <c r="AA38" i="4"/>
  <c r="AB38" i="4" s="1"/>
  <c r="AA39" i="4"/>
  <c r="AB39" i="4" s="1"/>
  <c r="AA42" i="4"/>
  <c r="AB42" i="4" s="1"/>
  <c r="AA48" i="4"/>
  <c r="AB48" i="4" s="1"/>
  <c r="AA49" i="4"/>
  <c r="AB49" i="4" s="1"/>
  <c r="AA46" i="4"/>
  <c r="AB46" i="4" s="1"/>
  <c r="AA47" i="4"/>
  <c r="AB47" i="4" s="1"/>
  <c r="AA50" i="4"/>
  <c r="AB50" i="4" s="1"/>
  <c r="AA51" i="4"/>
  <c r="AB51" i="4" s="1"/>
  <c r="AA52" i="4"/>
  <c r="AB52" i="4" s="1"/>
  <c r="AA53" i="4"/>
  <c r="AB53" i="4" s="1"/>
  <c r="AA54" i="4"/>
  <c r="AB54" i="4" s="1"/>
  <c r="AA55" i="4"/>
  <c r="AB55" i="4" s="1"/>
  <c r="AA56" i="4"/>
  <c r="AB56" i="4" s="1"/>
  <c r="AA57" i="4"/>
  <c r="AB57" i="4" s="1"/>
  <c r="AA60" i="4"/>
  <c r="AB60" i="4" s="1"/>
  <c r="AA61" i="4"/>
  <c r="AB61" i="4" s="1"/>
  <c r="AA63" i="4"/>
  <c r="AB63" i="4" s="1"/>
  <c r="AA58" i="4"/>
  <c r="AB58" i="4" s="1"/>
  <c r="AA59" i="4"/>
  <c r="AB59" i="4" s="1"/>
  <c r="AA62" i="4"/>
  <c r="AB62" i="4" s="1"/>
  <c r="AA65" i="4"/>
  <c r="AB65" i="4" s="1"/>
  <c r="AA67" i="4"/>
  <c r="AB67" i="4" s="1"/>
  <c r="AA69" i="4"/>
  <c r="AB69" i="4" s="1"/>
  <c r="AA71" i="4"/>
  <c r="AB71" i="4" s="1"/>
  <c r="AA73" i="4"/>
  <c r="AB73" i="4" s="1"/>
  <c r="AA75" i="4"/>
  <c r="AB75" i="4" s="1"/>
  <c r="AA64" i="4"/>
  <c r="AB64" i="4" s="1"/>
  <c r="AA66" i="4"/>
  <c r="AB66" i="4" s="1"/>
  <c r="AA68" i="4"/>
  <c r="AB68" i="4" s="1"/>
  <c r="AA72" i="4"/>
  <c r="AB72" i="4" s="1"/>
  <c r="AA76" i="4"/>
  <c r="AB76" i="4" s="1"/>
  <c r="AA78" i="4"/>
  <c r="AB78" i="4" s="1"/>
  <c r="AA80" i="4"/>
  <c r="AB80" i="4" s="1"/>
  <c r="AA82" i="4"/>
  <c r="AB82" i="4" s="1"/>
  <c r="AA84" i="4"/>
  <c r="AB84" i="4" s="1"/>
  <c r="AA86" i="4"/>
  <c r="AB86" i="4" s="1"/>
  <c r="AA88" i="4"/>
  <c r="AB88" i="4" s="1"/>
  <c r="AA90" i="4"/>
  <c r="AB90" i="4" s="1"/>
  <c r="AA70" i="4"/>
  <c r="AB70" i="4" s="1"/>
  <c r="AA74" i="4"/>
  <c r="AB74" i="4" s="1"/>
  <c r="AA77" i="4"/>
  <c r="AB77" i="4" s="1"/>
  <c r="AA79" i="4"/>
  <c r="AB79" i="4" s="1"/>
  <c r="AA81" i="4"/>
  <c r="AB81" i="4" s="1"/>
  <c r="AA83" i="4"/>
  <c r="AB83" i="4" s="1"/>
  <c r="AA87" i="4"/>
  <c r="AB87" i="4" s="1"/>
  <c r="AA91" i="4"/>
  <c r="AB91" i="4" s="1"/>
  <c r="AA93" i="4"/>
  <c r="AB93" i="4" s="1"/>
  <c r="AA95" i="4"/>
  <c r="AB95" i="4" s="1"/>
  <c r="AA97" i="4"/>
  <c r="AB97" i="4" s="1"/>
  <c r="AA99" i="4"/>
  <c r="AB99" i="4" s="1"/>
  <c r="AA101" i="4"/>
  <c r="AB101" i="4" s="1"/>
  <c r="AA103" i="4"/>
  <c r="AB103" i="4" s="1"/>
  <c r="AA85" i="4"/>
  <c r="AB85" i="4" s="1"/>
  <c r="AA89" i="4"/>
  <c r="AB89" i="4" s="1"/>
  <c r="AA92" i="4"/>
  <c r="AB92" i="4" s="1"/>
  <c r="AA94" i="4"/>
  <c r="AB94" i="4" s="1"/>
  <c r="AA96" i="4"/>
  <c r="AB96" i="4" s="1"/>
  <c r="AA98" i="4"/>
  <c r="AB98" i="4" s="1"/>
  <c r="AA100" i="4"/>
  <c r="AB100" i="4" s="1"/>
  <c r="AA104" i="4"/>
  <c r="AB104" i="4" s="1"/>
  <c r="AA105" i="4"/>
  <c r="AB105" i="4" s="1"/>
  <c r="AA102" i="4"/>
  <c r="AB102" i="4" s="1"/>
  <c r="AA106" i="4"/>
  <c r="AB106" i="4" s="1"/>
  <c r="AA107" i="4"/>
  <c r="AB107" i="4" s="1"/>
  <c r="AA108" i="4"/>
  <c r="AB108" i="4" s="1"/>
  <c r="AA109" i="4"/>
  <c r="AB109" i="4" s="1"/>
  <c r="AA110" i="4"/>
  <c r="AB110" i="4" s="1"/>
  <c r="AA111" i="4"/>
  <c r="AB111" i="4" s="1"/>
  <c r="AA112" i="4"/>
  <c r="AB112" i="4" s="1"/>
  <c r="AA113" i="4"/>
  <c r="AB113" i="4" s="1"/>
  <c r="AA114" i="4"/>
  <c r="AB114" i="4" s="1"/>
  <c r="AA115" i="4"/>
  <c r="AB115" i="4" s="1"/>
  <c r="AA116" i="4"/>
  <c r="AB116" i="4" s="1"/>
  <c r="AA117" i="4"/>
  <c r="AB117" i="4" s="1"/>
  <c r="AA118" i="4"/>
  <c r="AB118" i="4" s="1"/>
  <c r="AA119" i="4"/>
  <c r="AB119" i="4" s="1"/>
  <c r="AA120" i="4"/>
  <c r="AB120" i="4" s="1"/>
  <c r="AA121" i="4"/>
  <c r="AB121" i="4" s="1"/>
  <c r="AA122" i="4"/>
  <c r="AB122" i="4" s="1"/>
  <c r="AA123" i="4"/>
  <c r="AB123" i="4" s="1"/>
  <c r="AA124" i="4"/>
  <c r="AB124" i="4" s="1"/>
  <c r="AA125" i="4"/>
  <c r="AB125" i="4" s="1"/>
  <c r="AA126" i="4"/>
  <c r="AB126" i="4" s="1"/>
  <c r="AA127" i="4"/>
  <c r="AB127" i="4" s="1"/>
  <c r="AA128" i="4"/>
  <c r="AB128" i="4" s="1"/>
  <c r="AA129" i="4"/>
  <c r="AB129" i="4" s="1"/>
  <c r="AA130" i="4"/>
  <c r="AB130" i="4" s="1"/>
  <c r="AA131" i="4"/>
  <c r="AB131" i="4" s="1"/>
  <c r="AA132" i="4"/>
  <c r="AB132" i="4" s="1"/>
  <c r="AA133" i="4"/>
  <c r="AB133" i="4" s="1"/>
  <c r="AA134" i="4"/>
  <c r="AB134" i="4" s="1"/>
  <c r="AA135" i="4"/>
  <c r="AB135" i="4" s="1"/>
  <c r="AA136" i="4"/>
  <c r="AB136" i="4" s="1"/>
  <c r="AA137" i="4"/>
  <c r="AB137" i="4" s="1"/>
  <c r="AA138" i="4"/>
  <c r="AB138" i="4" s="1"/>
  <c r="AA139" i="4"/>
  <c r="AB139" i="4" s="1"/>
  <c r="AA140" i="4"/>
  <c r="AB140" i="4" s="1"/>
  <c r="AA141" i="4"/>
  <c r="AB141" i="4" s="1"/>
  <c r="AA142" i="4"/>
  <c r="AB142" i="4" s="1"/>
  <c r="AA143" i="4"/>
  <c r="AB143" i="4" s="1"/>
  <c r="AA144" i="4"/>
  <c r="AB144" i="4" s="1"/>
  <c r="AA145" i="4"/>
  <c r="AB145" i="4" s="1"/>
  <c r="AA146" i="4"/>
  <c r="AB146" i="4" s="1"/>
  <c r="AA147" i="4"/>
  <c r="AB147" i="4" s="1"/>
  <c r="AA148" i="4"/>
  <c r="AB148" i="4" s="1"/>
  <c r="AA149" i="4"/>
  <c r="AB149" i="4" s="1"/>
  <c r="AA150" i="4"/>
  <c r="AB150" i="4" s="1"/>
  <c r="AA151" i="4"/>
  <c r="AB151" i="4" s="1"/>
  <c r="AA152" i="4"/>
  <c r="AB152" i="4" s="1"/>
  <c r="AA153" i="4"/>
  <c r="AB153" i="4" s="1"/>
  <c r="M10" i="7"/>
  <c r="C95" i="9" s="1"/>
  <c r="AA154" i="4"/>
  <c r="AB154" i="4" s="1"/>
  <c r="AA155" i="4"/>
  <c r="AB155" i="4" s="1"/>
  <c r="AA156" i="4"/>
  <c r="AB156" i="4" s="1"/>
  <c r="AA157" i="4"/>
  <c r="AB157" i="4" s="1"/>
  <c r="AA158" i="4"/>
  <c r="AB158" i="4" s="1"/>
  <c r="AA159" i="4"/>
  <c r="AB159" i="4" s="1"/>
  <c r="AA160" i="4"/>
  <c r="AB160" i="4" s="1"/>
  <c r="AA161" i="4"/>
  <c r="AB161" i="4" s="1"/>
  <c r="AA162" i="4"/>
  <c r="AB162" i="4" s="1"/>
  <c r="AA163" i="4"/>
  <c r="AB163" i="4" s="1"/>
  <c r="L10" i="7"/>
  <c r="B95" i="9" s="1"/>
  <c r="C14" i="5"/>
  <c r="B14" i="5"/>
  <c r="C324" i="9"/>
  <c r="Q13" i="5"/>
  <c r="G483" i="9" s="1"/>
  <c r="F483" i="9"/>
  <c r="K105" i="4"/>
  <c r="M104" i="4"/>
  <c r="E29" i="4"/>
  <c r="K11" i="7"/>
  <c r="O14" i="5"/>
  <c r="E484" i="9" s="1"/>
  <c r="P14" i="5"/>
  <c r="L14" i="5"/>
  <c r="B484" i="9" s="1"/>
  <c r="J14" i="5"/>
  <c r="G14" i="5"/>
  <c r="M14" i="5"/>
  <c r="I14" i="5"/>
  <c r="E325" i="9" s="1"/>
  <c r="F14" i="5"/>
  <c r="B325" i="9" s="1"/>
  <c r="C483" i="9" l="1"/>
  <c r="F324" i="9"/>
  <c r="D11" i="5"/>
  <c r="D92" i="9" s="1"/>
  <c r="E11" i="5"/>
  <c r="E92" i="9" s="1"/>
  <c r="F26" i="4"/>
  <c r="H10" i="5"/>
  <c r="D321" i="9" s="1"/>
  <c r="C321" i="9"/>
  <c r="P12" i="5"/>
  <c r="M12" i="5"/>
  <c r="O12" i="5"/>
  <c r="E482" i="9" s="1"/>
  <c r="L12" i="5"/>
  <c r="B482" i="9" s="1"/>
  <c r="G12" i="5"/>
  <c r="I12" i="5"/>
  <c r="E323" i="9" s="1"/>
  <c r="J12" i="5"/>
  <c r="F12" i="5"/>
  <c r="B323" i="9" s="1"/>
  <c r="F321" i="9"/>
  <c r="K10" i="5"/>
  <c r="G321" i="9" s="1"/>
  <c r="C480" i="9"/>
  <c r="N10" i="5"/>
  <c r="D480" i="9" s="1"/>
  <c r="Q10" i="5"/>
  <c r="G480" i="9" s="1"/>
  <c r="F480" i="9"/>
  <c r="P11" i="5"/>
  <c r="I11" i="5"/>
  <c r="E322" i="9" s="1"/>
  <c r="O11" i="5"/>
  <c r="E481" i="9" s="1"/>
  <c r="M11" i="5"/>
  <c r="G11" i="5"/>
  <c r="F11" i="5"/>
  <c r="B322" i="9" s="1"/>
  <c r="L11" i="5"/>
  <c r="B481" i="9" s="1"/>
  <c r="J11" i="5"/>
  <c r="I143" i="4"/>
  <c r="A128" i="5"/>
  <c r="A609" i="9"/>
  <c r="A450" i="9"/>
  <c r="O15" i="5"/>
  <c r="E485" i="9" s="1"/>
  <c r="P15" i="5"/>
  <c r="M15" i="5"/>
  <c r="I15" i="5"/>
  <c r="E326" i="9" s="1"/>
  <c r="F15" i="5"/>
  <c r="B326" i="9" s="1"/>
  <c r="L15" i="5"/>
  <c r="B485" i="9" s="1"/>
  <c r="J15" i="5"/>
  <c r="G15" i="5"/>
  <c r="J17" i="2"/>
  <c r="B31" i="4"/>
  <c r="P107" i="4"/>
  <c r="N108" i="4"/>
  <c r="H14" i="5"/>
  <c r="D325" i="9" s="1"/>
  <c r="C325" i="9"/>
  <c r="AD30" i="4"/>
  <c r="AE30" i="4" s="1"/>
  <c r="AD31" i="4"/>
  <c r="AE31" i="4" s="1"/>
  <c r="AD32" i="4"/>
  <c r="AE32" i="4" s="1"/>
  <c r="AD33" i="4"/>
  <c r="AE33" i="4" s="1"/>
  <c r="AD34" i="4"/>
  <c r="AE34" i="4" s="1"/>
  <c r="AD35" i="4"/>
  <c r="AE35" i="4" s="1"/>
  <c r="AD38" i="4"/>
  <c r="AE38" i="4" s="1"/>
  <c r="AD39" i="4"/>
  <c r="AE39" i="4" s="1"/>
  <c r="AD42" i="4"/>
  <c r="AE42" i="4" s="1"/>
  <c r="AD43" i="4"/>
  <c r="AE43" i="4" s="1"/>
  <c r="AD44" i="4"/>
  <c r="AE44" i="4" s="1"/>
  <c r="AD45" i="4"/>
  <c r="AE45" i="4" s="1"/>
  <c r="AD36" i="4"/>
  <c r="AE36" i="4" s="1"/>
  <c r="AD37" i="4"/>
  <c r="AE37" i="4" s="1"/>
  <c r="AD40" i="4"/>
  <c r="AE40" i="4" s="1"/>
  <c r="AD41" i="4"/>
  <c r="AE41" i="4" s="1"/>
  <c r="AD46" i="4"/>
  <c r="AE46" i="4" s="1"/>
  <c r="AD47" i="4"/>
  <c r="AE47" i="4" s="1"/>
  <c r="AD48" i="4"/>
  <c r="AE48" i="4" s="1"/>
  <c r="AD49" i="4"/>
  <c r="AE49" i="4" s="1"/>
  <c r="AD50" i="4"/>
  <c r="AE50" i="4" s="1"/>
  <c r="AD51" i="4"/>
  <c r="AE51" i="4" s="1"/>
  <c r="AD52" i="4"/>
  <c r="AE52" i="4" s="1"/>
  <c r="AD53" i="4"/>
  <c r="AE53" i="4" s="1"/>
  <c r="AD54" i="4"/>
  <c r="AE54" i="4" s="1"/>
  <c r="AD55" i="4"/>
  <c r="AE55" i="4" s="1"/>
  <c r="AD56" i="4"/>
  <c r="AE56" i="4" s="1"/>
  <c r="AD57" i="4"/>
  <c r="AE57" i="4" s="1"/>
  <c r="AD60" i="4"/>
  <c r="AE60" i="4" s="1"/>
  <c r="AD61" i="4"/>
  <c r="AE61" i="4" s="1"/>
  <c r="AD63" i="4"/>
  <c r="AE63" i="4" s="1"/>
  <c r="AD65" i="4"/>
  <c r="AE65" i="4" s="1"/>
  <c r="AD67" i="4"/>
  <c r="AE67" i="4" s="1"/>
  <c r="AD69" i="4"/>
  <c r="AE69" i="4" s="1"/>
  <c r="AD71" i="4"/>
  <c r="AE71" i="4" s="1"/>
  <c r="AD73" i="4"/>
  <c r="AE73" i="4" s="1"/>
  <c r="AD75" i="4"/>
  <c r="AE75" i="4" s="1"/>
  <c r="AD58" i="4"/>
  <c r="AE58" i="4" s="1"/>
  <c r="AD59" i="4"/>
  <c r="AE59" i="4" s="1"/>
  <c r="AD62" i="4"/>
  <c r="AE62" i="4" s="1"/>
  <c r="AD64" i="4"/>
  <c r="AE64" i="4" s="1"/>
  <c r="AD66" i="4"/>
  <c r="AE66" i="4" s="1"/>
  <c r="AD70" i="4"/>
  <c r="AE70" i="4" s="1"/>
  <c r="AD74" i="4"/>
  <c r="AE74" i="4" s="1"/>
  <c r="AD76" i="4"/>
  <c r="AE76" i="4" s="1"/>
  <c r="AD78" i="4"/>
  <c r="AE78" i="4" s="1"/>
  <c r="AD80" i="4"/>
  <c r="AE80" i="4" s="1"/>
  <c r="AD82" i="4"/>
  <c r="AE82" i="4" s="1"/>
  <c r="AD84" i="4"/>
  <c r="AE84" i="4" s="1"/>
  <c r="AD86" i="4"/>
  <c r="AE86" i="4" s="1"/>
  <c r="AD88" i="4"/>
  <c r="AE88" i="4" s="1"/>
  <c r="AD90" i="4"/>
  <c r="AE90" i="4" s="1"/>
  <c r="AD68" i="4"/>
  <c r="AE68" i="4" s="1"/>
  <c r="AD72" i="4"/>
  <c r="AE72" i="4" s="1"/>
  <c r="AD77" i="4"/>
  <c r="AE77" i="4" s="1"/>
  <c r="AD79" i="4"/>
  <c r="AE79" i="4" s="1"/>
  <c r="AD81" i="4"/>
  <c r="AE81" i="4" s="1"/>
  <c r="AD83" i="4"/>
  <c r="AE83" i="4" s="1"/>
  <c r="AD85" i="4"/>
  <c r="AE85" i="4" s="1"/>
  <c r="AD89" i="4"/>
  <c r="AE89" i="4" s="1"/>
  <c r="AD91" i="4"/>
  <c r="AE91" i="4" s="1"/>
  <c r="AD93" i="4"/>
  <c r="AE93" i="4" s="1"/>
  <c r="AD95" i="4"/>
  <c r="AE95" i="4" s="1"/>
  <c r="AD97" i="4"/>
  <c r="AE97" i="4" s="1"/>
  <c r="AD99" i="4"/>
  <c r="AE99" i="4" s="1"/>
  <c r="AD101" i="4"/>
  <c r="AE101" i="4" s="1"/>
  <c r="AD103" i="4"/>
  <c r="AE103" i="4" s="1"/>
  <c r="AD87" i="4"/>
  <c r="AE87" i="4" s="1"/>
  <c r="AD92" i="4"/>
  <c r="AE92" i="4" s="1"/>
  <c r="AD94" i="4"/>
  <c r="AE94" i="4" s="1"/>
  <c r="AD96" i="4"/>
  <c r="AE96" i="4" s="1"/>
  <c r="AD98" i="4"/>
  <c r="AE98" i="4" s="1"/>
  <c r="AD100" i="4"/>
  <c r="AE100" i="4" s="1"/>
  <c r="AD102" i="4"/>
  <c r="AE102" i="4" s="1"/>
  <c r="AD104" i="4"/>
  <c r="AE104" i="4" s="1"/>
  <c r="AD105" i="4"/>
  <c r="AE105" i="4" s="1"/>
  <c r="AD106" i="4"/>
  <c r="AE106" i="4" s="1"/>
  <c r="AD107" i="4"/>
  <c r="AE107" i="4" s="1"/>
  <c r="AD108" i="4"/>
  <c r="AE108" i="4" s="1"/>
  <c r="AD109" i="4"/>
  <c r="AE109" i="4" s="1"/>
  <c r="AD110" i="4"/>
  <c r="AE110" i="4" s="1"/>
  <c r="AD111" i="4"/>
  <c r="AE111" i="4" s="1"/>
  <c r="AD112" i="4"/>
  <c r="AE112" i="4" s="1"/>
  <c r="AD113" i="4"/>
  <c r="AE113" i="4" s="1"/>
  <c r="AD114" i="4"/>
  <c r="AE114" i="4" s="1"/>
  <c r="AD115" i="4"/>
  <c r="AE115" i="4" s="1"/>
  <c r="AD116" i="4"/>
  <c r="AE116" i="4" s="1"/>
  <c r="AD117" i="4"/>
  <c r="AE117" i="4" s="1"/>
  <c r="AD118" i="4"/>
  <c r="AE118" i="4" s="1"/>
  <c r="AD119" i="4"/>
  <c r="AE119" i="4" s="1"/>
  <c r="AD120" i="4"/>
  <c r="AE120" i="4" s="1"/>
  <c r="AD121" i="4"/>
  <c r="AE121" i="4" s="1"/>
  <c r="AD122" i="4"/>
  <c r="AE122" i="4" s="1"/>
  <c r="AD123" i="4"/>
  <c r="AE123" i="4" s="1"/>
  <c r="AD124" i="4"/>
  <c r="AE124" i="4" s="1"/>
  <c r="AD125" i="4"/>
  <c r="AE125" i="4" s="1"/>
  <c r="AD126" i="4"/>
  <c r="AE126" i="4" s="1"/>
  <c r="AD127" i="4"/>
  <c r="AE127" i="4" s="1"/>
  <c r="AD128" i="4"/>
  <c r="AE128" i="4" s="1"/>
  <c r="AD129" i="4"/>
  <c r="AE129" i="4" s="1"/>
  <c r="AD130" i="4"/>
  <c r="AE130" i="4" s="1"/>
  <c r="AD131" i="4"/>
  <c r="AE131" i="4" s="1"/>
  <c r="AD132" i="4"/>
  <c r="AE132" i="4" s="1"/>
  <c r="AD133" i="4"/>
  <c r="AE133" i="4" s="1"/>
  <c r="AD134" i="4"/>
  <c r="AE134" i="4" s="1"/>
  <c r="AD135" i="4"/>
  <c r="AE135" i="4" s="1"/>
  <c r="AD136" i="4"/>
  <c r="AE136" i="4" s="1"/>
  <c r="AD137" i="4"/>
  <c r="AE137" i="4" s="1"/>
  <c r="AD138" i="4"/>
  <c r="AE138" i="4" s="1"/>
  <c r="AD139" i="4"/>
  <c r="AE139" i="4" s="1"/>
  <c r="AD140" i="4"/>
  <c r="AE140" i="4" s="1"/>
  <c r="AD141" i="4"/>
  <c r="AE141" i="4" s="1"/>
  <c r="AD142" i="4"/>
  <c r="AE142" i="4" s="1"/>
  <c r="AD143" i="4"/>
  <c r="AE143" i="4" s="1"/>
  <c r="AD144" i="4"/>
  <c r="AE144" i="4" s="1"/>
  <c r="AD145" i="4"/>
  <c r="AE145" i="4" s="1"/>
  <c r="AD146" i="4"/>
  <c r="AE146" i="4" s="1"/>
  <c r="AD147" i="4"/>
  <c r="AE147" i="4" s="1"/>
  <c r="AD148" i="4"/>
  <c r="AE148" i="4" s="1"/>
  <c r="AD149" i="4"/>
  <c r="AE149" i="4" s="1"/>
  <c r="AD150" i="4"/>
  <c r="AE150" i="4" s="1"/>
  <c r="AD151" i="4"/>
  <c r="AE151" i="4" s="1"/>
  <c r="AD152" i="4"/>
  <c r="AE152" i="4" s="1"/>
  <c r="AD153" i="4"/>
  <c r="AE153" i="4" s="1"/>
  <c r="M11" i="7"/>
  <c r="C96" i="9" s="1"/>
  <c r="AD154" i="4"/>
  <c r="AE154" i="4" s="1"/>
  <c r="AD155" i="4"/>
  <c r="AE155" i="4" s="1"/>
  <c r="AD156" i="4"/>
  <c r="AE156" i="4" s="1"/>
  <c r="AD157" i="4"/>
  <c r="AE157" i="4" s="1"/>
  <c r="AD158" i="4"/>
  <c r="AE158" i="4" s="1"/>
  <c r="AD159" i="4"/>
  <c r="AE159" i="4" s="1"/>
  <c r="AD160" i="4"/>
  <c r="AE160" i="4" s="1"/>
  <c r="AD161" i="4"/>
  <c r="AE161" i="4" s="1"/>
  <c r="AD162" i="4"/>
  <c r="AE162" i="4" s="1"/>
  <c r="AD163" i="4"/>
  <c r="AE163" i="4" s="1"/>
  <c r="L11" i="7"/>
  <c r="B96" i="9" s="1"/>
  <c r="C15" i="5"/>
  <c r="B15" i="5"/>
  <c r="K106" i="4"/>
  <c r="M105" i="4"/>
  <c r="C484" i="9"/>
  <c r="N14" i="5"/>
  <c r="D484" i="9" s="1"/>
  <c r="K14" i="5"/>
  <c r="G325" i="9" s="1"/>
  <c r="F325" i="9"/>
  <c r="Q14" i="5"/>
  <c r="G484" i="9" s="1"/>
  <c r="F484" i="9"/>
  <c r="J30" i="4"/>
  <c r="S110" i="4"/>
  <c r="Q111" i="4"/>
  <c r="E30" i="4"/>
  <c r="K12" i="7"/>
  <c r="H11" i="5" l="1"/>
  <c r="D322" i="9" s="1"/>
  <c r="C322" i="9"/>
  <c r="F481" i="9"/>
  <c r="Q11" i="5"/>
  <c r="G481" i="9" s="1"/>
  <c r="F323" i="9"/>
  <c r="K12" i="5"/>
  <c r="G323" i="9" s="1"/>
  <c r="H12" i="5"/>
  <c r="D323" i="9" s="1"/>
  <c r="C323" i="9"/>
  <c r="F482" i="9"/>
  <c r="Q12" i="5"/>
  <c r="G482" i="9" s="1"/>
  <c r="K11" i="5"/>
  <c r="G322" i="9" s="1"/>
  <c r="F322" i="9"/>
  <c r="C481" i="9"/>
  <c r="N11" i="5"/>
  <c r="D481" i="9" s="1"/>
  <c r="N12" i="5"/>
  <c r="D482" i="9" s="1"/>
  <c r="C482" i="9"/>
  <c r="E12" i="5"/>
  <c r="E93" i="9" s="1"/>
  <c r="D12" i="5"/>
  <c r="D93" i="9" s="1"/>
  <c r="F27" i="4"/>
  <c r="A610" i="9"/>
  <c r="A451" i="9"/>
  <c r="I144" i="4"/>
  <c r="A129" i="5"/>
  <c r="S111" i="4"/>
  <c r="Q112" i="4"/>
  <c r="O16" i="5"/>
  <c r="E486" i="9" s="1"/>
  <c r="P16" i="5"/>
  <c r="L16" i="5"/>
  <c r="B486" i="9" s="1"/>
  <c r="J16" i="5"/>
  <c r="G16" i="5"/>
  <c r="M16" i="5"/>
  <c r="I16" i="5"/>
  <c r="E327" i="9" s="1"/>
  <c r="F16" i="5"/>
  <c r="B327" i="9" s="1"/>
  <c r="M106" i="4"/>
  <c r="K107" i="4"/>
  <c r="P108" i="4"/>
  <c r="N109" i="4"/>
  <c r="E31" i="4"/>
  <c r="K13" i="7"/>
  <c r="K15" i="5"/>
  <c r="G326" i="9" s="1"/>
  <c r="F326" i="9"/>
  <c r="N15" i="5"/>
  <c r="D485" i="9" s="1"/>
  <c r="C485" i="9"/>
  <c r="AG31" i="4"/>
  <c r="AH31" i="4" s="1"/>
  <c r="J31" i="4" s="1"/>
  <c r="AG32" i="4"/>
  <c r="AH32" i="4" s="1"/>
  <c r="AG33" i="4"/>
  <c r="AH33" i="4" s="1"/>
  <c r="AG34" i="4"/>
  <c r="AH34" i="4" s="1"/>
  <c r="AG35" i="4"/>
  <c r="AH35" i="4" s="1"/>
  <c r="AG36" i="4"/>
  <c r="AH36" i="4" s="1"/>
  <c r="AG37" i="4"/>
  <c r="AH37" i="4" s="1"/>
  <c r="AG40" i="4"/>
  <c r="AH40" i="4" s="1"/>
  <c r="AG41" i="4"/>
  <c r="AH41" i="4" s="1"/>
  <c r="AG43" i="4"/>
  <c r="AH43" i="4" s="1"/>
  <c r="AG44" i="4"/>
  <c r="AH44" i="4" s="1"/>
  <c r="AG45" i="4"/>
  <c r="AH45" i="4" s="1"/>
  <c r="AG38" i="4"/>
  <c r="AH38" i="4" s="1"/>
  <c r="AG39" i="4"/>
  <c r="AH39" i="4" s="1"/>
  <c r="AG42" i="4"/>
  <c r="AH42" i="4" s="1"/>
  <c r="AG48" i="4"/>
  <c r="AH48" i="4" s="1"/>
  <c r="AG49" i="4"/>
  <c r="AH49" i="4" s="1"/>
  <c r="AG46" i="4"/>
  <c r="AH46" i="4" s="1"/>
  <c r="AG47" i="4"/>
  <c r="AH47" i="4" s="1"/>
  <c r="AG50" i="4"/>
  <c r="AH50" i="4" s="1"/>
  <c r="AG51" i="4"/>
  <c r="AH51" i="4" s="1"/>
  <c r="AG52" i="4"/>
  <c r="AH52" i="4" s="1"/>
  <c r="AG53" i="4"/>
  <c r="AH53" i="4" s="1"/>
  <c r="AG54" i="4"/>
  <c r="AH54" i="4" s="1"/>
  <c r="AG55" i="4"/>
  <c r="AH55" i="4" s="1"/>
  <c r="AG56" i="4"/>
  <c r="AH56" i="4" s="1"/>
  <c r="AG57" i="4"/>
  <c r="AH57" i="4" s="1"/>
  <c r="AG60" i="4"/>
  <c r="AH60" i="4" s="1"/>
  <c r="AG61" i="4"/>
  <c r="AH61" i="4" s="1"/>
  <c r="AG63" i="4"/>
  <c r="AH63" i="4" s="1"/>
  <c r="AG58" i="4"/>
  <c r="AH58" i="4" s="1"/>
  <c r="AG59" i="4"/>
  <c r="AH59" i="4" s="1"/>
  <c r="AG62" i="4"/>
  <c r="AH62" i="4" s="1"/>
  <c r="AG65" i="4"/>
  <c r="AH65" i="4" s="1"/>
  <c r="AG67" i="4"/>
  <c r="AH67" i="4" s="1"/>
  <c r="AG69" i="4"/>
  <c r="AH69" i="4" s="1"/>
  <c r="AG71" i="4"/>
  <c r="AH71" i="4" s="1"/>
  <c r="AG73" i="4"/>
  <c r="AH73" i="4" s="1"/>
  <c r="AG75" i="4"/>
  <c r="AH75" i="4" s="1"/>
  <c r="AG64" i="4"/>
  <c r="AH64" i="4" s="1"/>
  <c r="AG66" i="4"/>
  <c r="AH66" i="4" s="1"/>
  <c r="AG68" i="4"/>
  <c r="AH68" i="4" s="1"/>
  <c r="AG72" i="4"/>
  <c r="AH72" i="4" s="1"/>
  <c r="AG76" i="4"/>
  <c r="AH76" i="4" s="1"/>
  <c r="AG78" i="4"/>
  <c r="AH78" i="4" s="1"/>
  <c r="AG80" i="4"/>
  <c r="AH80" i="4" s="1"/>
  <c r="AG82" i="4"/>
  <c r="AH82" i="4" s="1"/>
  <c r="AG84" i="4"/>
  <c r="AH84" i="4" s="1"/>
  <c r="AG86" i="4"/>
  <c r="AH86" i="4" s="1"/>
  <c r="AG88" i="4"/>
  <c r="AH88" i="4" s="1"/>
  <c r="AG90" i="4"/>
  <c r="AH90" i="4" s="1"/>
  <c r="AG70" i="4"/>
  <c r="AH70" i="4" s="1"/>
  <c r="AG74" i="4"/>
  <c r="AH74" i="4" s="1"/>
  <c r="AG77" i="4"/>
  <c r="AH77" i="4" s="1"/>
  <c r="AG79" i="4"/>
  <c r="AH79" i="4" s="1"/>
  <c r="AG81" i="4"/>
  <c r="AH81" i="4" s="1"/>
  <c r="AG83" i="4"/>
  <c r="AH83" i="4" s="1"/>
  <c r="AG87" i="4"/>
  <c r="AH87" i="4" s="1"/>
  <c r="AG91" i="4"/>
  <c r="AH91" i="4" s="1"/>
  <c r="AG93" i="4"/>
  <c r="AH93" i="4" s="1"/>
  <c r="AG95" i="4"/>
  <c r="AH95" i="4" s="1"/>
  <c r="AG97" i="4"/>
  <c r="AH97" i="4" s="1"/>
  <c r="AG99" i="4"/>
  <c r="AH99" i="4" s="1"/>
  <c r="AG101" i="4"/>
  <c r="AH101" i="4" s="1"/>
  <c r="AG103" i="4"/>
  <c r="AH103" i="4" s="1"/>
  <c r="AG85" i="4"/>
  <c r="AH85" i="4" s="1"/>
  <c r="AG89" i="4"/>
  <c r="AH89" i="4" s="1"/>
  <c r="AG92" i="4"/>
  <c r="AH92" i="4" s="1"/>
  <c r="AG94" i="4"/>
  <c r="AH94" i="4" s="1"/>
  <c r="AG96" i="4"/>
  <c r="AH96" i="4" s="1"/>
  <c r="AG98" i="4"/>
  <c r="AH98" i="4" s="1"/>
  <c r="AG100" i="4"/>
  <c r="AH100" i="4" s="1"/>
  <c r="AG104" i="4"/>
  <c r="AH104" i="4" s="1"/>
  <c r="AG105" i="4"/>
  <c r="AH105" i="4" s="1"/>
  <c r="AG102" i="4"/>
  <c r="AH102" i="4" s="1"/>
  <c r="AG106" i="4"/>
  <c r="AH106" i="4" s="1"/>
  <c r="AG107" i="4"/>
  <c r="AH107" i="4" s="1"/>
  <c r="AG108" i="4"/>
  <c r="AH108" i="4" s="1"/>
  <c r="AG109" i="4"/>
  <c r="AH109" i="4" s="1"/>
  <c r="AG110" i="4"/>
  <c r="AH110" i="4" s="1"/>
  <c r="AG111" i="4"/>
  <c r="AH111" i="4" s="1"/>
  <c r="AG112" i="4"/>
  <c r="AH112" i="4" s="1"/>
  <c r="AG113" i="4"/>
  <c r="AH113" i="4" s="1"/>
  <c r="AG114" i="4"/>
  <c r="AH114" i="4" s="1"/>
  <c r="AG115" i="4"/>
  <c r="AH115" i="4" s="1"/>
  <c r="AG116" i="4"/>
  <c r="AH116" i="4" s="1"/>
  <c r="AG117" i="4"/>
  <c r="AH117" i="4" s="1"/>
  <c r="AG118" i="4"/>
  <c r="AH118" i="4" s="1"/>
  <c r="AG119" i="4"/>
  <c r="AH119" i="4" s="1"/>
  <c r="AG120" i="4"/>
  <c r="AH120" i="4" s="1"/>
  <c r="AG121" i="4"/>
  <c r="AH121" i="4" s="1"/>
  <c r="AG122" i="4"/>
  <c r="AH122" i="4" s="1"/>
  <c r="AG123" i="4"/>
  <c r="AH123" i="4" s="1"/>
  <c r="AG124" i="4"/>
  <c r="AH124" i="4" s="1"/>
  <c r="AG125" i="4"/>
  <c r="AH125" i="4" s="1"/>
  <c r="AG126" i="4"/>
  <c r="AH126" i="4" s="1"/>
  <c r="AG127" i="4"/>
  <c r="AH127" i="4" s="1"/>
  <c r="AG128" i="4"/>
  <c r="AH128" i="4" s="1"/>
  <c r="AG129" i="4"/>
  <c r="AH129" i="4" s="1"/>
  <c r="AG130" i="4"/>
  <c r="AH130" i="4" s="1"/>
  <c r="AG131" i="4"/>
  <c r="AH131" i="4" s="1"/>
  <c r="AG132" i="4"/>
  <c r="AH132" i="4" s="1"/>
  <c r="AG133" i="4"/>
  <c r="AH133" i="4" s="1"/>
  <c r="AG134" i="4"/>
  <c r="AH134" i="4" s="1"/>
  <c r="AG135" i="4"/>
  <c r="AH135" i="4" s="1"/>
  <c r="AG136" i="4"/>
  <c r="AH136" i="4" s="1"/>
  <c r="AG137" i="4"/>
  <c r="AH137" i="4" s="1"/>
  <c r="AG138" i="4"/>
  <c r="AH138" i="4" s="1"/>
  <c r="AG139" i="4"/>
  <c r="AH139" i="4" s="1"/>
  <c r="AG140" i="4"/>
  <c r="AH140" i="4" s="1"/>
  <c r="AG141" i="4"/>
  <c r="AH141" i="4" s="1"/>
  <c r="AG142" i="4"/>
  <c r="AH142" i="4" s="1"/>
  <c r="AG143" i="4"/>
  <c r="AH143" i="4" s="1"/>
  <c r="AG144" i="4"/>
  <c r="AH144" i="4" s="1"/>
  <c r="AG145" i="4"/>
  <c r="AH145" i="4" s="1"/>
  <c r="AG146" i="4"/>
  <c r="AH146" i="4" s="1"/>
  <c r="AG147" i="4"/>
  <c r="AH147" i="4" s="1"/>
  <c r="AG148" i="4"/>
  <c r="AH148" i="4" s="1"/>
  <c r="AG149" i="4"/>
  <c r="AH149" i="4" s="1"/>
  <c r="AG150" i="4"/>
  <c r="AH150" i="4" s="1"/>
  <c r="AG151" i="4"/>
  <c r="AH151" i="4" s="1"/>
  <c r="AG152" i="4"/>
  <c r="AH152" i="4" s="1"/>
  <c r="AG153" i="4"/>
  <c r="AH153" i="4" s="1"/>
  <c r="M12" i="7"/>
  <c r="C97" i="9" s="1"/>
  <c r="AG154" i="4"/>
  <c r="AH154" i="4" s="1"/>
  <c r="AG155" i="4"/>
  <c r="AH155" i="4" s="1"/>
  <c r="AG156" i="4"/>
  <c r="AH156" i="4" s="1"/>
  <c r="AG157" i="4"/>
  <c r="AH157" i="4" s="1"/>
  <c r="AG158" i="4"/>
  <c r="AH158" i="4" s="1"/>
  <c r="AG159" i="4"/>
  <c r="AH159" i="4" s="1"/>
  <c r="AG160" i="4"/>
  <c r="AH160" i="4" s="1"/>
  <c r="AG161" i="4"/>
  <c r="AH161" i="4" s="1"/>
  <c r="AG162" i="4"/>
  <c r="AH162" i="4" s="1"/>
  <c r="AG163" i="4"/>
  <c r="AH163" i="4" s="1"/>
  <c r="L12" i="7"/>
  <c r="B97" i="9" s="1"/>
  <c r="C16" i="5"/>
  <c r="B16" i="5"/>
  <c r="J18" i="2"/>
  <c r="B32" i="4"/>
  <c r="C326" i="9"/>
  <c r="H15" i="5"/>
  <c r="D326" i="9" s="1"/>
  <c r="Q15" i="5"/>
  <c r="G485" i="9" s="1"/>
  <c r="F485" i="9"/>
  <c r="F28" i="4" l="1"/>
  <c r="D13" i="5"/>
  <c r="D94" i="9" s="1"/>
  <c r="E13" i="5"/>
  <c r="E94" i="9" s="1"/>
  <c r="I145" i="4"/>
  <c r="A130" i="5"/>
  <c r="A611" i="9"/>
  <c r="A452" i="9"/>
  <c r="O17" i="5"/>
  <c r="E487" i="9" s="1"/>
  <c r="P17" i="5"/>
  <c r="M17" i="5"/>
  <c r="I17" i="5"/>
  <c r="E328" i="9" s="1"/>
  <c r="F17" i="5"/>
  <c r="B328" i="9" s="1"/>
  <c r="L17" i="5"/>
  <c r="B487" i="9" s="1"/>
  <c r="J17" i="5"/>
  <c r="G17" i="5"/>
  <c r="J19" i="2"/>
  <c r="B33" i="4"/>
  <c r="P109" i="4"/>
  <c r="N110" i="4"/>
  <c r="H16" i="5"/>
  <c r="D327" i="9" s="1"/>
  <c r="C327" i="9"/>
  <c r="E32" i="4"/>
  <c r="K14" i="7"/>
  <c r="AJ32" i="4"/>
  <c r="AK32" i="4" s="1"/>
  <c r="J32" i="4" s="1"/>
  <c r="AJ33" i="4"/>
  <c r="AK33" i="4" s="1"/>
  <c r="AJ34" i="4"/>
  <c r="AK34" i="4" s="1"/>
  <c r="AJ35" i="4"/>
  <c r="AK35" i="4" s="1"/>
  <c r="AJ38" i="4"/>
  <c r="AK38" i="4" s="1"/>
  <c r="AJ39" i="4"/>
  <c r="AK39" i="4" s="1"/>
  <c r="AJ42" i="4"/>
  <c r="AK42" i="4" s="1"/>
  <c r="AJ43" i="4"/>
  <c r="AK43" i="4" s="1"/>
  <c r="AJ44" i="4"/>
  <c r="AK44" i="4" s="1"/>
  <c r="AJ45" i="4"/>
  <c r="AK45" i="4" s="1"/>
  <c r="AJ36" i="4"/>
  <c r="AK36" i="4" s="1"/>
  <c r="AJ37" i="4"/>
  <c r="AK37" i="4" s="1"/>
  <c r="AJ40" i="4"/>
  <c r="AK40" i="4" s="1"/>
  <c r="AJ41" i="4"/>
  <c r="AK41" i="4" s="1"/>
  <c r="AJ46" i="4"/>
  <c r="AK46" i="4" s="1"/>
  <c r="AJ47" i="4"/>
  <c r="AK47" i="4" s="1"/>
  <c r="AJ48" i="4"/>
  <c r="AK48" i="4" s="1"/>
  <c r="AJ49" i="4"/>
  <c r="AK49" i="4" s="1"/>
  <c r="AJ50" i="4"/>
  <c r="AK50" i="4" s="1"/>
  <c r="AJ51" i="4"/>
  <c r="AK51" i="4" s="1"/>
  <c r="AJ52" i="4"/>
  <c r="AK52" i="4" s="1"/>
  <c r="AJ53" i="4"/>
  <c r="AK53" i="4" s="1"/>
  <c r="AJ54" i="4"/>
  <c r="AK54" i="4" s="1"/>
  <c r="AJ55" i="4"/>
  <c r="AK55" i="4" s="1"/>
  <c r="AJ56" i="4"/>
  <c r="AK56" i="4" s="1"/>
  <c r="AJ57" i="4"/>
  <c r="AK57" i="4" s="1"/>
  <c r="AJ60" i="4"/>
  <c r="AK60" i="4" s="1"/>
  <c r="AJ61" i="4"/>
  <c r="AK61" i="4" s="1"/>
  <c r="AJ63" i="4"/>
  <c r="AK63" i="4" s="1"/>
  <c r="AJ65" i="4"/>
  <c r="AK65" i="4" s="1"/>
  <c r="AJ67" i="4"/>
  <c r="AK67" i="4" s="1"/>
  <c r="AJ69" i="4"/>
  <c r="AK69" i="4" s="1"/>
  <c r="AJ71" i="4"/>
  <c r="AK71" i="4" s="1"/>
  <c r="AJ73" i="4"/>
  <c r="AK73" i="4" s="1"/>
  <c r="AJ75" i="4"/>
  <c r="AK75" i="4" s="1"/>
  <c r="AJ58" i="4"/>
  <c r="AK58" i="4" s="1"/>
  <c r="AJ59" i="4"/>
  <c r="AK59" i="4" s="1"/>
  <c r="AJ62" i="4"/>
  <c r="AK62" i="4" s="1"/>
  <c r="AJ64" i="4"/>
  <c r="AK64" i="4" s="1"/>
  <c r="AJ66" i="4"/>
  <c r="AK66" i="4" s="1"/>
  <c r="AJ70" i="4"/>
  <c r="AK70" i="4" s="1"/>
  <c r="AJ74" i="4"/>
  <c r="AK74" i="4" s="1"/>
  <c r="AJ76" i="4"/>
  <c r="AK76" i="4" s="1"/>
  <c r="AJ78" i="4"/>
  <c r="AK78" i="4" s="1"/>
  <c r="AJ80" i="4"/>
  <c r="AK80" i="4" s="1"/>
  <c r="AJ82" i="4"/>
  <c r="AK82" i="4" s="1"/>
  <c r="AJ84" i="4"/>
  <c r="AK84" i="4" s="1"/>
  <c r="AJ86" i="4"/>
  <c r="AK86" i="4" s="1"/>
  <c r="AJ88" i="4"/>
  <c r="AK88" i="4" s="1"/>
  <c r="AJ90" i="4"/>
  <c r="AK90" i="4" s="1"/>
  <c r="AJ68" i="4"/>
  <c r="AK68" i="4" s="1"/>
  <c r="AJ72" i="4"/>
  <c r="AK72" i="4" s="1"/>
  <c r="AJ77" i="4"/>
  <c r="AK77" i="4" s="1"/>
  <c r="AJ79" i="4"/>
  <c r="AK79" i="4" s="1"/>
  <c r="AJ81" i="4"/>
  <c r="AK81" i="4" s="1"/>
  <c r="AJ83" i="4"/>
  <c r="AK83" i="4" s="1"/>
  <c r="AJ85" i="4"/>
  <c r="AK85" i="4" s="1"/>
  <c r="AJ89" i="4"/>
  <c r="AK89" i="4" s="1"/>
  <c r="AJ91" i="4"/>
  <c r="AK91" i="4" s="1"/>
  <c r="AJ93" i="4"/>
  <c r="AK93" i="4" s="1"/>
  <c r="AJ95" i="4"/>
  <c r="AK95" i="4" s="1"/>
  <c r="AJ97" i="4"/>
  <c r="AK97" i="4" s="1"/>
  <c r="AJ99" i="4"/>
  <c r="AK99" i="4" s="1"/>
  <c r="AJ101" i="4"/>
  <c r="AK101" i="4" s="1"/>
  <c r="AJ103" i="4"/>
  <c r="AK103" i="4" s="1"/>
  <c r="AJ87" i="4"/>
  <c r="AK87" i="4" s="1"/>
  <c r="AJ92" i="4"/>
  <c r="AK92" i="4" s="1"/>
  <c r="AJ94" i="4"/>
  <c r="AK94" i="4" s="1"/>
  <c r="AJ96" i="4"/>
  <c r="AK96" i="4" s="1"/>
  <c r="AJ98" i="4"/>
  <c r="AK98" i="4" s="1"/>
  <c r="AJ100" i="4"/>
  <c r="AK100" i="4" s="1"/>
  <c r="AJ102" i="4"/>
  <c r="AK102" i="4" s="1"/>
  <c r="AJ104" i="4"/>
  <c r="AK104" i="4" s="1"/>
  <c r="AJ105" i="4"/>
  <c r="AK105" i="4" s="1"/>
  <c r="AJ106" i="4"/>
  <c r="AK106" i="4" s="1"/>
  <c r="AJ107" i="4"/>
  <c r="AK107" i="4" s="1"/>
  <c r="AJ108" i="4"/>
  <c r="AK108" i="4" s="1"/>
  <c r="AJ109" i="4"/>
  <c r="AK109" i="4" s="1"/>
  <c r="AJ110" i="4"/>
  <c r="AK110" i="4" s="1"/>
  <c r="AJ111" i="4"/>
  <c r="AK111" i="4" s="1"/>
  <c r="AJ112" i="4"/>
  <c r="AK112" i="4" s="1"/>
  <c r="AJ113" i="4"/>
  <c r="AK113" i="4" s="1"/>
  <c r="AJ114" i="4"/>
  <c r="AK114" i="4" s="1"/>
  <c r="AJ115" i="4"/>
  <c r="AK115" i="4" s="1"/>
  <c r="AJ116" i="4"/>
  <c r="AK116" i="4" s="1"/>
  <c r="AJ117" i="4"/>
  <c r="AK117" i="4" s="1"/>
  <c r="AJ118" i="4"/>
  <c r="AK118" i="4" s="1"/>
  <c r="AJ119" i="4"/>
  <c r="AK119" i="4" s="1"/>
  <c r="AJ120" i="4"/>
  <c r="AK120" i="4" s="1"/>
  <c r="AJ121" i="4"/>
  <c r="AK121" i="4" s="1"/>
  <c r="AJ122" i="4"/>
  <c r="AK122" i="4" s="1"/>
  <c r="AJ123" i="4"/>
  <c r="AK123" i="4" s="1"/>
  <c r="AJ124" i="4"/>
  <c r="AK124" i="4" s="1"/>
  <c r="AJ125" i="4"/>
  <c r="AK125" i="4" s="1"/>
  <c r="AJ126" i="4"/>
  <c r="AK126" i="4" s="1"/>
  <c r="AJ127" i="4"/>
  <c r="AK127" i="4" s="1"/>
  <c r="AJ128" i="4"/>
  <c r="AK128" i="4" s="1"/>
  <c r="AJ129" i="4"/>
  <c r="AK129" i="4" s="1"/>
  <c r="AJ130" i="4"/>
  <c r="AK130" i="4" s="1"/>
  <c r="AJ131" i="4"/>
  <c r="AK131" i="4" s="1"/>
  <c r="AJ132" i="4"/>
  <c r="AK132" i="4" s="1"/>
  <c r="AJ133" i="4"/>
  <c r="AK133" i="4" s="1"/>
  <c r="AJ134" i="4"/>
  <c r="AK134" i="4" s="1"/>
  <c r="AJ135" i="4"/>
  <c r="AK135" i="4" s="1"/>
  <c r="AJ136" i="4"/>
  <c r="AK136" i="4" s="1"/>
  <c r="AJ137" i="4"/>
  <c r="AK137" i="4" s="1"/>
  <c r="AJ138" i="4"/>
  <c r="AK138" i="4" s="1"/>
  <c r="AJ139" i="4"/>
  <c r="AK139" i="4" s="1"/>
  <c r="AJ140" i="4"/>
  <c r="AK140" i="4" s="1"/>
  <c r="AJ141" i="4"/>
  <c r="AK141" i="4" s="1"/>
  <c r="AJ142" i="4"/>
  <c r="AK142" i="4" s="1"/>
  <c r="AJ143" i="4"/>
  <c r="AK143" i="4" s="1"/>
  <c r="AJ144" i="4"/>
  <c r="AK144" i="4" s="1"/>
  <c r="AJ145" i="4"/>
  <c r="AK145" i="4" s="1"/>
  <c r="AJ146" i="4"/>
  <c r="AK146" i="4" s="1"/>
  <c r="AJ147" i="4"/>
  <c r="AK147" i="4" s="1"/>
  <c r="AJ148" i="4"/>
  <c r="AK148" i="4" s="1"/>
  <c r="AJ149" i="4"/>
  <c r="AK149" i="4" s="1"/>
  <c r="AJ150" i="4"/>
  <c r="AK150" i="4" s="1"/>
  <c r="AJ151" i="4"/>
  <c r="AK151" i="4" s="1"/>
  <c r="AJ152" i="4"/>
  <c r="AK152" i="4" s="1"/>
  <c r="AJ153" i="4"/>
  <c r="AK153" i="4" s="1"/>
  <c r="M13" i="7"/>
  <c r="C98" i="9" s="1"/>
  <c r="AJ154" i="4"/>
  <c r="AK154" i="4" s="1"/>
  <c r="AJ155" i="4"/>
  <c r="AK155" i="4" s="1"/>
  <c r="AJ156" i="4"/>
  <c r="AK156" i="4" s="1"/>
  <c r="AJ157" i="4"/>
  <c r="AK157" i="4" s="1"/>
  <c r="AJ158" i="4"/>
  <c r="AK158" i="4" s="1"/>
  <c r="AJ159" i="4"/>
  <c r="AK159" i="4" s="1"/>
  <c r="AJ160" i="4"/>
  <c r="AK160" i="4" s="1"/>
  <c r="AJ161" i="4"/>
  <c r="AK161" i="4" s="1"/>
  <c r="AJ162" i="4"/>
  <c r="AK162" i="4" s="1"/>
  <c r="AJ163" i="4"/>
  <c r="AK163" i="4" s="1"/>
  <c r="L13" i="7"/>
  <c r="B98" i="9" s="1"/>
  <c r="C17" i="5"/>
  <c r="B17" i="5"/>
  <c r="M107" i="4"/>
  <c r="K108" i="4"/>
  <c r="C486" i="9"/>
  <c r="N16" i="5"/>
  <c r="D486" i="9" s="1"/>
  <c r="K16" i="5"/>
  <c r="G327" i="9" s="1"/>
  <c r="F327" i="9"/>
  <c r="Q16" i="5"/>
  <c r="G486" i="9" s="1"/>
  <c r="F486" i="9"/>
  <c r="S112" i="4"/>
  <c r="Q113" i="4"/>
  <c r="F29" i="4" l="1"/>
  <c r="D14" i="5"/>
  <c r="D95" i="9" s="1"/>
  <c r="E14" i="5"/>
  <c r="E95" i="9" s="1"/>
  <c r="A612" i="9"/>
  <c r="A453" i="9"/>
  <c r="I146" i="4"/>
  <c r="A131" i="5"/>
  <c r="O18" i="5"/>
  <c r="E488" i="9" s="1"/>
  <c r="P18" i="5"/>
  <c r="L18" i="5"/>
  <c r="B488" i="9" s="1"/>
  <c r="J18" i="5"/>
  <c r="G18" i="5"/>
  <c r="M18" i="5"/>
  <c r="I18" i="5"/>
  <c r="E329" i="9" s="1"/>
  <c r="F18" i="5"/>
  <c r="B329" i="9" s="1"/>
  <c r="J20" i="2"/>
  <c r="B34" i="4"/>
  <c r="K17" i="5"/>
  <c r="G328" i="9" s="1"/>
  <c r="F328" i="9"/>
  <c r="N17" i="5"/>
  <c r="D487" i="9" s="1"/>
  <c r="C487" i="9"/>
  <c r="S113" i="4"/>
  <c r="Q114" i="4"/>
  <c r="M108" i="4"/>
  <c r="K109" i="4"/>
  <c r="AM33" i="4"/>
  <c r="AN33" i="4" s="1"/>
  <c r="J33" i="4" s="1"/>
  <c r="AM34" i="4"/>
  <c r="AN34" i="4" s="1"/>
  <c r="AM35" i="4"/>
  <c r="AN35" i="4" s="1"/>
  <c r="AM36" i="4"/>
  <c r="AN36" i="4" s="1"/>
  <c r="AM37" i="4"/>
  <c r="AN37" i="4" s="1"/>
  <c r="AM40" i="4"/>
  <c r="AN40" i="4" s="1"/>
  <c r="AM41" i="4"/>
  <c r="AN41" i="4" s="1"/>
  <c r="AM43" i="4"/>
  <c r="AN43" i="4" s="1"/>
  <c r="AM44" i="4"/>
  <c r="AN44" i="4" s="1"/>
  <c r="AM45" i="4"/>
  <c r="AN45" i="4" s="1"/>
  <c r="AM38" i="4"/>
  <c r="AN38" i="4" s="1"/>
  <c r="AM39" i="4"/>
  <c r="AN39" i="4" s="1"/>
  <c r="AM42" i="4"/>
  <c r="AN42" i="4" s="1"/>
  <c r="AM48" i="4"/>
  <c r="AN48" i="4" s="1"/>
  <c r="AM49" i="4"/>
  <c r="AN49" i="4" s="1"/>
  <c r="AM46" i="4"/>
  <c r="AN46" i="4" s="1"/>
  <c r="AM47" i="4"/>
  <c r="AN47" i="4" s="1"/>
  <c r="AM50" i="4"/>
  <c r="AN50" i="4" s="1"/>
  <c r="AM51" i="4"/>
  <c r="AN51" i="4" s="1"/>
  <c r="AM52" i="4"/>
  <c r="AN52" i="4" s="1"/>
  <c r="AM53" i="4"/>
  <c r="AN53" i="4" s="1"/>
  <c r="AM54" i="4"/>
  <c r="AN54" i="4" s="1"/>
  <c r="AM55" i="4"/>
  <c r="AN55" i="4" s="1"/>
  <c r="AM56" i="4"/>
  <c r="AN56" i="4" s="1"/>
  <c r="AM57" i="4"/>
  <c r="AN57" i="4" s="1"/>
  <c r="AM60" i="4"/>
  <c r="AN60" i="4" s="1"/>
  <c r="AM61" i="4"/>
  <c r="AN61" i="4" s="1"/>
  <c r="AM63" i="4"/>
  <c r="AN63" i="4" s="1"/>
  <c r="AM58" i="4"/>
  <c r="AN58" i="4" s="1"/>
  <c r="AM59" i="4"/>
  <c r="AN59" i="4" s="1"/>
  <c r="AM62" i="4"/>
  <c r="AN62" i="4" s="1"/>
  <c r="AM65" i="4"/>
  <c r="AN65" i="4" s="1"/>
  <c r="AM67" i="4"/>
  <c r="AN67" i="4" s="1"/>
  <c r="AM69" i="4"/>
  <c r="AN69" i="4" s="1"/>
  <c r="AM71" i="4"/>
  <c r="AN71" i="4" s="1"/>
  <c r="AM73" i="4"/>
  <c r="AN73" i="4" s="1"/>
  <c r="AM75" i="4"/>
  <c r="AN75" i="4" s="1"/>
  <c r="AM64" i="4"/>
  <c r="AN64" i="4" s="1"/>
  <c r="AM66" i="4"/>
  <c r="AN66" i="4" s="1"/>
  <c r="AM68" i="4"/>
  <c r="AN68" i="4" s="1"/>
  <c r="AM72" i="4"/>
  <c r="AN72" i="4" s="1"/>
  <c r="AM76" i="4"/>
  <c r="AN76" i="4" s="1"/>
  <c r="AM78" i="4"/>
  <c r="AN78" i="4" s="1"/>
  <c r="AM80" i="4"/>
  <c r="AN80" i="4" s="1"/>
  <c r="AM82" i="4"/>
  <c r="AN82" i="4" s="1"/>
  <c r="AM84" i="4"/>
  <c r="AN84" i="4" s="1"/>
  <c r="AM86" i="4"/>
  <c r="AN86" i="4" s="1"/>
  <c r="AM88" i="4"/>
  <c r="AN88" i="4" s="1"/>
  <c r="AM90" i="4"/>
  <c r="AN90" i="4" s="1"/>
  <c r="AM70" i="4"/>
  <c r="AN70" i="4" s="1"/>
  <c r="AM74" i="4"/>
  <c r="AN74" i="4" s="1"/>
  <c r="AM77" i="4"/>
  <c r="AN77" i="4" s="1"/>
  <c r="AM79" i="4"/>
  <c r="AN79" i="4" s="1"/>
  <c r="AM81" i="4"/>
  <c r="AN81" i="4" s="1"/>
  <c r="AM83" i="4"/>
  <c r="AN83" i="4" s="1"/>
  <c r="AM87" i="4"/>
  <c r="AN87" i="4" s="1"/>
  <c r="AM91" i="4"/>
  <c r="AN91" i="4" s="1"/>
  <c r="AM93" i="4"/>
  <c r="AN93" i="4" s="1"/>
  <c r="AM95" i="4"/>
  <c r="AN95" i="4" s="1"/>
  <c r="AM97" i="4"/>
  <c r="AN97" i="4" s="1"/>
  <c r="AM99" i="4"/>
  <c r="AN99" i="4" s="1"/>
  <c r="AM101" i="4"/>
  <c r="AN101" i="4" s="1"/>
  <c r="AM103" i="4"/>
  <c r="AN103" i="4" s="1"/>
  <c r="AM85" i="4"/>
  <c r="AN85" i="4" s="1"/>
  <c r="AM89" i="4"/>
  <c r="AN89" i="4" s="1"/>
  <c r="AM92" i="4"/>
  <c r="AN92" i="4" s="1"/>
  <c r="AM94" i="4"/>
  <c r="AN94" i="4" s="1"/>
  <c r="AM96" i="4"/>
  <c r="AN96" i="4" s="1"/>
  <c r="AM98" i="4"/>
  <c r="AN98" i="4" s="1"/>
  <c r="AM100" i="4"/>
  <c r="AN100" i="4" s="1"/>
  <c r="AM104" i="4"/>
  <c r="AN104" i="4" s="1"/>
  <c r="AM105" i="4"/>
  <c r="AN105" i="4" s="1"/>
  <c r="AM102" i="4"/>
  <c r="AN102" i="4" s="1"/>
  <c r="AM106" i="4"/>
  <c r="AN106" i="4" s="1"/>
  <c r="AM107" i="4"/>
  <c r="AN107" i="4" s="1"/>
  <c r="AM108" i="4"/>
  <c r="AN108" i="4" s="1"/>
  <c r="AM109" i="4"/>
  <c r="AN109" i="4" s="1"/>
  <c r="AM110" i="4"/>
  <c r="AN110" i="4" s="1"/>
  <c r="AM111" i="4"/>
  <c r="AN111" i="4" s="1"/>
  <c r="AM112" i="4"/>
  <c r="AN112" i="4" s="1"/>
  <c r="AM113" i="4"/>
  <c r="AN113" i="4" s="1"/>
  <c r="AM114" i="4"/>
  <c r="AN114" i="4" s="1"/>
  <c r="AM115" i="4"/>
  <c r="AN115" i="4" s="1"/>
  <c r="AM116" i="4"/>
  <c r="AN116" i="4" s="1"/>
  <c r="AM117" i="4"/>
  <c r="AN117" i="4" s="1"/>
  <c r="AM118" i="4"/>
  <c r="AN118" i="4" s="1"/>
  <c r="AM119" i="4"/>
  <c r="AN119" i="4" s="1"/>
  <c r="AM120" i="4"/>
  <c r="AN120" i="4" s="1"/>
  <c r="AM121" i="4"/>
  <c r="AN121" i="4" s="1"/>
  <c r="AM122" i="4"/>
  <c r="AN122" i="4" s="1"/>
  <c r="AM123" i="4"/>
  <c r="AN123" i="4" s="1"/>
  <c r="AM124" i="4"/>
  <c r="AN124" i="4" s="1"/>
  <c r="AM125" i="4"/>
  <c r="AN125" i="4" s="1"/>
  <c r="AM126" i="4"/>
  <c r="AN126" i="4" s="1"/>
  <c r="AM127" i="4"/>
  <c r="AN127" i="4" s="1"/>
  <c r="AM128" i="4"/>
  <c r="AN128" i="4" s="1"/>
  <c r="AM129" i="4"/>
  <c r="AN129" i="4" s="1"/>
  <c r="AM130" i="4"/>
  <c r="AN130" i="4" s="1"/>
  <c r="AM131" i="4"/>
  <c r="AN131" i="4" s="1"/>
  <c r="AM132" i="4"/>
  <c r="AN132" i="4" s="1"/>
  <c r="AM133" i="4"/>
  <c r="AN133" i="4" s="1"/>
  <c r="AM134" i="4"/>
  <c r="AN134" i="4" s="1"/>
  <c r="AM135" i="4"/>
  <c r="AN135" i="4" s="1"/>
  <c r="AM136" i="4"/>
  <c r="AN136" i="4" s="1"/>
  <c r="AM137" i="4"/>
  <c r="AN137" i="4" s="1"/>
  <c r="AM138" i="4"/>
  <c r="AN138" i="4" s="1"/>
  <c r="AM139" i="4"/>
  <c r="AN139" i="4" s="1"/>
  <c r="AM140" i="4"/>
  <c r="AN140" i="4" s="1"/>
  <c r="AM141" i="4"/>
  <c r="AN141" i="4" s="1"/>
  <c r="AM142" i="4"/>
  <c r="AN142" i="4" s="1"/>
  <c r="AM143" i="4"/>
  <c r="AN143" i="4" s="1"/>
  <c r="AM144" i="4"/>
  <c r="AN144" i="4" s="1"/>
  <c r="AM145" i="4"/>
  <c r="AN145" i="4" s="1"/>
  <c r="AM146" i="4"/>
  <c r="AN146" i="4" s="1"/>
  <c r="AM147" i="4"/>
  <c r="AN147" i="4" s="1"/>
  <c r="AM148" i="4"/>
  <c r="AN148" i="4" s="1"/>
  <c r="AM149" i="4"/>
  <c r="AN149" i="4" s="1"/>
  <c r="AM150" i="4"/>
  <c r="AN150" i="4" s="1"/>
  <c r="AM151" i="4"/>
  <c r="AN151" i="4" s="1"/>
  <c r="AM152" i="4"/>
  <c r="AN152" i="4" s="1"/>
  <c r="AM153" i="4"/>
  <c r="AN153" i="4" s="1"/>
  <c r="M14" i="7"/>
  <c r="C99" i="9" s="1"/>
  <c r="AM154" i="4"/>
  <c r="AN154" i="4" s="1"/>
  <c r="AM155" i="4"/>
  <c r="AN155" i="4" s="1"/>
  <c r="AM156" i="4"/>
  <c r="AN156" i="4" s="1"/>
  <c r="AM157" i="4"/>
  <c r="AN157" i="4" s="1"/>
  <c r="AM158" i="4"/>
  <c r="AN158" i="4" s="1"/>
  <c r="AM159" i="4"/>
  <c r="AN159" i="4" s="1"/>
  <c r="AM160" i="4"/>
  <c r="AN160" i="4" s="1"/>
  <c r="AM161" i="4"/>
  <c r="AN161" i="4" s="1"/>
  <c r="AM162" i="4"/>
  <c r="AN162" i="4" s="1"/>
  <c r="AM163" i="4"/>
  <c r="AN163" i="4" s="1"/>
  <c r="L14" i="7"/>
  <c r="B99" i="9" s="1"/>
  <c r="C18" i="5"/>
  <c r="B18" i="5"/>
  <c r="P110" i="4"/>
  <c r="N111" i="4"/>
  <c r="E33" i="4"/>
  <c r="K15" i="7"/>
  <c r="C328" i="9"/>
  <c r="H17" i="5"/>
  <c r="D328" i="9" s="1"/>
  <c r="Q17" i="5"/>
  <c r="G487" i="9" s="1"/>
  <c r="F487" i="9"/>
  <c r="D15" i="5" l="1"/>
  <c r="D96" i="9" s="1"/>
  <c r="F30" i="4"/>
  <c r="E15" i="5"/>
  <c r="E96" i="9" s="1"/>
  <c r="I147" i="4"/>
  <c r="A132" i="5"/>
  <c r="A613" i="9"/>
  <c r="A454" i="9"/>
  <c r="O19" i="5"/>
  <c r="E489" i="9" s="1"/>
  <c r="P19" i="5"/>
  <c r="M19" i="5"/>
  <c r="I19" i="5"/>
  <c r="E330" i="9" s="1"/>
  <c r="F19" i="5"/>
  <c r="B330" i="9" s="1"/>
  <c r="L19" i="5"/>
  <c r="B489" i="9" s="1"/>
  <c r="J19" i="5"/>
  <c r="G19" i="5"/>
  <c r="P111" i="4"/>
  <c r="N112" i="4"/>
  <c r="AP34" i="4"/>
  <c r="AQ34" i="4" s="1"/>
  <c r="J34" i="4" s="1"/>
  <c r="AP35" i="4"/>
  <c r="AQ35" i="4" s="1"/>
  <c r="AP38" i="4"/>
  <c r="AQ38" i="4" s="1"/>
  <c r="AP39" i="4"/>
  <c r="AQ39" i="4" s="1"/>
  <c r="AP42" i="4"/>
  <c r="AQ42" i="4" s="1"/>
  <c r="AP43" i="4"/>
  <c r="AQ43" i="4" s="1"/>
  <c r="AP44" i="4"/>
  <c r="AQ44" i="4" s="1"/>
  <c r="AP45" i="4"/>
  <c r="AQ45" i="4" s="1"/>
  <c r="AP36" i="4"/>
  <c r="AQ36" i="4" s="1"/>
  <c r="AP37" i="4"/>
  <c r="AQ37" i="4" s="1"/>
  <c r="AP40" i="4"/>
  <c r="AQ40" i="4" s="1"/>
  <c r="AP41" i="4"/>
  <c r="AQ41" i="4" s="1"/>
  <c r="AP46" i="4"/>
  <c r="AQ46" i="4" s="1"/>
  <c r="AP47" i="4"/>
  <c r="AQ47" i="4" s="1"/>
  <c r="AP48" i="4"/>
  <c r="AQ48" i="4" s="1"/>
  <c r="AP49" i="4"/>
  <c r="AQ49" i="4" s="1"/>
  <c r="AP50" i="4"/>
  <c r="AQ50" i="4" s="1"/>
  <c r="AP51" i="4"/>
  <c r="AQ51" i="4" s="1"/>
  <c r="AP52" i="4"/>
  <c r="AQ52" i="4" s="1"/>
  <c r="AP53" i="4"/>
  <c r="AQ53" i="4" s="1"/>
  <c r="AP54" i="4"/>
  <c r="AQ54" i="4" s="1"/>
  <c r="AP55" i="4"/>
  <c r="AQ55" i="4" s="1"/>
  <c r="AP56" i="4"/>
  <c r="AQ56" i="4" s="1"/>
  <c r="AP57" i="4"/>
  <c r="AQ57" i="4" s="1"/>
  <c r="AP60" i="4"/>
  <c r="AQ60" i="4" s="1"/>
  <c r="AP61" i="4"/>
  <c r="AQ61" i="4" s="1"/>
  <c r="AP63" i="4"/>
  <c r="AQ63" i="4" s="1"/>
  <c r="AP65" i="4"/>
  <c r="AQ65" i="4" s="1"/>
  <c r="AP67" i="4"/>
  <c r="AQ67" i="4" s="1"/>
  <c r="AP69" i="4"/>
  <c r="AQ69" i="4" s="1"/>
  <c r="AP71" i="4"/>
  <c r="AQ71" i="4" s="1"/>
  <c r="AP73" i="4"/>
  <c r="AQ73" i="4" s="1"/>
  <c r="AP75" i="4"/>
  <c r="AQ75" i="4" s="1"/>
  <c r="AP58" i="4"/>
  <c r="AQ58" i="4" s="1"/>
  <c r="AP59" i="4"/>
  <c r="AQ59" i="4" s="1"/>
  <c r="AP62" i="4"/>
  <c r="AQ62" i="4" s="1"/>
  <c r="AP64" i="4"/>
  <c r="AQ64" i="4" s="1"/>
  <c r="AP66" i="4"/>
  <c r="AQ66" i="4" s="1"/>
  <c r="AP70" i="4"/>
  <c r="AQ70" i="4" s="1"/>
  <c r="AP74" i="4"/>
  <c r="AQ74" i="4" s="1"/>
  <c r="AP76" i="4"/>
  <c r="AQ76" i="4" s="1"/>
  <c r="AP78" i="4"/>
  <c r="AQ78" i="4" s="1"/>
  <c r="AP80" i="4"/>
  <c r="AQ80" i="4" s="1"/>
  <c r="AP82" i="4"/>
  <c r="AQ82" i="4" s="1"/>
  <c r="AP84" i="4"/>
  <c r="AQ84" i="4" s="1"/>
  <c r="AP86" i="4"/>
  <c r="AQ86" i="4" s="1"/>
  <c r="AP88" i="4"/>
  <c r="AQ88" i="4" s="1"/>
  <c r="AP90" i="4"/>
  <c r="AQ90" i="4" s="1"/>
  <c r="AP68" i="4"/>
  <c r="AQ68" i="4" s="1"/>
  <c r="AP72" i="4"/>
  <c r="AQ72" i="4" s="1"/>
  <c r="AP77" i="4"/>
  <c r="AQ77" i="4" s="1"/>
  <c r="AP79" i="4"/>
  <c r="AQ79" i="4" s="1"/>
  <c r="AP81" i="4"/>
  <c r="AQ81" i="4" s="1"/>
  <c r="AP83" i="4"/>
  <c r="AQ83" i="4" s="1"/>
  <c r="AP85" i="4"/>
  <c r="AQ85" i="4" s="1"/>
  <c r="AP89" i="4"/>
  <c r="AQ89" i="4" s="1"/>
  <c r="AP91" i="4"/>
  <c r="AQ91" i="4" s="1"/>
  <c r="AP93" i="4"/>
  <c r="AQ93" i="4" s="1"/>
  <c r="AP95" i="4"/>
  <c r="AQ95" i="4" s="1"/>
  <c r="AP97" i="4"/>
  <c r="AQ97" i="4" s="1"/>
  <c r="AP99" i="4"/>
  <c r="AQ99" i="4" s="1"/>
  <c r="AP101" i="4"/>
  <c r="AQ101" i="4" s="1"/>
  <c r="AP103" i="4"/>
  <c r="AQ103" i="4" s="1"/>
  <c r="AP87" i="4"/>
  <c r="AQ87" i="4" s="1"/>
  <c r="AP92" i="4"/>
  <c r="AQ92" i="4" s="1"/>
  <c r="AP94" i="4"/>
  <c r="AQ94" i="4" s="1"/>
  <c r="AP96" i="4"/>
  <c r="AQ96" i="4" s="1"/>
  <c r="AP98" i="4"/>
  <c r="AQ98" i="4" s="1"/>
  <c r="AP100" i="4"/>
  <c r="AQ100" i="4" s="1"/>
  <c r="AP102" i="4"/>
  <c r="AQ102" i="4" s="1"/>
  <c r="AP104" i="4"/>
  <c r="AQ104" i="4" s="1"/>
  <c r="AP105" i="4"/>
  <c r="AQ105" i="4" s="1"/>
  <c r="AP106" i="4"/>
  <c r="AQ106" i="4" s="1"/>
  <c r="AP107" i="4"/>
  <c r="AQ107" i="4" s="1"/>
  <c r="AP108" i="4"/>
  <c r="AQ108" i="4" s="1"/>
  <c r="AP109" i="4"/>
  <c r="AQ109" i="4" s="1"/>
  <c r="AP110" i="4"/>
  <c r="AQ110" i="4" s="1"/>
  <c r="AP111" i="4"/>
  <c r="AQ111" i="4" s="1"/>
  <c r="AP112" i="4"/>
  <c r="AQ112" i="4" s="1"/>
  <c r="AP113" i="4"/>
  <c r="AQ113" i="4" s="1"/>
  <c r="AP114" i="4"/>
  <c r="AQ114" i="4" s="1"/>
  <c r="AP115" i="4"/>
  <c r="AQ115" i="4" s="1"/>
  <c r="AP116" i="4"/>
  <c r="AQ116" i="4" s="1"/>
  <c r="AP117" i="4"/>
  <c r="AQ117" i="4" s="1"/>
  <c r="AP118" i="4"/>
  <c r="AQ118" i="4" s="1"/>
  <c r="AP119" i="4"/>
  <c r="AQ119" i="4" s="1"/>
  <c r="AP120" i="4"/>
  <c r="AQ120" i="4" s="1"/>
  <c r="AP121" i="4"/>
  <c r="AQ121" i="4" s="1"/>
  <c r="AP122" i="4"/>
  <c r="AQ122" i="4" s="1"/>
  <c r="AP123" i="4"/>
  <c r="AQ123" i="4" s="1"/>
  <c r="AP124" i="4"/>
  <c r="AQ124" i="4" s="1"/>
  <c r="AP125" i="4"/>
  <c r="AQ125" i="4" s="1"/>
  <c r="AP126" i="4"/>
  <c r="AQ126" i="4" s="1"/>
  <c r="AP127" i="4"/>
  <c r="AQ127" i="4" s="1"/>
  <c r="AP128" i="4"/>
  <c r="AQ128" i="4" s="1"/>
  <c r="AP129" i="4"/>
  <c r="AQ129" i="4" s="1"/>
  <c r="AP130" i="4"/>
  <c r="AQ130" i="4" s="1"/>
  <c r="AP131" i="4"/>
  <c r="AQ131" i="4" s="1"/>
  <c r="AP132" i="4"/>
  <c r="AQ132" i="4" s="1"/>
  <c r="AP133" i="4"/>
  <c r="AQ133" i="4" s="1"/>
  <c r="AP134" i="4"/>
  <c r="AQ134" i="4" s="1"/>
  <c r="AP135" i="4"/>
  <c r="AQ135" i="4" s="1"/>
  <c r="AP136" i="4"/>
  <c r="AQ136" i="4" s="1"/>
  <c r="AP137" i="4"/>
  <c r="AQ137" i="4" s="1"/>
  <c r="AP138" i="4"/>
  <c r="AQ138" i="4" s="1"/>
  <c r="AP139" i="4"/>
  <c r="AQ139" i="4" s="1"/>
  <c r="AP140" i="4"/>
  <c r="AQ140" i="4" s="1"/>
  <c r="AP141" i="4"/>
  <c r="AQ141" i="4" s="1"/>
  <c r="AP142" i="4"/>
  <c r="AQ142" i="4" s="1"/>
  <c r="AP143" i="4"/>
  <c r="AQ143" i="4" s="1"/>
  <c r="AP144" i="4"/>
  <c r="AQ144" i="4" s="1"/>
  <c r="AP145" i="4"/>
  <c r="AQ145" i="4" s="1"/>
  <c r="AP146" i="4"/>
  <c r="AQ146" i="4" s="1"/>
  <c r="AP147" i="4"/>
  <c r="AQ147" i="4" s="1"/>
  <c r="AP148" i="4"/>
  <c r="AQ148" i="4" s="1"/>
  <c r="AP149" i="4"/>
  <c r="AQ149" i="4" s="1"/>
  <c r="AP150" i="4"/>
  <c r="AQ150" i="4" s="1"/>
  <c r="AP151" i="4"/>
  <c r="AQ151" i="4" s="1"/>
  <c r="AP152" i="4"/>
  <c r="AQ152" i="4" s="1"/>
  <c r="AP153" i="4"/>
  <c r="AQ153" i="4" s="1"/>
  <c r="M15" i="7"/>
  <c r="C100" i="9" s="1"/>
  <c r="AP154" i="4"/>
  <c r="AQ154" i="4" s="1"/>
  <c r="AP155" i="4"/>
  <c r="AQ155" i="4" s="1"/>
  <c r="AP156" i="4"/>
  <c r="AQ156" i="4" s="1"/>
  <c r="AP157" i="4"/>
  <c r="AQ157" i="4" s="1"/>
  <c r="AP158" i="4"/>
  <c r="AQ158" i="4" s="1"/>
  <c r="AP159" i="4"/>
  <c r="AQ159" i="4" s="1"/>
  <c r="AP160" i="4"/>
  <c r="AQ160" i="4" s="1"/>
  <c r="AP161" i="4"/>
  <c r="AQ161" i="4" s="1"/>
  <c r="AP162" i="4"/>
  <c r="AQ162" i="4" s="1"/>
  <c r="AP163" i="4"/>
  <c r="AQ163" i="4" s="1"/>
  <c r="L15" i="7"/>
  <c r="B100" i="9" s="1"/>
  <c r="C19" i="5"/>
  <c r="B19" i="5"/>
  <c r="M109" i="4"/>
  <c r="K110" i="4"/>
  <c r="S114" i="4"/>
  <c r="Q115" i="4"/>
  <c r="E34" i="4"/>
  <c r="K16" i="7"/>
  <c r="H18" i="5"/>
  <c r="D329" i="9" s="1"/>
  <c r="C329" i="9"/>
  <c r="J21" i="2"/>
  <c r="B35" i="4"/>
  <c r="C488" i="9"/>
  <c r="N18" i="5"/>
  <c r="D488" i="9" s="1"/>
  <c r="K18" i="5"/>
  <c r="G329" i="9" s="1"/>
  <c r="F329" i="9"/>
  <c r="Q18" i="5"/>
  <c r="G488" i="9" s="1"/>
  <c r="F488" i="9"/>
  <c r="D16" i="5" l="1"/>
  <c r="D97" i="9" s="1"/>
  <c r="E16" i="5"/>
  <c r="E97" i="9" s="1"/>
  <c r="F31" i="4"/>
  <c r="A614" i="9"/>
  <c r="A455" i="9"/>
  <c r="I148" i="4"/>
  <c r="A133" i="5"/>
  <c r="O20" i="5"/>
  <c r="E490" i="9" s="1"/>
  <c r="P20" i="5"/>
  <c r="L20" i="5"/>
  <c r="B490" i="9" s="1"/>
  <c r="J20" i="5"/>
  <c r="G20" i="5"/>
  <c r="M20" i="5"/>
  <c r="I20" i="5"/>
  <c r="E331" i="9" s="1"/>
  <c r="F20" i="5"/>
  <c r="B331" i="9" s="1"/>
  <c r="E35" i="4"/>
  <c r="K17" i="7"/>
  <c r="AS35" i="4"/>
  <c r="AT35" i="4" s="1"/>
  <c r="J35" i="4" s="1"/>
  <c r="AS36" i="4"/>
  <c r="AT36" i="4" s="1"/>
  <c r="AS37" i="4"/>
  <c r="AT37" i="4" s="1"/>
  <c r="AS40" i="4"/>
  <c r="AT40" i="4" s="1"/>
  <c r="AS41" i="4"/>
  <c r="AT41" i="4" s="1"/>
  <c r="AS43" i="4"/>
  <c r="AT43" i="4" s="1"/>
  <c r="AS44" i="4"/>
  <c r="AT44" i="4" s="1"/>
  <c r="AS45" i="4"/>
  <c r="AT45" i="4" s="1"/>
  <c r="AS38" i="4"/>
  <c r="AT38" i="4" s="1"/>
  <c r="AS39" i="4"/>
  <c r="AT39" i="4" s="1"/>
  <c r="AS42" i="4"/>
  <c r="AT42" i="4" s="1"/>
  <c r="AS48" i="4"/>
  <c r="AT48" i="4" s="1"/>
  <c r="AS49" i="4"/>
  <c r="AT49" i="4" s="1"/>
  <c r="AS46" i="4"/>
  <c r="AT46" i="4" s="1"/>
  <c r="AS47" i="4"/>
  <c r="AT47" i="4" s="1"/>
  <c r="AS50" i="4"/>
  <c r="AT50" i="4" s="1"/>
  <c r="AS51" i="4"/>
  <c r="AT51" i="4" s="1"/>
  <c r="AS52" i="4"/>
  <c r="AT52" i="4" s="1"/>
  <c r="AS53" i="4"/>
  <c r="AT53" i="4" s="1"/>
  <c r="AS54" i="4"/>
  <c r="AT54" i="4" s="1"/>
  <c r="AS55" i="4"/>
  <c r="AT55" i="4" s="1"/>
  <c r="AS56" i="4"/>
  <c r="AT56" i="4" s="1"/>
  <c r="AS57" i="4"/>
  <c r="AT57" i="4" s="1"/>
  <c r="AS60" i="4"/>
  <c r="AT60" i="4" s="1"/>
  <c r="AS61" i="4"/>
  <c r="AT61" i="4" s="1"/>
  <c r="AS63" i="4"/>
  <c r="AT63" i="4" s="1"/>
  <c r="AS58" i="4"/>
  <c r="AT58" i="4" s="1"/>
  <c r="AS59" i="4"/>
  <c r="AT59" i="4" s="1"/>
  <c r="AS62" i="4"/>
  <c r="AT62" i="4" s="1"/>
  <c r="AS65" i="4"/>
  <c r="AT65" i="4" s="1"/>
  <c r="AS67" i="4"/>
  <c r="AT67" i="4" s="1"/>
  <c r="AS69" i="4"/>
  <c r="AT69" i="4" s="1"/>
  <c r="AS71" i="4"/>
  <c r="AT71" i="4" s="1"/>
  <c r="AS73" i="4"/>
  <c r="AT73" i="4" s="1"/>
  <c r="AS75" i="4"/>
  <c r="AT75" i="4" s="1"/>
  <c r="AS64" i="4"/>
  <c r="AT64" i="4" s="1"/>
  <c r="AS66" i="4"/>
  <c r="AT66" i="4" s="1"/>
  <c r="AS68" i="4"/>
  <c r="AT68" i="4" s="1"/>
  <c r="AS72" i="4"/>
  <c r="AT72" i="4" s="1"/>
  <c r="AS76" i="4"/>
  <c r="AT76" i="4" s="1"/>
  <c r="AS78" i="4"/>
  <c r="AT78" i="4" s="1"/>
  <c r="AS80" i="4"/>
  <c r="AT80" i="4" s="1"/>
  <c r="AS82" i="4"/>
  <c r="AT82" i="4" s="1"/>
  <c r="AS84" i="4"/>
  <c r="AT84" i="4" s="1"/>
  <c r="AS86" i="4"/>
  <c r="AT86" i="4" s="1"/>
  <c r="AS88" i="4"/>
  <c r="AT88" i="4" s="1"/>
  <c r="AS90" i="4"/>
  <c r="AT90" i="4" s="1"/>
  <c r="AS70" i="4"/>
  <c r="AT70" i="4" s="1"/>
  <c r="AS74" i="4"/>
  <c r="AT74" i="4" s="1"/>
  <c r="AS77" i="4"/>
  <c r="AT77" i="4" s="1"/>
  <c r="AS79" i="4"/>
  <c r="AT79" i="4" s="1"/>
  <c r="AS81" i="4"/>
  <c r="AT81" i="4" s="1"/>
  <c r="AS83" i="4"/>
  <c r="AT83" i="4" s="1"/>
  <c r="AS87" i="4"/>
  <c r="AT87" i="4" s="1"/>
  <c r="AS91" i="4"/>
  <c r="AT91" i="4" s="1"/>
  <c r="AS93" i="4"/>
  <c r="AT93" i="4" s="1"/>
  <c r="AS95" i="4"/>
  <c r="AT95" i="4" s="1"/>
  <c r="AS97" i="4"/>
  <c r="AT97" i="4" s="1"/>
  <c r="AS99" i="4"/>
  <c r="AT99" i="4" s="1"/>
  <c r="AS101" i="4"/>
  <c r="AT101" i="4" s="1"/>
  <c r="AS103" i="4"/>
  <c r="AT103" i="4" s="1"/>
  <c r="AS85" i="4"/>
  <c r="AT85" i="4" s="1"/>
  <c r="AS89" i="4"/>
  <c r="AT89" i="4" s="1"/>
  <c r="AS92" i="4"/>
  <c r="AT92" i="4" s="1"/>
  <c r="AS94" i="4"/>
  <c r="AT94" i="4" s="1"/>
  <c r="AS96" i="4"/>
  <c r="AT96" i="4" s="1"/>
  <c r="AS98" i="4"/>
  <c r="AT98" i="4" s="1"/>
  <c r="AS100" i="4"/>
  <c r="AT100" i="4" s="1"/>
  <c r="AS104" i="4"/>
  <c r="AT104" i="4" s="1"/>
  <c r="AS105" i="4"/>
  <c r="AT105" i="4" s="1"/>
  <c r="AS102" i="4"/>
  <c r="AT102" i="4" s="1"/>
  <c r="AS106" i="4"/>
  <c r="AT106" i="4" s="1"/>
  <c r="AS107" i="4"/>
  <c r="AT107" i="4" s="1"/>
  <c r="AS108" i="4"/>
  <c r="AT108" i="4" s="1"/>
  <c r="AS109" i="4"/>
  <c r="AT109" i="4" s="1"/>
  <c r="AS110" i="4"/>
  <c r="AT110" i="4" s="1"/>
  <c r="AS111" i="4"/>
  <c r="AT111" i="4" s="1"/>
  <c r="AS112" i="4"/>
  <c r="AT112" i="4" s="1"/>
  <c r="AS113" i="4"/>
  <c r="AT113" i="4" s="1"/>
  <c r="AS114" i="4"/>
  <c r="AT114" i="4" s="1"/>
  <c r="AS115" i="4"/>
  <c r="AT115" i="4" s="1"/>
  <c r="AS116" i="4"/>
  <c r="AT116" i="4" s="1"/>
  <c r="AS117" i="4"/>
  <c r="AT117" i="4" s="1"/>
  <c r="AS118" i="4"/>
  <c r="AT118" i="4" s="1"/>
  <c r="AS119" i="4"/>
  <c r="AT119" i="4" s="1"/>
  <c r="AS120" i="4"/>
  <c r="AT120" i="4" s="1"/>
  <c r="AS121" i="4"/>
  <c r="AT121" i="4" s="1"/>
  <c r="AS122" i="4"/>
  <c r="AT122" i="4" s="1"/>
  <c r="AS123" i="4"/>
  <c r="AT123" i="4" s="1"/>
  <c r="AS124" i="4"/>
  <c r="AT124" i="4" s="1"/>
  <c r="AS125" i="4"/>
  <c r="AT125" i="4" s="1"/>
  <c r="AS126" i="4"/>
  <c r="AT126" i="4" s="1"/>
  <c r="AS127" i="4"/>
  <c r="AT127" i="4" s="1"/>
  <c r="AS128" i="4"/>
  <c r="AT128" i="4" s="1"/>
  <c r="AS129" i="4"/>
  <c r="AT129" i="4" s="1"/>
  <c r="AS130" i="4"/>
  <c r="AT130" i="4" s="1"/>
  <c r="AS131" i="4"/>
  <c r="AT131" i="4" s="1"/>
  <c r="AS132" i="4"/>
  <c r="AT132" i="4" s="1"/>
  <c r="AS133" i="4"/>
  <c r="AT133" i="4" s="1"/>
  <c r="AS134" i="4"/>
  <c r="AT134" i="4" s="1"/>
  <c r="AS135" i="4"/>
  <c r="AT135" i="4" s="1"/>
  <c r="AS136" i="4"/>
  <c r="AT136" i="4" s="1"/>
  <c r="AS137" i="4"/>
  <c r="AT137" i="4" s="1"/>
  <c r="AS138" i="4"/>
  <c r="AT138" i="4" s="1"/>
  <c r="AS139" i="4"/>
  <c r="AT139" i="4" s="1"/>
  <c r="AS140" i="4"/>
  <c r="AT140" i="4" s="1"/>
  <c r="AS141" i="4"/>
  <c r="AT141" i="4" s="1"/>
  <c r="AS142" i="4"/>
  <c r="AT142" i="4" s="1"/>
  <c r="AS143" i="4"/>
  <c r="AT143" i="4" s="1"/>
  <c r="AS144" i="4"/>
  <c r="AT144" i="4" s="1"/>
  <c r="AS145" i="4"/>
  <c r="AT145" i="4" s="1"/>
  <c r="AS146" i="4"/>
  <c r="AT146" i="4" s="1"/>
  <c r="AS147" i="4"/>
  <c r="AT147" i="4" s="1"/>
  <c r="AS148" i="4"/>
  <c r="AT148" i="4" s="1"/>
  <c r="AS149" i="4"/>
  <c r="AT149" i="4" s="1"/>
  <c r="AS150" i="4"/>
  <c r="AT150" i="4" s="1"/>
  <c r="AS151" i="4"/>
  <c r="AT151" i="4" s="1"/>
  <c r="AS152" i="4"/>
  <c r="AT152" i="4" s="1"/>
  <c r="AS153" i="4"/>
  <c r="AT153" i="4" s="1"/>
  <c r="M16" i="7"/>
  <c r="C101" i="9" s="1"/>
  <c r="AS154" i="4"/>
  <c r="AT154" i="4" s="1"/>
  <c r="AS155" i="4"/>
  <c r="AT155" i="4" s="1"/>
  <c r="AS156" i="4"/>
  <c r="AT156" i="4" s="1"/>
  <c r="AS157" i="4"/>
  <c r="AT157" i="4" s="1"/>
  <c r="AS158" i="4"/>
  <c r="AT158" i="4" s="1"/>
  <c r="AS159" i="4"/>
  <c r="AT159" i="4" s="1"/>
  <c r="AS160" i="4"/>
  <c r="AT160" i="4" s="1"/>
  <c r="AS161" i="4"/>
  <c r="AT161" i="4" s="1"/>
  <c r="AS162" i="4"/>
  <c r="AT162" i="4" s="1"/>
  <c r="AS163" i="4"/>
  <c r="AT163" i="4" s="1"/>
  <c r="L16" i="7"/>
  <c r="B101" i="9" s="1"/>
  <c r="C20" i="5"/>
  <c r="B20" i="5"/>
  <c r="P112" i="4"/>
  <c r="N113" i="4"/>
  <c r="C330" i="9"/>
  <c r="H19" i="5"/>
  <c r="D330" i="9" s="1"/>
  <c r="Q19" i="5"/>
  <c r="G489" i="9" s="1"/>
  <c r="F489" i="9"/>
  <c r="J22" i="2"/>
  <c r="B36" i="4"/>
  <c r="S115" i="4"/>
  <c r="Q116" i="4"/>
  <c r="M110" i="4"/>
  <c r="K111" i="4"/>
  <c r="K19" i="5"/>
  <c r="G330" i="9" s="1"/>
  <c r="F330" i="9"/>
  <c r="N19" i="5"/>
  <c r="D489" i="9" s="1"/>
  <c r="C489" i="9"/>
  <c r="D17" i="5" l="1"/>
  <c r="D98" i="9" s="1"/>
  <c r="E17" i="5"/>
  <c r="E98" i="9" s="1"/>
  <c r="F32" i="4"/>
  <c r="I149" i="4"/>
  <c r="A134" i="5"/>
  <c r="A615" i="9"/>
  <c r="A456" i="9"/>
  <c r="O21" i="5"/>
  <c r="E491" i="9" s="1"/>
  <c r="P21" i="5"/>
  <c r="M21" i="5"/>
  <c r="I21" i="5"/>
  <c r="E332" i="9" s="1"/>
  <c r="F21" i="5"/>
  <c r="B332" i="9" s="1"/>
  <c r="L21" i="5"/>
  <c r="B491" i="9" s="1"/>
  <c r="J21" i="5"/>
  <c r="G21" i="5"/>
  <c r="M111" i="4"/>
  <c r="K112" i="4"/>
  <c r="S116" i="4"/>
  <c r="Q117" i="4"/>
  <c r="E36" i="4"/>
  <c r="K18" i="7"/>
  <c r="P113" i="4"/>
  <c r="N114" i="4"/>
  <c r="AV36" i="4"/>
  <c r="AW36" i="4" s="1"/>
  <c r="J36" i="4" s="1"/>
  <c r="AV38" i="4"/>
  <c r="AW38" i="4" s="1"/>
  <c r="AV39" i="4"/>
  <c r="AW39" i="4" s="1"/>
  <c r="AV42" i="4"/>
  <c r="AW42" i="4" s="1"/>
  <c r="AV43" i="4"/>
  <c r="AW43" i="4" s="1"/>
  <c r="AV44" i="4"/>
  <c r="AW44" i="4" s="1"/>
  <c r="AV45" i="4"/>
  <c r="AW45" i="4" s="1"/>
  <c r="AV37" i="4"/>
  <c r="AW37" i="4" s="1"/>
  <c r="AV40" i="4"/>
  <c r="AW40" i="4" s="1"/>
  <c r="AV41" i="4"/>
  <c r="AW41" i="4" s="1"/>
  <c r="AV46" i="4"/>
  <c r="AW46" i="4" s="1"/>
  <c r="AV47" i="4"/>
  <c r="AW47" i="4" s="1"/>
  <c r="AV48" i="4"/>
  <c r="AW48" i="4" s="1"/>
  <c r="AV49" i="4"/>
  <c r="AW49" i="4" s="1"/>
  <c r="AV50" i="4"/>
  <c r="AW50" i="4" s="1"/>
  <c r="AV51" i="4"/>
  <c r="AW51" i="4" s="1"/>
  <c r="AV52" i="4"/>
  <c r="AW52" i="4" s="1"/>
  <c r="AV53" i="4"/>
  <c r="AW53" i="4" s="1"/>
  <c r="AV54" i="4"/>
  <c r="AW54" i="4" s="1"/>
  <c r="AV55" i="4"/>
  <c r="AW55" i="4" s="1"/>
  <c r="AV56" i="4"/>
  <c r="AW56" i="4" s="1"/>
  <c r="AV57" i="4"/>
  <c r="AW57" i="4" s="1"/>
  <c r="AV60" i="4"/>
  <c r="AW60" i="4" s="1"/>
  <c r="AV61" i="4"/>
  <c r="AW61" i="4" s="1"/>
  <c r="AV63" i="4"/>
  <c r="AW63" i="4" s="1"/>
  <c r="AV65" i="4"/>
  <c r="AW65" i="4" s="1"/>
  <c r="AV67" i="4"/>
  <c r="AW67" i="4" s="1"/>
  <c r="AV69" i="4"/>
  <c r="AW69" i="4" s="1"/>
  <c r="AV71" i="4"/>
  <c r="AW71" i="4" s="1"/>
  <c r="AV73" i="4"/>
  <c r="AW73" i="4" s="1"/>
  <c r="AV75" i="4"/>
  <c r="AW75" i="4" s="1"/>
  <c r="AV58" i="4"/>
  <c r="AW58" i="4" s="1"/>
  <c r="AV59" i="4"/>
  <c r="AW59" i="4" s="1"/>
  <c r="AV62" i="4"/>
  <c r="AW62" i="4" s="1"/>
  <c r="AV64" i="4"/>
  <c r="AW64" i="4" s="1"/>
  <c r="AV66" i="4"/>
  <c r="AW66" i="4" s="1"/>
  <c r="AV70" i="4"/>
  <c r="AW70" i="4" s="1"/>
  <c r="AV74" i="4"/>
  <c r="AW74" i="4" s="1"/>
  <c r="AV76" i="4"/>
  <c r="AW76" i="4" s="1"/>
  <c r="AV78" i="4"/>
  <c r="AW78" i="4" s="1"/>
  <c r="AV80" i="4"/>
  <c r="AW80" i="4" s="1"/>
  <c r="AV82" i="4"/>
  <c r="AW82" i="4" s="1"/>
  <c r="AV84" i="4"/>
  <c r="AW84" i="4" s="1"/>
  <c r="AV86" i="4"/>
  <c r="AW86" i="4" s="1"/>
  <c r="AV88" i="4"/>
  <c r="AW88" i="4" s="1"/>
  <c r="AV90" i="4"/>
  <c r="AW90" i="4" s="1"/>
  <c r="AV68" i="4"/>
  <c r="AW68" i="4" s="1"/>
  <c r="AV72" i="4"/>
  <c r="AW72" i="4" s="1"/>
  <c r="AV77" i="4"/>
  <c r="AW77" i="4" s="1"/>
  <c r="AV79" i="4"/>
  <c r="AW79" i="4" s="1"/>
  <c r="AV81" i="4"/>
  <c r="AW81" i="4" s="1"/>
  <c r="AV83" i="4"/>
  <c r="AW83" i="4" s="1"/>
  <c r="AV85" i="4"/>
  <c r="AW85" i="4" s="1"/>
  <c r="AV89" i="4"/>
  <c r="AW89" i="4" s="1"/>
  <c r="AV91" i="4"/>
  <c r="AW91" i="4" s="1"/>
  <c r="AV93" i="4"/>
  <c r="AW93" i="4" s="1"/>
  <c r="AV95" i="4"/>
  <c r="AW95" i="4" s="1"/>
  <c r="AV97" i="4"/>
  <c r="AW97" i="4" s="1"/>
  <c r="AV99" i="4"/>
  <c r="AW99" i="4" s="1"/>
  <c r="AV101" i="4"/>
  <c r="AW101" i="4" s="1"/>
  <c r="AV103" i="4"/>
  <c r="AW103" i="4" s="1"/>
  <c r="AV87" i="4"/>
  <c r="AW87" i="4" s="1"/>
  <c r="AV92" i="4"/>
  <c r="AW92" i="4" s="1"/>
  <c r="AV94" i="4"/>
  <c r="AW94" i="4" s="1"/>
  <c r="AV96" i="4"/>
  <c r="AW96" i="4" s="1"/>
  <c r="AV98" i="4"/>
  <c r="AW98" i="4" s="1"/>
  <c r="AV100" i="4"/>
  <c r="AW100" i="4" s="1"/>
  <c r="AV102" i="4"/>
  <c r="AW102" i="4" s="1"/>
  <c r="AV104" i="4"/>
  <c r="AW104" i="4" s="1"/>
  <c r="AV105" i="4"/>
  <c r="AW105" i="4" s="1"/>
  <c r="AV106" i="4"/>
  <c r="AW106" i="4" s="1"/>
  <c r="AV107" i="4"/>
  <c r="AW107" i="4" s="1"/>
  <c r="AV108" i="4"/>
  <c r="AW108" i="4" s="1"/>
  <c r="AV109" i="4"/>
  <c r="AW109" i="4" s="1"/>
  <c r="AV110" i="4"/>
  <c r="AW110" i="4" s="1"/>
  <c r="AV111" i="4"/>
  <c r="AW111" i="4" s="1"/>
  <c r="AV112" i="4"/>
  <c r="AW112" i="4" s="1"/>
  <c r="AV113" i="4"/>
  <c r="AW113" i="4" s="1"/>
  <c r="AV114" i="4"/>
  <c r="AW114" i="4" s="1"/>
  <c r="AV115" i="4"/>
  <c r="AW115" i="4" s="1"/>
  <c r="AV116" i="4"/>
  <c r="AW116" i="4" s="1"/>
  <c r="AV117" i="4"/>
  <c r="AW117" i="4" s="1"/>
  <c r="AV118" i="4"/>
  <c r="AW118" i="4" s="1"/>
  <c r="AV119" i="4"/>
  <c r="AW119" i="4" s="1"/>
  <c r="AV120" i="4"/>
  <c r="AW120" i="4" s="1"/>
  <c r="AV121" i="4"/>
  <c r="AW121" i="4" s="1"/>
  <c r="AV122" i="4"/>
  <c r="AW122" i="4" s="1"/>
  <c r="AV123" i="4"/>
  <c r="AW123" i="4" s="1"/>
  <c r="AV124" i="4"/>
  <c r="AW124" i="4" s="1"/>
  <c r="AV125" i="4"/>
  <c r="AW125" i="4" s="1"/>
  <c r="AV126" i="4"/>
  <c r="AW126" i="4" s="1"/>
  <c r="AV127" i="4"/>
  <c r="AW127" i="4" s="1"/>
  <c r="AV128" i="4"/>
  <c r="AW128" i="4" s="1"/>
  <c r="AV129" i="4"/>
  <c r="AW129" i="4" s="1"/>
  <c r="AV130" i="4"/>
  <c r="AW130" i="4" s="1"/>
  <c r="AV131" i="4"/>
  <c r="AW131" i="4" s="1"/>
  <c r="AV132" i="4"/>
  <c r="AW132" i="4" s="1"/>
  <c r="AV133" i="4"/>
  <c r="AW133" i="4" s="1"/>
  <c r="AV134" i="4"/>
  <c r="AW134" i="4" s="1"/>
  <c r="AV135" i="4"/>
  <c r="AW135" i="4" s="1"/>
  <c r="AV136" i="4"/>
  <c r="AW136" i="4" s="1"/>
  <c r="AV137" i="4"/>
  <c r="AW137" i="4" s="1"/>
  <c r="AV138" i="4"/>
  <c r="AW138" i="4" s="1"/>
  <c r="AV139" i="4"/>
  <c r="AW139" i="4" s="1"/>
  <c r="AV140" i="4"/>
  <c r="AW140" i="4" s="1"/>
  <c r="AV141" i="4"/>
  <c r="AW141" i="4" s="1"/>
  <c r="AV142" i="4"/>
  <c r="AW142" i="4" s="1"/>
  <c r="AV143" i="4"/>
  <c r="AW143" i="4" s="1"/>
  <c r="AV144" i="4"/>
  <c r="AW144" i="4" s="1"/>
  <c r="AV145" i="4"/>
  <c r="AW145" i="4" s="1"/>
  <c r="AV146" i="4"/>
  <c r="AW146" i="4" s="1"/>
  <c r="AV147" i="4"/>
  <c r="AW147" i="4" s="1"/>
  <c r="AV148" i="4"/>
  <c r="AW148" i="4" s="1"/>
  <c r="AV149" i="4"/>
  <c r="AW149" i="4" s="1"/>
  <c r="AV150" i="4"/>
  <c r="AW150" i="4" s="1"/>
  <c r="AV151" i="4"/>
  <c r="AW151" i="4" s="1"/>
  <c r="AV152" i="4"/>
  <c r="AW152" i="4" s="1"/>
  <c r="AV153" i="4"/>
  <c r="AW153" i="4" s="1"/>
  <c r="M17" i="7"/>
  <c r="C102" i="9" s="1"/>
  <c r="AV154" i="4"/>
  <c r="AW154" i="4" s="1"/>
  <c r="AV155" i="4"/>
  <c r="AW155" i="4" s="1"/>
  <c r="AV156" i="4"/>
  <c r="AW156" i="4" s="1"/>
  <c r="AV157" i="4"/>
  <c r="AW157" i="4" s="1"/>
  <c r="AV158" i="4"/>
  <c r="AW158" i="4" s="1"/>
  <c r="AV159" i="4"/>
  <c r="AW159" i="4" s="1"/>
  <c r="AV160" i="4"/>
  <c r="AW160" i="4" s="1"/>
  <c r="AV161" i="4"/>
  <c r="AW161" i="4" s="1"/>
  <c r="AV162" i="4"/>
  <c r="AW162" i="4" s="1"/>
  <c r="AV163" i="4"/>
  <c r="AW163" i="4" s="1"/>
  <c r="L17" i="7"/>
  <c r="B102" i="9" s="1"/>
  <c r="C21" i="5"/>
  <c r="B21" i="5"/>
  <c r="H20" i="5"/>
  <c r="D331" i="9" s="1"/>
  <c r="C331" i="9"/>
  <c r="J23" i="2"/>
  <c r="B37" i="4"/>
  <c r="C490" i="9"/>
  <c r="N20" i="5"/>
  <c r="D490" i="9" s="1"/>
  <c r="K20" i="5"/>
  <c r="G331" i="9" s="1"/>
  <c r="F331" i="9"/>
  <c r="Q20" i="5"/>
  <c r="G490" i="9" s="1"/>
  <c r="F490" i="9"/>
  <c r="D18" i="5" l="1"/>
  <c r="D99" i="9" s="1"/>
  <c r="E18" i="5"/>
  <c r="E99" i="9" s="1"/>
  <c r="F33" i="4"/>
  <c r="A616" i="9"/>
  <c r="A457" i="9"/>
  <c r="I150" i="4"/>
  <c r="A135" i="5"/>
  <c r="P22" i="5"/>
  <c r="O22" i="5"/>
  <c r="E492" i="9" s="1"/>
  <c r="L22" i="5"/>
  <c r="B492" i="9" s="1"/>
  <c r="J22" i="5"/>
  <c r="G22" i="5"/>
  <c r="M22" i="5"/>
  <c r="I22" i="5"/>
  <c r="E333" i="9" s="1"/>
  <c r="F22" i="5"/>
  <c r="B333" i="9" s="1"/>
  <c r="AY40" i="4"/>
  <c r="AZ40" i="4" s="1"/>
  <c r="AY41" i="4"/>
  <c r="AZ41" i="4" s="1"/>
  <c r="AY43" i="4"/>
  <c r="AZ43" i="4" s="1"/>
  <c r="AY44" i="4"/>
  <c r="AZ44" i="4" s="1"/>
  <c r="AY45" i="4"/>
  <c r="AZ45" i="4" s="1"/>
  <c r="AY37" i="4"/>
  <c r="AZ37" i="4" s="1"/>
  <c r="J37" i="4" s="1"/>
  <c r="AY38" i="4"/>
  <c r="AZ38" i="4" s="1"/>
  <c r="AY39" i="4"/>
  <c r="AZ39" i="4" s="1"/>
  <c r="AY42" i="4"/>
  <c r="AZ42" i="4" s="1"/>
  <c r="AY48" i="4"/>
  <c r="AZ48" i="4" s="1"/>
  <c r="AY49" i="4"/>
  <c r="AZ49" i="4" s="1"/>
  <c r="AY46" i="4"/>
  <c r="AZ46" i="4" s="1"/>
  <c r="AY47" i="4"/>
  <c r="AZ47" i="4" s="1"/>
  <c r="AY50" i="4"/>
  <c r="AZ50" i="4" s="1"/>
  <c r="AY51" i="4"/>
  <c r="AZ51" i="4" s="1"/>
  <c r="AY52" i="4"/>
  <c r="AZ52" i="4" s="1"/>
  <c r="AY53" i="4"/>
  <c r="AZ53" i="4" s="1"/>
  <c r="AY54" i="4"/>
  <c r="AZ54" i="4" s="1"/>
  <c r="AY55" i="4"/>
  <c r="AZ55" i="4" s="1"/>
  <c r="AY56" i="4"/>
  <c r="AZ56" i="4" s="1"/>
  <c r="AY57" i="4"/>
  <c r="AZ57" i="4" s="1"/>
  <c r="AY60" i="4"/>
  <c r="AZ60" i="4" s="1"/>
  <c r="AY61" i="4"/>
  <c r="AZ61" i="4" s="1"/>
  <c r="AY63" i="4"/>
  <c r="AZ63" i="4" s="1"/>
  <c r="AY58" i="4"/>
  <c r="AZ58" i="4" s="1"/>
  <c r="AY59" i="4"/>
  <c r="AZ59" i="4" s="1"/>
  <c r="AY62" i="4"/>
  <c r="AZ62" i="4" s="1"/>
  <c r="AY65" i="4"/>
  <c r="AZ65" i="4" s="1"/>
  <c r="AY67" i="4"/>
  <c r="AZ67" i="4" s="1"/>
  <c r="AY69" i="4"/>
  <c r="AZ69" i="4" s="1"/>
  <c r="AY71" i="4"/>
  <c r="AZ71" i="4" s="1"/>
  <c r="AY73" i="4"/>
  <c r="AZ73" i="4" s="1"/>
  <c r="AY75" i="4"/>
  <c r="AZ75" i="4" s="1"/>
  <c r="AY64" i="4"/>
  <c r="AZ64" i="4" s="1"/>
  <c r="AY66" i="4"/>
  <c r="AZ66" i="4" s="1"/>
  <c r="AY68" i="4"/>
  <c r="AZ68" i="4" s="1"/>
  <c r="AY72" i="4"/>
  <c r="AZ72" i="4" s="1"/>
  <c r="AY76" i="4"/>
  <c r="AZ76" i="4" s="1"/>
  <c r="AY78" i="4"/>
  <c r="AZ78" i="4" s="1"/>
  <c r="AY80" i="4"/>
  <c r="AZ80" i="4" s="1"/>
  <c r="AY82" i="4"/>
  <c r="AZ82" i="4" s="1"/>
  <c r="AY84" i="4"/>
  <c r="AZ84" i="4" s="1"/>
  <c r="AY86" i="4"/>
  <c r="AZ86" i="4" s="1"/>
  <c r="AY88" i="4"/>
  <c r="AZ88" i="4" s="1"/>
  <c r="AY90" i="4"/>
  <c r="AZ90" i="4" s="1"/>
  <c r="AY70" i="4"/>
  <c r="AZ70" i="4" s="1"/>
  <c r="AY74" i="4"/>
  <c r="AZ74" i="4" s="1"/>
  <c r="AY77" i="4"/>
  <c r="AZ77" i="4" s="1"/>
  <c r="AY79" i="4"/>
  <c r="AZ79" i="4" s="1"/>
  <c r="AY81" i="4"/>
  <c r="AZ81" i="4" s="1"/>
  <c r="AY83" i="4"/>
  <c r="AZ83" i="4" s="1"/>
  <c r="AY87" i="4"/>
  <c r="AZ87" i="4" s="1"/>
  <c r="AY91" i="4"/>
  <c r="AZ91" i="4" s="1"/>
  <c r="AY93" i="4"/>
  <c r="AZ93" i="4" s="1"/>
  <c r="AY95" i="4"/>
  <c r="AZ95" i="4" s="1"/>
  <c r="AY97" i="4"/>
  <c r="AZ97" i="4" s="1"/>
  <c r="AY99" i="4"/>
  <c r="AZ99" i="4" s="1"/>
  <c r="AY101" i="4"/>
  <c r="AZ101" i="4" s="1"/>
  <c r="AY103" i="4"/>
  <c r="AZ103" i="4" s="1"/>
  <c r="AY85" i="4"/>
  <c r="AZ85" i="4" s="1"/>
  <c r="AY89" i="4"/>
  <c r="AZ89" i="4" s="1"/>
  <c r="AY92" i="4"/>
  <c r="AZ92" i="4" s="1"/>
  <c r="AY94" i="4"/>
  <c r="AZ94" i="4" s="1"/>
  <c r="AY96" i="4"/>
  <c r="AZ96" i="4" s="1"/>
  <c r="AY98" i="4"/>
  <c r="AZ98" i="4" s="1"/>
  <c r="AY100" i="4"/>
  <c r="AZ100" i="4" s="1"/>
  <c r="AY104" i="4"/>
  <c r="AZ104" i="4" s="1"/>
  <c r="AY105" i="4"/>
  <c r="AZ105" i="4" s="1"/>
  <c r="AY102" i="4"/>
  <c r="AZ102" i="4" s="1"/>
  <c r="AY106" i="4"/>
  <c r="AZ106" i="4" s="1"/>
  <c r="AY107" i="4"/>
  <c r="AZ107" i="4" s="1"/>
  <c r="AY108" i="4"/>
  <c r="AZ108" i="4" s="1"/>
  <c r="AY109" i="4"/>
  <c r="AZ109" i="4" s="1"/>
  <c r="AY110" i="4"/>
  <c r="AZ110" i="4" s="1"/>
  <c r="AY111" i="4"/>
  <c r="AZ111" i="4" s="1"/>
  <c r="AY112" i="4"/>
  <c r="AZ112" i="4" s="1"/>
  <c r="AY113" i="4"/>
  <c r="AZ113" i="4" s="1"/>
  <c r="AY114" i="4"/>
  <c r="AZ114" i="4" s="1"/>
  <c r="AY115" i="4"/>
  <c r="AZ115" i="4" s="1"/>
  <c r="AY116" i="4"/>
  <c r="AZ116" i="4" s="1"/>
  <c r="AY117" i="4"/>
  <c r="AZ117" i="4" s="1"/>
  <c r="AY118" i="4"/>
  <c r="AZ118" i="4" s="1"/>
  <c r="AY119" i="4"/>
  <c r="AZ119" i="4" s="1"/>
  <c r="AY120" i="4"/>
  <c r="AZ120" i="4" s="1"/>
  <c r="AY121" i="4"/>
  <c r="AZ121" i="4" s="1"/>
  <c r="AY122" i="4"/>
  <c r="AZ122" i="4" s="1"/>
  <c r="AY123" i="4"/>
  <c r="AZ123" i="4" s="1"/>
  <c r="AY124" i="4"/>
  <c r="AZ124" i="4" s="1"/>
  <c r="AY125" i="4"/>
  <c r="AZ125" i="4" s="1"/>
  <c r="AY126" i="4"/>
  <c r="AZ126" i="4" s="1"/>
  <c r="AY127" i="4"/>
  <c r="AZ127" i="4" s="1"/>
  <c r="AY128" i="4"/>
  <c r="AZ128" i="4" s="1"/>
  <c r="AY129" i="4"/>
  <c r="AZ129" i="4" s="1"/>
  <c r="AY130" i="4"/>
  <c r="AZ130" i="4" s="1"/>
  <c r="AY131" i="4"/>
  <c r="AZ131" i="4" s="1"/>
  <c r="AY132" i="4"/>
  <c r="AZ132" i="4" s="1"/>
  <c r="AY133" i="4"/>
  <c r="AZ133" i="4" s="1"/>
  <c r="AY134" i="4"/>
  <c r="AZ134" i="4" s="1"/>
  <c r="AY135" i="4"/>
  <c r="AZ135" i="4" s="1"/>
  <c r="AY136" i="4"/>
  <c r="AZ136" i="4" s="1"/>
  <c r="AY137" i="4"/>
  <c r="AZ137" i="4" s="1"/>
  <c r="AY138" i="4"/>
  <c r="AZ138" i="4" s="1"/>
  <c r="AY139" i="4"/>
  <c r="AZ139" i="4" s="1"/>
  <c r="AY140" i="4"/>
  <c r="AZ140" i="4" s="1"/>
  <c r="AY141" i="4"/>
  <c r="AZ141" i="4" s="1"/>
  <c r="AY142" i="4"/>
  <c r="AZ142" i="4" s="1"/>
  <c r="AY143" i="4"/>
  <c r="AZ143" i="4" s="1"/>
  <c r="AY144" i="4"/>
  <c r="AZ144" i="4" s="1"/>
  <c r="AY145" i="4"/>
  <c r="AZ145" i="4" s="1"/>
  <c r="AY146" i="4"/>
  <c r="AZ146" i="4" s="1"/>
  <c r="AY147" i="4"/>
  <c r="AZ147" i="4" s="1"/>
  <c r="AY148" i="4"/>
  <c r="AZ148" i="4" s="1"/>
  <c r="AY149" i="4"/>
  <c r="AZ149" i="4" s="1"/>
  <c r="AY150" i="4"/>
  <c r="AZ150" i="4" s="1"/>
  <c r="AY151" i="4"/>
  <c r="AZ151" i="4" s="1"/>
  <c r="AY152" i="4"/>
  <c r="AZ152" i="4" s="1"/>
  <c r="AY153" i="4"/>
  <c r="AZ153" i="4" s="1"/>
  <c r="M18" i="7"/>
  <c r="C103" i="9" s="1"/>
  <c r="AY154" i="4"/>
  <c r="AZ154" i="4" s="1"/>
  <c r="AY155" i="4"/>
  <c r="AZ155" i="4" s="1"/>
  <c r="AY156" i="4"/>
  <c r="AZ156" i="4" s="1"/>
  <c r="AY157" i="4"/>
  <c r="AZ157" i="4" s="1"/>
  <c r="AY158" i="4"/>
  <c r="AZ158" i="4" s="1"/>
  <c r="AY159" i="4"/>
  <c r="AZ159" i="4" s="1"/>
  <c r="AY160" i="4"/>
  <c r="AZ160" i="4" s="1"/>
  <c r="AY161" i="4"/>
  <c r="AZ161" i="4" s="1"/>
  <c r="AY162" i="4"/>
  <c r="AZ162" i="4" s="1"/>
  <c r="AY163" i="4"/>
  <c r="AZ163" i="4" s="1"/>
  <c r="L18" i="7"/>
  <c r="B103" i="9" s="1"/>
  <c r="C22" i="5"/>
  <c r="B22" i="5"/>
  <c r="C332" i="9"/>
  <c r="H21" i="5"/>
  <c r="D332" i="9" s="1"/>
  <c r="Q21" i="5"/>
  <c r="G491" i="9" s="1"/>
  <c r="F491" i="9"/>
  <c r="J24" i="2"/>
  <c r="B38" i="4"/>
  <c r="E37" i="4"/>
  <c r="K19" i="7"/>
  <c r="P114" i="4"/>
  <c r="N115" i="4"/>
  <c r="S117" i="4"/>
  <c r="Q118" i="4"/>
  <c r="M112" i="4"/>
  <c r="K113" i="4"/>
  <c r="K21" i="5"/>
  <c r="G332" i="9" s="1"/>
  <c r="F332" i="9"/>
  <c r="N21" i="5"/>
  <c r="D491" i="9" s="1"/>
  <c r="C491" i="9"/>
  <c r="F34" i="4" l="1"/>
  <c r="E19" i="5"/>
  <c r="E100" i="9" s="1"/>
  <c r="D19" i="5"/>
  <c r="D100" i="9" s="1"/>
  <c r="A617" i="9"/>
  <c r="A458" i="9"/>
  <c r="I151" i="4"/>
  <c r="A136" i="5"/>
  <c r="E38" i="4"/>
  <c r="K20" i="7"/>
  <c r="H22" i="5"/>
  <c r="D333" i="9" s="1"/>
  <c r="C333" i="9"/>
  <c r="Q22" i="5"/>
  <c r="G492" i="9" s="1"/>
  <c r="F492" i="9"/>
  <c r="P23" i="5"/>
  <c r="O23" i="5"/>
  <c r="E493" i="9" s="1"/>
  <c r="M23" i="5"/>
  <c r="I23" i="5"/>
  <c r="E334" i="9" s="1"/>
  <c r="F23" i="5"/>
  <c r="B334" i="9" s="1"/>
  <c r="L23" i="5"/>
  <c r="B493" i="9" s="1"/>
  <c r="J23" i="5"/>
  <c r="G23" i="5"/>
  <c r="M113" i="4"/>
  <c r="K114" i="4"/>
  <c r="S118" i="4"/>
  <c r="Q119" i="4"/>
  <c r="P115" i="4"/>
  <c r="N116" i="4"/>
  <c r="BB39" i="4"/>
  <c r="BC39" i="4" s="1"/>
  <c r="BB42" i="4"/>
  <c r="BC42" i="4" s="1"/>
  <c r="BB43" i="4"/>
  <c r="BC43" i="4" s="1"/>
  <c r="BB44" i="4"/>
  <c r="BC44" i="4" s="1"/>
  <c r="BB45" i="4"/>
  <c r="BC45" i="4" s="1"/>
  <c r="BB38" i="4"/>
  <c r="BC38" i="4" s="1"/>
  <c r="J38" i="4" s="1"/>
  <c r="BB40" i="4"/>
  <c r="BC40" i="4" s="1"/>
  <c r="BB41" i="4"/>
  <c r="BC41" i="4" s="1"/>
  <c r="BB46" i="4"/>
  <c r="BC46" i="4" s="1"/>
  <c r="BB47" i="4"/>
  <c r="BC47" i="4" s="1"/>
  <c r="BB48" i="4"/>
  <c r="BC48" i="4" s="1"/>
  <c r="BB49" i="4"/>
  <c r="BC49" i="4" s="1"/>
  <c r="BB50" i="4"/>
  <c r="BC50" i="4" s="1"/>
  <c r="BB51" i="4"/>
  <c r="BC51" i="4" s="1"/>
  <c r="BB52" i="4"/>
  <c r="BC52" i="4" s="1"/>
  <c r="BB53" i="4"/>
  <c r="BC53" i="4" s="1"/>
  <c r="BB54" i="4"/>
  <c r="BC54" i="4" s="1"/>
  <c r="BB55" i="4"/>
  <c r="BC55" i="4" s="1"/>
  <c r="BB56" i="4"/>
  <c r="BC56" i="4" s="1"/>
  <c r="BB57" i="4"/>
  <c r="BC57" i="4" s="1"/>
  <c r="BB60" i="4"/>
  <c r="BC60" i="4" s="1"/>
  <c r="BB61" i="4"/>
  <c r="BC61" i="4" s="1"/>
  <c r="BB63" i="4"/>
  <c r="BC63" i="4" s="1"/>
  <c r="BB65" i="4"/>
  <c r="BC65" i="4" s="1"/>
  <c r="BB67" i="4"/>
  <c r="BC67" i="4" s="1"/>
  <c r="BB69" i="4"/>
  <c r="BC69" i="4" s="1"/>
  <c r="BB71" i="4"/>
  <c r="BC71" i="4" s="1"/>
  <c r="BB73" i="4"/>
  <c r="BC73" i="4" s="1"/>
  <c r="BB75" i="4"/>
  <c r="BC75" i="4" s="1"/>
  <c r="BB58" i="4"/>
  <c r="BC58" i="4" s="1"/>
  <c r="BB59" i="4"/>
  <c r="BC59" i="4" s="1"/>
  <c r="BB62" i="4"/>
  <c r="BC62" i="4" s="1"/>
  <c r="BB64" i="4"/>
  <c r="BC64" i="4" s="1"/>
  <c r="BB66" i="4"/>
  <c r="BC66" i="4" s="1"/>
  <c r="BB70" i="4"/>
  <c r="BC70" i="4" s="1"/>
  <c r="BB74" i="4"/>
  <c r="BC74" i="4" s="1"/>
  <c r="BB76" i="4"/>
  <c r="BC76" i="4" s="1"/>
  <c r="BB78" i="4"/>
  <c r="BC78" i="4" s="1"/>
  <c r="BB80" i="4"/>
  <c r="BC80" i="4" s="1"/>
  <c r="BB82" i="4"/>
  <c r="BC82" i="4" s="1"/>
  <c r="BB84" i="4"/>
  <c r="BC84" i="4" s="1"/>
  <c r="BB86" i="4"/>
  <c r="BC86" i="4" s="1"/>
  <c r="BB88" i="4"/>
  <c r="BC88" i="4" s="1"/>
  <c r="BB90" i="4"/>
  <c r="BC90" i="4" s="1"/>
  <c r="BB68" i="4"/>
  <c r="BC68" i="4" s="1"/>
  <c r="BB72" i="4"/>
  <c r="BC72" i="4" s="1"/>
  <c r="BB77" i="4"/>
  <c r="BC77" i="4" s="1"/>
  <c r="BB79" i="4"/>
  <c r="BC79" i="4" s="1"/>
  <c r="BB81" i="4"/>
  <c r="BC81" i="4" s="1"/>
  <c r="BB83" i="4"/>
  <c r="BC83" i="4" s="1"/>
  <c r="BB85" i="4"/>
  <c r="BC85" i="4" s="1"/>
  <c r="BB89" i="4"/>
  <c r="BC89" i="4" s="1"/>
  <c r="BB91" i="4"/>
  <c r="BC91" i="4" s="1"/>
  <c r="BB93" i="4"/>
  <c r="BC93" i="4" s="1"/>
  <c r="BB95" i="4"/>
  <c r="BC95" i="4" s="1"/>
  <c r="BB97" i="4"/>
  <c r="BC97" i="4" s="1"/>
  <c r="BB99" i="4"/>
  <c r="BC99" i="4" s="1"/>
  <c r="BB101" i="4"/>
  <c r="BC101" i="4" s="1"/>
  <c r="BB103" i="4"/>
  <c r="BC103" i="4" s="1"/>
  <c r="BB87" i="4"/>
  <c r="BC87" i="4" s="1"/>
  <c r="BB92" i="4"/>
  <c r="BC92" i="4" s="1"/>
  <c r="BB94" i="4"/>
  <c r="BC94" i="4" s="1"/>
  <c r="BB96" i="4"/>
  <c r="BC96" i="4" s="1"/>
  <c r="BB98" i="4"/>
  <c r="BC98" i="4" s="1"/>
  <c r="BB100" i="4"/>
  <c r="BC100" i="4" s="1"/>
  <c r="BB102" i="4"/>
  <c r="BC102" i="4" s="1"/>
  <c r="BB104" i="4"/>
  <c r="BC104" i="4" s="1"/>
  <c r="BB105" i="4"/>
  <c r="BC105" i="4" s="1"/>
  <c r="BB106" i="4"/>
  <c r="BC106" i="4" s="1"/>
  <c r="BB107" i="4"/>
  <c r="BC107" i="4" s="1"/>
  <c r="BB108" i="4"/>
  <c r="BC108" i="4" s="1"/>
  <c r="BB109" i="4"/>
  <c r="BC109" i="4" s="1"/>
  <c r="BB110" i="4"/>
  <c r="BC110" i="4" s="1"/>
  <c r="BB111" i="4"/>
  <c r="BC111" i="4" s="1"/>
  <c r="BB112" i="4"/>
  <c r="BC112" i="4" s="1"/>
  <c r="BB113" i="4"/>
  <c r="BC113" i="4" s="1"/>
  <c r="BB114" i="4"/>
  <c r="BC114" i="4" s="1"/>
  <c r="BB115" i="4"/>
  <c r="BC115" i="4" s="1"/>
  <c r="BB116" i="4"/>
  <c r="BC116" i="4" s="1"/>
  <c r="BB117" i="4"/>
  <c r="BC117" i="4" s="1"/>
  <c r="BB118" i="4"/>
  <c r="BC118" i="4" s="1"/>
  <c r="BB119" i="4"/>
  <c r="BC119" i="4" s="1"/>
  <c r="BB120" i="4"/>
  <c r="BC120" i="4" s="1"/>
  <c r="BB121" i="4"/>
  <c r="BC121" i="4" s="1"/>
  <c r="BB122" i="4"/>
  <c r="BC122" i="4" s="1"/>
  <c r="BB123" i="4"/>
  <c r="BC123" i="4" s="1"/>
  <c r="BB124" i="4"/>
  <c r="BC124" i="4" s="1"/>
  <c r="BB125" i="4"/>
  <c r="BC125" i="4" s="1"/>
  <c r="BB126" i="4"/>
  <c r="BC126" i="4" s="1"/>
  <c r="BB127" i="4"/>
  <c r="BC127" i="4" s="1"/>
  <c r="BB128" i="4"/>
  <c r="BC128" i="4" s="1"/>
  <c r="BB129" i="4"/>
  <c r="BC129" i="4" s="1"/>
  <c r="BB130" i="4"/>
  <c r="BC130" i="4" s="1"/>
  <c r="BB131" i="4"/>
  <c r="BC131" i="4" s="1"/>
  <c r="BB132" i="4"/>
  <c r="BC132" i="4" s="1"/>
  <c r="BB133" i="4"/>
  <c r="BC133" i="4" s="1"/>
  <c r="BB134" i="4"/>
  <c r="BC134" i="4" s="1"/>
  <c r="BB135" i="4"/>
  <c r="BC135" i="4" s="1"/>
  <c r="BB136" i="4"/>
  <c r="BC136" i="4" s="1"/>
  <c r="BB137" i="4"/>
  <c r="BC137" i="4" s="1"/>
  <c r="BB138" i="4"/>
  <c r="BC138" i="4" s="1"/>
  <c r="BB139" i="4"/>
  <c r="BC139" i="4" s="1"/>
  <c r="BB140" i="4"/>
  <c r="BC140" i="4" s="1"/>
  <c r="BB141" i="4"/>
  <c r="BC141" i="4" s="1"/>
  <c r="BB142" i="4"/>
  <c r="BC142" i="4" s="1"/>
  <c r="BB143" i="4"/>
  <c r="BC143" i="4" s="1"/>
  <c r="BB144" i="4"/>
  <c r="BC144" i="4" s="1"/>
  <c r="BB145" i="4"/>
  <c r="BC145" i="4" s="1"/>
  <c r="BB146" i="4"/>
  <c r="BC146" i="4" s="1"/>
  <c r="BB147" i="4"/>
  <c r="BC147" i="4" s="1"/>
  <c r="BB148" i="4"/>
  <c r="BC148" i="4" s="1"/>
  <c r="BB149" i="4"/>
  <c r="BC149" i="4" s="1"/>
  <c r="BB150" i="4"/>
  <c r="BC150" i="4" s="1"/>
  <c r="BB151" i="4"/>
  <c r="BC151" i="4" s="1"/>
  <c r="BB152" i="4"/>
  <c r="BC152" i="4" s="1"/>
  <c r="BB153" i="4"/>
  <c r="BC153" i="4" s="1"/>
  <c r="M19" i="7"/>
  <c r="C104" i="9" s="1"/>
  <c r="BB154" i="4"/>
  <c r="BC154" i="4" s="1"/>
  <c r="BB155" i="4"/>
  <c r="BC155" i="4" s="1"/>
  <c r="BB156" i="4"/>
  <c r="BC156" i="4" s="1"/>
  <c r="BB157" i="4"/>
  <c r="BC157" i="4" s="1"/>
  <c r="BB158" i="4"/>
  <c r="BC158" i="4" s="1"/>
  <c r="BB159" i="4"/>
  <c r="BC159" i="4" s="1"/>
  <c r="BB160" i="4"/>
  <c r="BC160" i="4" s="1"/>
  <c r="BB161" i="4"/>
  <c r="BC161" i="4" s="1"/>
  <c r="BB162" i="4"/>
  <c r="BC162" i="4" s="1"/>
  <c r="BB163" i="4"/>
  <c r="BC163" i="4" s="1"/>
  <c r="L19" i="7"/>
  <c r="B104" i="9" s="1"/>
  <c r="C23" i="5"/>
  <c r="B23" i="5"/>
  <c r="J25" i="2"/>
  <c r="B39" i="4"/>
  <c r="C492" i="9"/>
  <c r="N22" i="5"/>
  <c r="D492" i="9" s="1"/>
  <c r="K22" i="5"/>
  <c r="G333" i="9" s="1"/>
  <c r="F333" i="9"/>
  <c r="D20" i="5" l="1"/>
  <c r="D101" i="9" s="1"/>
  <c r="E20" i="5"/>
  <c r="E101" i="9" s="1"/>
  <c r="F35" i="4"/>
  <c r="A618" i="9"/>
  <c r="A459" i="9"/>
  <c r="I152" i="4"/>
  <c r="A137" i="5"/>
  <c r="P24" i="5"/>
  <c r="O24" i="5"/>
  <c r="E494" i="9" s="1"/>
  <c r="L24" i="5"/>
  <c r="B494" i="9" s="1"/>
  <c r="J24" i="5"/>
  <c r="G24" i="5"/>
  <c r="M24" i="5"/>
  <c r="I24" i="5"/>
  <c r="E335" i="9" s="1"/>
  <c r="F24" i="5"/>
  <c r="B335" i="9" s="1"/>
  <c r="E39" i="4"/>
  <c r="K21" i="7"/>
  <c r="J26" i="2"/>
  <c r="B40" i="4"/>
  <c r="P116" i="4"/>
  <c r="N117" i="4"/>
  <c r="S119" i="4"/>
  <c r="Q120" i="4"/>
  <c r="M114" i="4"/>
  <c r="K115" i="4"/>
  <c r="C334" i="9"/>
  <c r="H23" i="5"/>
  <c r="D334" i="9" s="1"/>
  <c r="K23" i="5"/>
  <c r="G334" i="9" s="1"/>
  <c r="F334" i="9"/>
  <c r="N23" i="5"/>
  <c r="D493" i="9" s="1"/>
  <c r="C493" i="9"/>
  <c r="Q23" i="5"/>
  <c r="G493" i="9" s="1"/>
  <c r="F493" i="9"/>
  <c r="BE39" i="4"/>
  <c r="BF39" i="4" s="1"/>
  <c r="J39" i="4" s="1"/>
  <c r="BE40" i="4"/>
  <c r="BF40" i="4" s="1"/>
  <c r="BE41" i="4"/>
  <c r="BF41" i="4" s="1"/>
  <c r="BE43" i="4"/>
  <c r="BF43" i="4" s="1"/>
  <c r="BE44" i="4"/>
  <c r="BF44" i="4" s="1"/>
  <c r="BE45" i="4"/>
  <c r="BF45" i="4" s="1"/>
  <c r="BE42" i="4"/>
  <c r="BF42" i="4" s="1"/>
  <c r="BE48" i="4"/>
  <c r="BF48" i="4" s="1"/>
  <c r="BE49" i="4"/>
  <c r="BF49" i="4" s="1"/>
  <c r="BE46" i="4"/>
  <c r="BF46" i="4" s="1"/>
  <c r="BE47" i="4"/>
  <c r="BF47" i="4" s="1"/>
  <c r="BE50" i="4"/>
  <c r="BF50" i="4" s="1"/>
  <c r="BE51" i="4"/>
  <c r="BF51" i="4" s="1"/>
  <c r="BE52" i="4"/>
  <c r="BF52" i="4" s="1"/>
  <c r="BE53" i="4"/>
  <c r="BF53" i="4" s="1"/>
  <c r="BE54" i="4"/>
  <c r="BF54" i="4" s="1"/>
  <c r="BE55" i="4"/>
  <c r="BF55" i="4" s="1"/>
  <c r="BE56" i="4"/>
  <c r="BF56" i="4" s="1"/>
  <c r="BE57" i="4"/>
  <c r="BF57" i="4" s="1"/>
  <c r="BE60" i="4"/>
  <c r="BF60" i="4" s="1"/>
  <c r="BE61" i="4"/>
  <c r="BF61" i="4" s="1"/>
  <c r="BE58" i="4"/>
  <c r="BF58" i="4" s="1"/>
  <c r="BE59" i="4"/>
  <c r="BF59" i="4" s="1"/>
  <c r="BE62" i="4"/>
  <c r="BF62" i="4" s="1"/>
  <c r="BE63" i="4"/>
  <c r="BF63" i="4" s="1"/>
  <c r="BE65" i="4"/>
  <c r="BF65" i="4" s="1"/>
  <c r="BE67" i="4"/>
  <c r="BF67" i="4" s="1"/>
  <c r="BE69" i="4"/>
  <c r="BF69" i="4" s="1"/>
  <c r="BE71" i="4"/>
  <c r="BF71" i="4" s="1"/>
  <c r="BE73" i="4"/>
  <c r="BF73" i="4" s="1"/>
  <c r="BE64" i="4"/>
  <c r="BF64" i="4" s="1"/>
  <c r="BE66" i="4"/>
  <c r="BF66" i="4" s="1"/>
  <c r="BE68" i="4"/>
  <c r="BF68" i="4" s="1"/>
  <c r="BE72" i="4"/>
  <c r="BF72" i="4" s="1"/>
  <c r="BE76" i="4"/>
  <c r="BF76" i="4" s="1"/>
  <c r="BE78" i="4"/>
  <c r="BF78" i="4" s="1"/>
  <c r="BE80" i="4"/>
  <c r="BF80" i="4" s="1"/>
  <c r="BE82" i="4"/>
  <c r="BF82" i="4" s="1"/>
  <c r="BE84" i="4"/>
  <c r="BF84" i="4" s="1"/>
  <c r="BE86" i="4"/>
  <c r="BF86" i="4" s="1"/>
  <c r="BE88" i="4"/>
  <c r="BF88" i="4" s="1"/>
  <c r="BE90" i="4"/>
  <c r="BF90" i="4" s="1"/>
  <c r="BE70" i="4"/>
  <c r="BF70" i="4" s="1"/>
  <c r="BE74" i="4"/>
  <c r="BF74" i="4" s="1"/>
  <c r="BE75" i="4"/>
  <c r="BF75" i="4" s="1"/>
  <c r="BE77" i="4"/>
  <c r="BF77" i="4" s="1"/>
  <c r="BE79" i="4"/>
  <c r="BF79" i="4" s="1"/>
  <c r="BE81" i="4"/>
  <c r="BF81" i="4" s="1"/>
  <c r="BE83" i="4"/>
  <c r="BF83" i="4" s="1"/>
  <c r="BE87" i="4"/>
  <c r="BF87" i="4" s="1"/>
  <c r="BE91" i="4"/>
  <c r="BF91" i="4" s="1"/>
  <c r="BE93" i="4"/>
  <c r="BF93" i="4" s="1"/>
  <c r="BE95" i="4"/>
  <c r="BF95" i="4" s="1"/>
  <c r="BE97" i="4"/>
  <c r="BF97" i="4" s="1"/>
  <c r="BE99" i="4"/>
  <c r="BF99" i="4" s="1"/>
  <c r="BE101" i="4"/>
  <c r="BF101" i="4" s="1"/>
  <c r="BE103" i="4"/>
  <c r="BF103" i="4" s="1"/>
  <c r="BE85" i="4"/>
  <c r="BF85" i="4" s="1"/>
  <c r="BE89" i="4"/>
  <c r="BF89" i="4" s="1"/>
  <c r="BE92" i="4"/>
  <c r="BF92" i="4" s="1"/>
  <c r="BE94" i="4"/>
  <c r="BF94" i="4" s="1"/>
  <c r="BE96" i="4"/>
  <c r="BF96" i="4" s="1"/>
  <c r="BE98" i="4"/>
  <c r="BF98" i="4" s="1"/>
  <c r="BE100" i="4"/>
  <c r="BF100" i="4" s="1"/>
  <c r="BE104" i="4"/>
  <c r="BF104" i="4" s="1"/>
  <c r="BE105" i="4"/>
  <c r="BF105" i="4" s="1"/>
  <c r="BE102" i="4"/>
  <c r="BF102" i="4" s="1"/>
  <c r="BE106" i="4"/>
  <c r="BF106" i="4" s="1"/>
  <c r="BE107" i="4"/>
  <c r="BF107" i="4" s="1"/>
  <c r="BE108" i="4"/>
  <c r="BF108" i="4" s="1"/>
  <c r="BE109" i="4"/>
  <c r="BF109" i="4" s="1"/>
  <c r="BE110" i="4"/>
  <c r="BF110" i="4" s="1"/>
  <c r="BE111" i="4"/>
  <c r="BF111" i="4" s="1"/>
  <c r="BE112" i="4"/>
  <c r="BF112" i="4" s="1"/>
  <c r="BE113" i="4"/>
  <c r="BF113" i="4" s="1"/>
  <c r="BE114" i="4"/>
  <c r="BF114" i="4" s="1"/>
  <c r="BE115" i="4"/>
  <c r="BF115" i="4" s="1"/>
  <c r="BE116" i="4"/>
  <c r="BF116" i="4" s="1"/>
  <c r="BE117" i="4"/>
  <c r="BF117" i="4" s="1"/>
  <c r="BE118" i="4"/>
  <c r="BF118" i="4" s="1"/>
  <c r="BE119" i="4"/>
  <c r="BF119" i="4" s="1"/>
  <c r="BE120" i="4"/>
  <c r="BF120" i="4" s="1"/>
  <c r="BE121" i="4"/>
  <c r="BF121" i="4" s="1"/>
  <c r="BE122" i="4"/>
  <c r="BF122" i="4" s="1"/>
  <c r="BE123" i="4"/>
  <c r="BF123" i="4" s="1"/>
  <c r="BE124" i="4"/>
  <c r="BF124" i="4" s="1"/>
  <c r="BE125" i="4"/>
  <c r="BF125" i="4" s="1"/>
  <c r="BE126" i="4"/>
  <c r="BF126" i="4" s="1"/>
  <c r="BE127" i="4"/>
  <c r="BF127" i="4" s="1"/>
  <c r="BE128" i="4"/>
  <c r="BF128" i="4" s="1"/>
  <c r="BE129" i="4"/>
  <c r="BF129" i="4" s="1"/>
  <c r="BE130" i="4"/>
  <c r="BF130" i="4" s="1"/>
  <c r="BE131" i="4"/>
  <c r="BF131" i="4" s="1"/>
  <c r="BE132" i="4"/>
  <c r="BF132" i="4" s="1"/>
  <c r="BE133" i="4"/>
  <c r="BF133" i="4" s="1"/>
  <c r="BE134" i="4"/>
  <c r="BF134" i="4" s="1"/>
  <c r="BE135" i="4"/>
  <c r="BF135" i="4" s="1"/>
  <c r="BE136" i="4"/>
  <c r="BF136" i="4" s="1"/>
  <c r="BE137" i="4"/>
  <c r="BF137" i="4" s="1"/>
  <c r="BE138" i="4"/>
  <c r="BF138" i="4" s="1"/>
  <c r="BE139" i="4"/>
  <c r="BF139" i="4" s="1"/>
  <c r="BE140" i="4"/>
  <c r="BF140" i="4" s="1"/>
  <c r="BE141" i="4"/>
  <c r="BF141" i="4" s="1"/>
  <c r="BE142" i="4"/>
  <c r="BF142" i="4" s="1"/>
  <c r="BE143" i="4"/>
  <c r="BF143" i="4" s="1"/>
  <c r="BE144" i="4"/>
  <c r="BF144" i="4" s="1"/>
  <c r="BE145" i="4"/>
  <c r="BF145" i="4" s="1"/>
  <c r="BE146" i="4"/>
  <c r="BF146" i="4" s="1"/>
  <c r="BE147" i="4"/>
  <c r="BF147" i="4" s="1"/>
  <c r="BE148" i="4"/>
  <c r="BF148" i="4" s="1"/>
  <c r="BE149" i="4"/>
  <c r="BF149" i="4" s="1"/>
  <c r="BE150" i="4"/>
  <c r="BF150" i="4" s="1"/>
  <c r="BE151" i="4"/>
  <c r="BF151" i="4" s="1"/>
  <c r="BE152" i="4"/>
  <c r="BF152" i="4" s="1"/>
  <c r="BE153" i="4"/>
  <c r="BF153" i="4" s="1"/>
  <c r="M20" i="7"/>
  <c r="C105" i="9" s="1"/>
  <c r="BE154" i="4"/>
  <c r="BF154" i="4" s="1"/>
  <c r="BE155" i="4"/>
  <c r="BF155" i="4" s="1"/>
  <c r="BE156" i="4"/>
  <c r="BF156" i="4" s="1"/>
  <c r="BE157" i="4"/>
  <c r="BF157" i="4" s="1"/>
  <c r="BE158" i="4"/>
  <c r="BF158" i="4" s="1"/>
  <c r="BE159" i="4"/>
  <c r="BF159" i="4" s="1"/>
  <c r="BE160" i="4"/>
  <c r="BF160" i="4" s="1"/>
  <c r="BE161" i="4"/>
  <c r="BF161" i="4" s="1"/>
  <c r="BE162" i="4"/>
  <c r="BF162" i="4" s="1"/>
  <c r="BE163" i="4"/>
  <c r="BF163" i="4" s="1"/>
  <c r="B24" i="5"/>
  <c r="L20" i="7"/>
  <c r="B105" i="9" s="1"/>
  <c r="C24" i="5"/>
  <c r="D21" i="5" l="1"/>
  <c r="D102" i="9" s="1"/>
  <c r="F36" i="4"/>
  <c r="E21" i="5"/>
  <c r="E102" i="9" s="1"/>
  <c r="A619" i="9"/>
  <c r="A460" i="9"/>
  <c r="I153" i="4"/>
  <c r="A138" i="5"/>
  <c r="P25" i="5"/>
  <c r="O25" i="5"/>
  <c r="E495" i="9" s="1"/>
  <c r="M25" i="5"/>
  <c r="I25" i="5"/>
  <c r="E336" i="9" s="1"/>
  <c r="F25" i="5"/>
  <c r="B336" i="9" s="1"/>
  <c r="L25" i="5"/>
  <c r="B495" i="9" s="1"/>
  <c r="J25" i="5"/>
  <c r="G25" i="5"/>
  <c r="J27" i="2"/>
  <c r="B41" i="4"/>
  <c r="BH40" i="4"/>
  <c r="BI40" i="4" s="1"/>
  <c r="J40" i="4" s="1"/>
  <c r="BH42" i="4"/>
  <c r="BI42" i="4" s="1"/>
  <c r="BH43" i="4"/>
  <c r="BI43" i="4" s="1"/>
  <c r="BH44" i="4"/>
  <c r="BI44" i="4" s="1"/>
  <c r="BH45" i="4"/>
  <c r="BI45" i="4" s="1"/>
  <c r="BH41" i="4"/>
  <c r="BI41" i="4" s="1"/>
  <c r="BH46" i="4"/>
  <c r="BI46" i="4" s="1"/>
  <c r="BH47" i="4"/>
  <c r="BI47" i="4" s="1"/>
  <c r="BH48" i="4"/>
  <c r="BI48" i="4" s="1"/>
  <c r="BH49" i="4"/>
  <c r="BI49" i="4" s="1"/>
  <c r="BH50" i="4"/>
  <c r="BI50" i="4" s="1"/>
  <c r="BH51" i="4"/>
  <c r="BI51" i="4" s="1"/>
  <c r="BH52" i="4"/>
  <c r="BI52" i="4" s="1"/>
  <c r="BH53" i="4"/>
  <c r="BI53" i="4" s="1"/>
  <c r="BH54" i="4"/>
  <c r="BI54" i="4" s="1"/>
  <c r="BH55" i="4"/>
  <c r="BI55" i="4" s="1"/>
  <c r="BH56" i="4"/>
  <c r="BI56" i="4" s="1"/>
  <c r="BH57" i="4"/>
  <c r="BI57" i="4" s="1"/>
  <c r="BH60" i="4"/>
  <c r="BI60" i="4" s="1"/>
  <c r="BH61" i="4"/>
  <c r="BI61" i="4" s="1"/>
  <c r="BH63" i="4"/>
  <c r="BI63" i="4" s="1"/>
  <c r="BH65" i="4"/>
  <c r="BI65" i="4" s="1"/>
  <c r="BH67" i="4"/>
  <c r="BI67" i="4" s="1"/>
  <c r="BH69" i="4"/>
  <c r="BI69" i="4" s="1"/>
  <c r="BH71" i="4"/>
  <c r="BI71" i="4" s="1"/>
  <c r="BH73" i="4"/>
  <c r="BI73" i="4" s="1"/>
  <c r="BH58" i="4"/>
  <c r="BI58" i="4" s="1"/>
  <c r="BH59" i="4"/>
  <c r="BI59" i="4" s="1"/>
  <c r="BH62" i="4"/>
  <c r="BI62" i="4" s="1"/>
  <c r="BH64" i="4"/>
  <c r="BI64" i="4" s="1"/>
  <c r="BH66" i="4"/>
  <c r="BI66" i="4" s="1"/>
  <c r="BH70" i="4"/>
  <c r="BI70" i="4" s="1"/>
  <c r="BH74" i="4"/>
  <c r="BI74" i="4" s="1"/>
  <c r="BH76" i="4"/>
  <c r="BI76" i="4" s="1"/>
  <c r="BH78" i="4"/>
  <c r="BI78" i="4" s="1"/>
  <c r="BH80" i="4"/>
  <c r="BI80" i="4" s="1"/>
  <c r="BH82" i="4"/>
  <c r="BI82" i="4" s="1"/>
  <c r="BH84" i="4"/>
  <c r="BI84" i="4" s="1"/>
  <c r="BH86" i="4"/>
  <c r="BI86" i="4" s="1"/>
  <c r="BH88" i="4"/>
  <c r="BI88" i="4" s="1"/>
  <c r="BH90" i="4"/>
  <c r="BI90" i="4" s="1"/>
  <c r="BH68" i="4"/>
  <c r="BI68" i="4" s="1"/>
  <c r="BH72" i="4"/>
  <c r="BI72" i="4" s="1"/>
  <c r="BH75" i="4"/>
  <c r="BI75" i="4" s="1"/>
  <c r="BH77" i="4"/>
  <c r="BI77" i="4" s="1"/>
  <c r="BH79" i="4"/>
  <c r="BI79" i="4" s="1"/>
  <c r="BH81" i="4"/>
  <c r="BI81" i="4" s="1"/>
  <c r="BH83" i="4"/>
  <c r="BI83" i="4" s="1"/>
  <c r="BH85" i="4"/>
  <c r="BI85" i="4" s="1"/>
  <c r="BH89" i="4"/>
  <c r="BI89" i="4" s="1"/>
  <c r="BH91" i="4"/>
  <c r="BI91" i="4" s="1"/>
  <c r="BH93" i="4"/>
  <c r="BI93" i="4" s="1"/>
  <c r="BH95" i="4"/>
  <c r="BI95" i="4" s="1"/>
  <c r="BH97" i="4"/>
  <c r="BI97" i="4" s="1"/>
  <c r="BH99" i="4"/>
  <c r="BI99" i="4" s="1"/>
  <c r="BH101" i="4"/>
  <c r="BI101" i="4" s="1"/>
  <c r="BH103" i="4"/>
  <c r="BI103" i="4" s="1"/>
  <c r="BH87" i="4"/>
  <c r="BI87" i="4" s="1"/>
  <c r="BH92" i="4"/>
  <c r="BI92" i="4" s="1"/>
  <c r="BH94" i="4"/>
  <c r="BI94" i="4" s="1"/>
  <c r="BH96" i="4"/>
  <c r="BI96" i="4" s="1"/>
  <c r="BH98" i="4"/>
  <c r="BI98" i="4" s="1"/>
  <c r="BH100" i="4"/>
  <c r="BI100" i="4" s="1"/>
  <c r="BH102" i="4"/>
  <c r="BI102" i="4" s="1"/>
  <c r="BH104" i="4"/>
  <c r="BI104" i="4" s="1"/>
  <c r="BH105" i="4"/>
  <c r="BI105" i="4" s="1"/>
  <c r="BH106" i="4"/>
  <c r="BI106" i="4" s="1"/>
  <c r="BH107" i="4"/>
  <c r="BI107" i="4" s="1"/>
  <c r="BH108" i="4"/>
  <c r="BI108" i="4" s="1"/>
  <c r="BH109" i="4"/>
  <c r="BI109" i="4" s="1"/>
  <c r="BH110" i="4"/>
  <c r="BI110" i="4" s="1"/>
  <c r="BH111" i="4"/>
  <c r="BI111" i="4" s="1"/>
  <c r="BH112" i="4"/>
  <c r="BI112" i="4" s="1"/>
  <c r="BH113" i="4"/>
  <c r="BI113" i="4" s="1"/>
  <c r="BH114" i="4"/>
  <c r="BI114" i="4" s="1"/>
  <c r="BH115" i="4"/>
  <c r="BI115" i="4" s="1"/>
  <c r="BH116" i="4"/>
  <c r="BI116" i="4" s="1"/>
  <c r="BH117" i="4"/>
  <c r="BI117" i="4" s="1"/>
  <c r="BH118" i="4"/>
  <c r="BI118" i="4" s="1"/>
  <c r="BH119" i="4"/>
  <c r="BI119" i="4" s="1"/>
  <c r="BH120" i="4"/>
  <c r="BI120" i="4" s="1"/>
  <c r="BH121" i="4"/>
  <c r="BI121" i="4" s="1"/>
  <c r="BH122" i="4"/>
  <c r="BI122" i="4" s="1"/>
  <c r="BH123" i="4"/>
  <c r="BI123" i="4" s="1"/>
  <c r="BH124" i="4"/>
  <c r="BI124" i="4" s="1"/>
  <c r="BH125" i="4"/>
  <c r="BI125" i="4" s="1"/>
  <c r="BH126" i="4"/>
  <c r="BI126" i="4" s="1"/>
  <c r="BH127" i="4"/>
  <c r="BI127" i="4" s="1"/>
  <c r="BH128" i="4"/>
  <c r="BI128" i="4" s="1"/>
  <c r="BH129" i="4"/>
  <c r="BI129" i="4" s="1"/>
  <c r="BH130" i="4"/>
  <c r="BI130" i="4" s="1"/>
  <c r="BH131" i="4"/>
  <c r="BI131" i="4" s="1"/>
  <c r="BH132" i="4"/>
  <c r="BI132" i="4" s="1"/>
  <c r="BH133" i="4"/>
  <c r="BI133" i="4" s="1"/>
  <c r="BH134" i="4"/>
  <c r="BI134" i="4" s="1"/>
  <c r="BH135" i="4"/>
  <c r="BI135" i="4" s="1"/>
  <c r="BH136" i="4"/>
  <c r="BI136" i="4" s="1"/>
  <c r="BH137" i="4"/>
  <c r="BI137" i="4" s="1"/>
  <c r="BH138" i="4"/>
  <c r="BI138" i="4" s="1"/>
  <c r="BH139" i="4"/>
  <c r="BI139" i="4" s="1"/>
  <c r="BH140" i="4"/>
  <c r="BI140" i="4" s="1"/>
  <c r="BH141" i="4"/>
  <c r="BI141" i="4" s="1"/>
  <c r="BH142" i="4"/>
  <c r="BI142" i="4" s="1"/>
  <c r="BH143" i="4"/>
  <c r="BI143" i="4" s="1"/>
  <c r="BH144" i="4"/>
  <c r="BI144" i="4" s="1"/>
  <c r="BH145" i="4"/>
  <c r="BI145" i="4" s="1"/>
  <c r="BH146" i="4"/>
  <c r="BI146" i="4" s="1"/>
  <c r="BH147" i="4"/>
  <c r="BI147" i="4" s="1"/>
  <c r="BH148" i="4"/>
  <c r="BI148" i="4" s="1"/>
  <c r="BH149" i="4"/>
  <c r="BI149" i="4" s="1"/>
  <c r="BH150" i="4"/>
  <c r="BI150" i="4" s="1"/>
  <c r="BH151" i="4"/>
  <c r="BI151" i="4" s="1"/>
  <c r="BH152" i="4"/>
  <c r="BI152" i="4" s="1"/>
  <c r="BH153" i="4"/>
  <c r="BI153" i="4" s="1"/>
  <c r="B25" i="5"/>
  <c r="M21" i="7"/>
  <c r="C106" i="9" s="1"/>
  <c r="BH154" i="4"/>
  <c r="BI154" i="4" s="1"/>
  <c r="BH155" i="4"/>
  <c r="BI155" i="4" s="1"/>
  <c r="BH156" i="4"/>
  <c r="BI156" i="4" s="1"/>
  <c r="BH157" i="4"/>
  <c r="BI157" i="4" s="1"/>
  <c r="BH158" i="4"/>
  <c r="BI158" i="4" s="1"/>
  <c r="BH159" i="4"/>
  <c r="BI159" i="4" s="1"/>
  <c r="BH160" i="4"/>
  <c r="BI160" i="4" s="1"/>
  <c r="BH161" i="4"/>
  <c r="BI161" i="4" s="1"/>
  <c r="BH162" i="4"/>
  <c r="BI162" i="4" s="1"/>
  <c r="BH163" i="4"/>
  <c r="BI163" i="4" s="1"/>
  <c r="L21" i="7"/>
  <c r="B106" i="9" s="1"/>
  <c r="C25" i="5"/>
  <c r="C494" i="9"/>
  <c r="N24" i="5"/>
  <c r="D494" i="9" s="1"/>
  <c r="K24" i="5"/>
  <c r="G335" i="9" s="1"/>
  <c r="F335" i="9"/>
  <c r="M115" i="4"/>
  <c r="K116" i="4"/>
  <c r="S120" i="4"/>
  <c r="Q121" i="4"/>
  <c r="P117" i="4"/>
  <c r="N118" i="4"/>
  <c r="E40" i="4"/>
  <c r="K22" i="7"/>
  <c r="H24" i="5"/>
  <c r="D335" i="9" s="1"/>
  <c r="C335" i="9"/>
  <c r="Q24" i="5"/>
  <c r="G494" i="9" s="1"/>
  <c r="F494" i="9"/>
  <c r="D22" i="5" l="1"/>
  <c r="D103" i="9" s="1"/>
  <c r="E22" i="5"/>
  <c r="E103" i="9" s="1"/>
  <c r="F37" i="4"/>
  <c r="A620" i="9"/>
  <c r="A461" i="9"/>
  <c r="I154" i="4"/>
  <c r="A139" i="5"/>
  <c r="P26" i="5"/>
  <c r="O26" i="5"/>
  <c r="E496" i="9" s="1"/>
  <c r="L26" i="5"/>
  <c r="B496" i="9" s="1"/>
  <c r="J26" i="5"/>
  <c r="G26" i="5"/>
  <c r="M26" i="5"/>
  <c r="I26" i="5"/>
  <c r="E337" i="9" s="1"/>
  <c r="F26" i="5"/>
  <c r="B337" i="9" s="1"/>
  <c r="P118" i="4"/>
  <c r="N119" i="4"/>
  <c r="S121" i="4"/>
  <c r="Q122" i="4"/>
  <c r="M116" i="4"/>
  <c r="K117" i="4"/>
  <c r="J28" i="2"/>
  <c r="B42" i="4"/>
  <c r="C336" i="9"/>
  <c r="H25" i="5"/>
  <c r="D336" i="9" s="1"/>
  <c r="BK43" i="4"/>
  <c r="BL43" i="4" s="1"/>
  <c r="BK44" i="4"/>
  <c r="BL44" i="4" s="1"/>
  <c r="BK45" i="4"/>
  <c r="BL45" i="4" s="1"/>
  <c r="BK41" i="4"/>
  <c r="BL41" i="4" s="1"/>
  <c r="J41" i="4" s="1"/>
  <c r="BK42" i="4"/>
  <c r="BL42" i="4" s="1"/>
  <c r="BK48" i="4"/>
  <c r="BL48" i="4" s="1"/>
  <c r="BK49" i="4"/>
  <c r="BL49" i="4" s="1"/>
  <c r="BK46" i="4"/>
  <c r="BL46" i="4" s="1"/>
  <c r="BK47" i="4"/>
  <c r="BL47" i="4" s="1"/>
  <c r="BK50" i="4"/>
  <c r="BL50" i="4" s="1"/>
  <c r="BK51" i="4"/>
  <c r="BL51" i="4" s="1"/>
  <c r="BK52" i="4"/>
  <c r="BL52" i="4" s="1"/>
  <c r="BK53" i="4"/>
  <c r="BL53" i="4" s="1"/>
  <c r="BK54" i="4"/>
  <c r="BL54" i="4" s="1"/>
  <c r="BK55" i="4"/>
  <c r="BL55" i="4" s="1"/>
  <c r="BK56" i="4"/>
  <c r="BL56" i="4" s="1"/>
  <c r="BK57" i="4"/>
  <c r="BL57" i="4" s="1"/>
  <c r="BK60" i="4"/>
  <c r="BL60" i="4" s="1"/>
  <c r="BK61" i="4"/>
  <c r="BL61" i="4" s="1"/>
  <c r="BK58" i="4"/>
  <c r="BL58" i="4" s="1"/>
  <c r="BK59" i="4"/>
  <c r="BL59" i="4" s="1"/>
  <c r="BK62" i="4"/>
  <c r="BL62" i="4" s="1"/>
  <c r="BK63" i="4"/>
  <c r="BL63" i="4" s="1"/>
  <c r="BK65" i="4"/>
  <c r="BL65" i="4" s="1"/>
  <c r="BK67" i="4"/>
  <c r="BL67" i="4" s="1"/>
  <c r="BK69" i="4"/>
  <c r="BL69" i="4" s="1"/>
  <c r="BK71" i="4"/>
  <c r="BL71" i="4" s="1"/>
  <c r="BK73" i="4"/>
  <c r="BL73" i="4" s="1"/>
  <c r="BK64" i="4"/>
  <c r="BL64" i="4" s="1"/>
  <c r="BK66" i="4"/>
  <c r="BL66" i="4" s="1"/>
  <c r="BK68" i="4"/>
  <c r="BL68" i="4" s="1"/>
  <c r="BK72" i="4"/>
  <c r="BL72" i="4" s="1"/>
  <c r="BK76" i="4"/>
  <c r="BL76" i="4" s="1"/>
  <c r="BK78" i="4"/>
  <c r="BL78" i="4" s="1"/>
  <c r="BK80" i="4"/>
  <c r="BL80" i="4" s="1"/>
  <c r="BK82" i="4"/>
  <c r="BL82" i="4" s="1"/>
  <c r="BK84" i="4"/>
  <c r="BL84" i="4" s="1"/>
  <c r="BK86" i="4"/>
  <c r="BL86" i="4" s="1"/>
  <c r="BK88" i="4"/>
  <c r="BL88" i="4" s="1"/>
  <c r="BK90" i="4"/>
  <c r="BL90" i="4" s="1"/>
  <c r="BK70" i="4"/>
  <c r="BL70" i="4" s="1"/>
  <c r="BK74" i="4"/>
  <c r="BL74" i="4" s="1"/>
  <c r="BK75" i="4"/>
  <c r="BL75" i="4" s="1"/>
  <c r="BK77" i="4"/>
  <c r="BL77" i="4" s="1"/>
  <c r="BK79" i="4"/>
  <c r="BL79" i="4" s="1"/>
  <c r="BK81" i="4"/>
  <c r="BL81" i="4" s="1"/>
  <c r="BK83" i="4"/>
  <c r="BL83" i="4" s="1"/>
  <c r="BK87" i="4"/>
  <c r="BL87" i="4" s="1"/>
  <c r="BK91" i="4"/>
  <c r="BL91" i="4" s="1"/>
  <c r="BK93" i="4"/>
  <c r="BL93" i="4" s="1"/>
  <c r="BK95" i="4"/>
  <c r="BL95" i="4" s="1"/>
  <c r="BK97" i="4"/>
  <c r="BL97" i="4" s="1"/>
  <c r="BK99" i="4"/>
  <c r="BL99" i="4" s="1"/>
  <c r="BK101" i="4"/>
  <c r="BL101" i="4" s="1"/>
  <c r="BK103" i="4"/>
  <c r="BL103" i="4" s="1"/>
  <c r="BK85" i="4"/>
  <c r="BL85" i="4" s="1"/>
  <c r="BK89" i="4"/>
  <c r="BL89" i="4" s="1"/>
  <c r="BK92" i="4"/>
  <c r="BL92" i="4" s="1"/>
  <c r="BK94" i="4"/>
  <c r="BL94" i="4" s="1"/>
  <c r="BK96" i="4"/>
  <c r="BL96" i="4" s="1"/>
  <c r="BK98" i="4"/>
  <c r="BL98" i="4" s="1"/>
  <c r="BK100" i="4"/>
  <c r="BL100" i="4" s="1"/>
  <c r="BK104" i="4"/>
  <c r="BL104" i="4" s="1"/>
  <c r="BK105" i="4"/>
  <c r="BL105" i="4" s="1"/>
  <c r="BK102" i="4"/>
  <c r="BL102" i="4" s="1"/>
  <c r="BK106" i="4"/>
  <c r="BL106" i="4" s="1"/>
  <c r="BK107" i="4"/>
  <c r="BL107" i="4" s="1"/>
  <c r="BK108" i="4"/>
  <c r="BL108" i="4" s="1"/>
  <c r="BK109" i="4"/>
  <c r="BL109" i="4" s="1"/>
  <c r="BK110" i="4"/>
  <c r="BL110" i="4" s="1"/>
  <c r="BK111" i="4"/>
  <c r="BL111" i="4" s="1"/>
  <c r="BK112" i="4"/>
  <c r="BL112" i="4" s="1"/>
  <c r="BK113" i="4"/>
  <c r="BL113" i="4" s="1"/>
  <c r="BK114" i="4"/>
  <c r="BL114" i="4" s="1"/>
  <c r="BK115" i="4"/>
  <c r="BL115" i="4" s="1"/>
  <c r="BK116" i="4"/>
  <c r="BL116" i="4" s="1"/>
  <c r="BK117" i="4"/>
  <c r="BL117" i="4" s="1"/>
  <c r="BK118" i="4"/>
  <c r="BL118" i="4" s="1"/>
  <c r="BK119" i="4"/>
  <c r="BL119" i="4" s="1"/>
  <c r="BK120" i="4"/>
  <c r="BL120" i="4" s="1"/>
  <c r="BK121" i="4"/>
  <c r="BL121" i="4" s="1"/>
  <c r="BK122" i="4"/>
  <c r="BL122" i="4" s="1"/>
  <c r="BK123" i="4"/>
  <c r="BL123" i="4" s="1"/>
  <c r="BK124" i="4"/>
  <c r="BL124" i="4" s="1"/>
  <c r="BK125" i="4"/>
  <c r="BL125" i="4" s="1"/>
  <c r="BK126" i="4"/>
  <c r="BL126" i="4" s="1"/>
  <c r="BK127" i="4"/>
  <c r="BL127" i="4" s="1"/>
  <c r="BK128" i="4"/>
  <c r="BL128" i="4" s="1"/>
  <c r="BK129" i="4"/>
  <c r="BL129" i="4" s="1"/>
  <c r="BK130" i="4"/>
  <c r="BL130" i="4" s="1"/>
  <c r="BK131" i="4"/>
  <c r="BL131" i="4" s="1"/>
  <c r="BK132" i="4"/>
  <c r="BL132" i="4" s="1"/>
  <c r="BK133" i="4"/>
  <c r="BL133" i="4" s="1"/>
  <c r="BK134" i="4"/>
  <c r="BL134" i="4" s="1"/>
  <c r="BK135" i="4"/>
  <c r="BL135" i="4" s="1"/>
  <c r="BK136" i="4"/>
  <c r="BL136" i="4" s="1"/>
  <c r="BK137" i="4"/>
  <c r="BL137" i="4" s="1"/>
  <c r="BK138" i="4"/>
  <c r="BL138" i="4" s="1"/>
  <c r="BK139" i="4"/>
  <c r="BL139" i="4" s="1"/>
  <c r="BK140" i="4"/>
  <c r="BL140" i="4" s="1"/>
  <c r="BK141" i="4"/>
  <c r="BL141" i="4" s="1"/>
  <c r="BK142" i="4"/>
  <c r="BL142" i="4" s="1"/>
  <c r="BK143" i="4"/>
  <c r="BL143" i="4" s="1"/>
  <c r="BK144" i="4"/>
  <c r="BL144" i="4" s="1"/>
  <c r="BK145" i="4"/>
  <c r="BL145" i="4" s="1"/>
  <c r="BK146" i="4"/>
  <c r="BL146" i="4" s="1"/>
  <c r="BK147" i="4"/>
  <c r="BL147" i="4" s="1"/>
  <c r="BK148" i="4"/>
  <c r="BL148" i="4" s="1"/>
  <c r="BK149" i="4"/>
  <c r="BL149" i="4" s="1"/>
  <c r="BK150" i="4"/>
  <c r="BL150" i="4" s="1"/>
  <c r="BK151" i="4"/>
  <c r="BL151" i="4" s="1"/>
  <c r="BK152" i="4"/>
  <c r="BL152" i="4" s="1"/>
  <c r="BK153" i="4"/>
  <c r="BL153" i="4" s="1"/>
  <c r="M22" i="7"/>
  <c r="C107" i="9" s="1"/>
  <c r="BK154" i="4"/>
  <c r="BL154" i="4" s="1"/>
  <c r="BK155" i="4"/>
  <c r="BL155" i="4" s="1"/>
  <c r="BK156" i="4"/>
  <c r="BL156" i="4" s="1"/>
  <c r="BK157" i="4"/>
  <c r="BL157" i="4" s="1"/>
  <c r="BK158" i="4"/>
  <c r="BL158" i="4" s="1"/>
  <c r="BK159" i="4"/>
  <c r="BL159" i="4" s="1"/>
  <c r="BK160" i="4"/>
  <c r="BL160" i="4" s="1"/>
  <c r="BK161" i="4"/>
  <c r="BL161" i="4" s="1"/>
  <c r="BK162" i="4"/>
  <c r="BL162" i="4" s="1"/>
  <c r="BK163" i="4"/>
  <c r="BL163" i="4" s="1"/>
  <c r="B26" i="5"/>
  <c r="L22" i="7"/>
  <c r="B107" i="9" s="1"/>
  <c r="C26" i="5"/>
  <c r="E41" i="4"/>
  <c r="K23" i="7"/>
  <c r="K25" i="5"/>
  <c r="G336" i="9" s="1"/>
  <c r="F336" i="9"/>
  <c r="N25" i="5"/>
  <c r="D495" i="9" s="1"/>
  <c r="C495" i="9"/>
  <c r="Q25" i="5"/>
  <c r="G495" i="9" s="1"/>
  <c r="F495" i="9"/>
  <c r="D23" i="5" l="1"/>
  <c r="D104" i="9" s="1"/>
  <c r="F38" i="4"/>
  <c r="E23" i="5"/>
  <c r="E104" i="9" s="1"/>
  <c r="A621" i="9"/>
  <c r="A462" i="9"/>
  <c r="I155" i="4"/>
  <c r="A140" i="5"/>
  <c r="P27" i="5"/>
  <c r="O27" i="5"/>
  <c r="E497" i="9" s="1"/>
  <c r="M27" i="5"/>
  <c r="I27" i="5"/>
  <c r="E338" i="9" s="1"/>
  <c r="F27" i="5"/>
  <c r="B338" i="9" s="1"/>
  <c r="L27" i="5"/>
  <c r="B497" i="9" s="1"/>
  <c r="J27" i="5"/>
  <c r="G27" i="5"/>
  <c r="BN43" i="4"/>
  <c r="BO43" i="4" s="1"/>
  <c r="BN44" i="4"/>
  <c r="BO44" i="4" s="1"/>
  <c r="BN45" i="4"/>
  <c r="BO45" i="4" s="1"/>
  <c r="BN42" i="4"/>
  <c r="BO42" i="4" s="1"/>
  <c r="J42" i="4" s="1"/>
  <c r="BN46" i="4"/>
  <c r="BO46" i="4" s="1"/>
  <c r="BN47" i="4"/>
  <c r="BO47" i="4" s="1"/>
  <c r="BN48" i="4"/>
  <c r="BO48" i="4" s="1"/>
  <c r="BN49" i="4"/>
  <c r="BO49" i="4" s="1"/>
  <c r="BN50" i="4"/>
  <c r="BO50" i="4" s="1"/>
  <c r="BN51" i="4"/>
  <c r="BO51" i="4" s="1"/>
  <c r="BN52" i="4"/>
  <c r="BO52" i="4" s="1"/>
  <c r="BN53" i="4"/>
  <c r="BO53" i="4" s="1"/>
  <c r="BN54" i="4"/>
  <c r="BO54" i="4" s="1"/>
  <c r="BN55" i="4"/>
  <c r="BO55" i="4" s="1"/>
  <c r="BN56" i="4"/>
  <c r="BO56" i="4" s="1"/>
  <c r="BN57" i="4"/>
  <c r="BO57" i="4" s="1"/>
  <c r="BN60" i="4"/>
  <c r="BO60" i="4" s="1"/>
  <c r="BN61" i="4"/>
  <c r="BO61" i="4" s="1"/>
  <c r="BN63" i="4"/>
  <c r="BO63" i="4" s="1"/>
  <c r="BN65" i="4"/>
  <c r="BO65" i="4" s="1"/>
  <c r="BN67" i="4"/>
  <c r="BO67" i="4" s="1"/>
  <c r="BN69" i="4"/>
  <c r="BO69" i="4" s="1"/>
  <c r="BN71" i="4"/>
  <c r="BO71" i="4" s="1"/>
  <c r="BN73" i="4"/>
  <c r="BO73" i="4" s="1"/>
  <c r="BN58" i="4"/>
  <c r="BO58" i="4" s="1"/>
  <c r="BN59" i="4"/>
  <c r="BO59" i="4" s="1"/>
  <c r="BN62" i="4"/>
  <c r="BO62" i="4" s="1"/>
  <c r="BN64" i="4"/>
  <c r="BO64" i="4" s="1"/>
  <c r="BN66" i="4"/>
  <c r="BO66" i="4" s="1"/>
  <c r="BN70" i="4"/>
  <c r="BO70" i="4" s="1"/>
  <c r="BN74" i="4"/>
  <c r="BO74" i="4" s="1"/>
  <c r="BN76" i="4"/>
  <c r="BO76" i="4" s="1"/>
  <c r="BN78" i="4"/>
  <c r="BO78" i="4" s="1"/>
  <c r="BN80" i="4"/>
  <c r="BO80" i="4" s="1"/>
  <c r="BN82" i="4"/>
  <c r="BO82" i="4" s="1"/>
  <c r="BN84" i="4"/>
  <c r="BO84" i="4" s="1"/>
  <c r="BN86" i="4"/>
  <c r="BO86" i="4" s="1"/>
  <c r="BN88" i="4"/>
  <c r="BO88" i="4" s="1"/>
  <c r="BN90" i="4"/>
  <c r="BO90" i="4" s="1"/>
  <c r="BN68" i="4"/>
  <c r="BO68" i="4" s="1"/>
  <c r="BN72" i="4"/>
  <c r="BO72" i="4" s="1"/>
  <c r="BN75" i="4"/>
  <c r="BO75" i="4" s="1"/>
  <c r="BN77" i="4"/>
  <c r="BO77" i="4" s="1"/>
  <c r="BN79" i="4"/>
  <c r="BO79" i="4" s="1"/>
  <c r="BN81" i="4"/>
  <c r="BO81" i="4" s="1"/>
  <c r="BN83" i="4"/>
  <c r="BO83" i="4" s="1"/>
  <c r="BN85" i="4"/>
  <c r="BO85" i="4" s="1"/>
  <c r="BN89" i="4"/>
  <c r="BO89" i="4" s="1"/>
  <c r="BN91" i="4"/>
  <c r="BO91" i="4" s="1"/>
  <c r="BN93" i="4"/>
  <c r="BO93" i="4" s="1"/>
  <c r="BN95" i="4"/>
  <c r="BO95" i="4" s="1"/>
  <c r="BN97" i="4"/>
  <c r="BO97" i="4" s="1"/>
  <c r="BN99" i="4"/>
  <c r="BO99" i="4" s="1"/>
  <c r="BN101" i="4"/>
  <c r="BO101" i="4" s="1"/>
  <c r="BN103" i="4"/>
  <c r="BO103" i="4" s="1"/>
  <c r="BN87" i="4"/>
  <c r="BO87" i="4" s="1"/>
  <c r="BN92" i="4"/>
  <c r="BO92" i="4" s="1"/>
  <c r="BN94" i="4"/>
  <c r="BO94" i="4" s="1"/>
  <c r="BN96" i="4"/>
  <c r="BO96" i="4" s="1"/>
  <c r="BN98" i="4"/>
  <c r="BO98" i="4" s="1"/>
  <c r="BN100" i="4"/>
  <c r="BO100" i="4" s="1"/>
  <c r="BN102" i="4"/>
  <c r="BO102" i="4" s="1"/>
  <c r="BN104" i="4"/>
  <c r="BO104" i="4" s="1"/>
  <c r="BN105" i="4"/>
  <c r="BO105" i="4" s="1"/>
  <c r="BN106" i="4"/>
  <c r="BO106" i="4" s="1"/>
  <c r="BN107" i="4"/>
  <c r="BO107" i="4" s="1"/>
  <c r="BN108" i="4"/>
  <c r="BO108" i="4" s="1"/>
  <c r="BN109" i="4"/>
  <c r="BO109" i="4" s="1"/>
  <c r="BN110" i="4"/>
  <c r="BO110" i="4" s="1"/>
  <c r="BN111" i="4"/>
  <c r="BO111" i="4" s="1"/>
  <c r="BN112" i="4"/>
  <c r="BO112" i="4" s="1"/>
  <c r="BN113" i="4"/>
  <c r="BO113" i="4" s="1"/>
  <c r="BN114" i="4"/>
  <c r="BO114" i="4" s="1"/>
  <c r="BN115" i="4"/>
  <c r="BO115" i="4" s="1"/>
  <c r="BN116" i="4"/>
  <c r="BO116" i="4" s="1"/>
  <c r="BN117" i="4"/>
  <c r="BO117" i="4" s="1"/>
  <c r="BN118" i="4"/>
  <c r="BO118" i="4" s="1"/>
  <c r="BN119" i="4"/>
  <c r="BO119" i="4" s="1"/>
  <c r="BN120" i="4"/>
  <c r="BO120" i="4" s="1"/>
  <c r="BN121" i="4"/>
  <c r="BO121" i="4" s="1"/>
  <c r="BN122" i="4"/>
  <c r="BO122" i="4" s="1"/>
  <c r="BN123" i="4"/>
  <c r="BO123" i="4" s="1"/>
  <c r="BN124" i="4"/>
  <c r="BO124" i="4" s="1"/>
  <c r="BN125" i="4"/>
  <c r="BO125" i="4" s="1"/>
  <c r="BN126" i="4"/>
  <c r="BO126" i="4" s="1"/>
  <c r="BN127" i="4"/>
  <c r="BO127" i="4" s="1"/>
  <c r="BN128" i="4"/>
  <c r="BO128" i="4" s="1"/>
  <c r="BN129" i="4"/>
  <c r="BO129" i="4" s="1"/>
  <c r="BN130" i="4"/>
  <c r="BO130" i="4" s="1"/>
  <c r="BN131" i="4"/>
  <c r="BO131" i="4" s="1"/>
  <c r="BN132" i="4"/>
  <c r="BO132" i="4" s="1"/>
  <c r="BN133" i="4"/>
  <c r="BO133" i="4" s="1"/>
  <c r="BN134" i="4"/>
  <c r="BO134" i="4" s="1"/>
  <c r="BN135" i="4"/>
  <c r="BO135" i="4" s="1"/>
  <c r="BN136" i="4"/>
  <c r="BO136" i="4" s="1"/>
  <c r="BN137" i="4"/>
  <c r="BO137" i="4" s="1"/>
  <c r="BN138" i="4"/>
  <c r="BO138" i="4" s="1"/>
  <c r="BN139" i="4"/>
  <c r="BO139" i="4" s="1"/>
  <c r="BN140" i="4"/>
  <c r="BO140" i="4" s="1"/>
  <c r="BN141" i="4"/>
  <c r="BO141" i="4" s="1"/>
  <c r="BN142" i="4"/>
  <c r="BO142" i="4" s="1"/>
  <c r="BN143" i="4"/>
  <c r="BO143" i="4" s="1"/>
  <c r="BN144" i="4"/>
  <c r="BO144" i="4" s="1"/>
  <c r="BN145" i="4"/>
  <c r="BO145" i="4" s="1"/>
  <c r="BN146" i="4"/>
  <c r="BO146" i="4" s="1"/>
  <c r="BN147" i="4"/>
  <c r="BO147" i="4" s="1"/>
  <c r="BN148" i="4"/>
  <c r="BO148" i="4" s="1"/>
  <c r="BN149" i="4"/>
  <c r="BO149" i="4" s="1"/>
  <c r="BN150" i="4"/>
  <c r="BO150" i="4" s="1"/>
  <c r="BN151" i="4"/>
  <c r="BO151" i="4" s="1"/>
  <c r="BN152" i="4"/>
  <c r="BO152" i="4" s="1"/>
  <c r="BN153" i="4"/>
  <c r="BO153" i="4" s="1"/>
  <c r="B27" i="5"/>
  <c r="M23" i="7"/>
  <c r="C108" i="9" s="1"/>
  <c r="BN154" i="4"/>
  <c r="BO154" i="4" s="1"/>
  <c r="BN155" i="4"/>
  <c r="BO155" i="4" s="1"/>
  <c r="BN156" i="4"/>
  <c r="BO156" i="4" s="1"/>
  <c r="BN157" i="4"/>
  <c r="BO157" i="4" s="1"/>
  <c r="BN158" i="4"/>
  <c r="BO158" i="4" s="1"/>
  <c r="BN159" i="4"/>
  <c r="BO159" i="4" s="1"/>
  <c r="BN160" i="4"/>
  <c r="BO160" i="4" s="1"/>
  <c r="BN161" i="4"/>
  <c r="BO161" i="4" s="1"/>
  <c r="BN162" i="4"/>
  <c r="BO162" i="4" s="1"/>
  <c r="BN163" i="4"/>
  <c r="BO163" i="4" s="1"/>
  <c r="L23" i="7"/>
  <c r="B108" i="9" s="1"/>
  <c r="C27" i="5"/>
  <c r="E42" i="4"/>
  <c r="K24" i="7"/>
  <c r="M117" i="4"/>
  <c r="K118" i="4"/>
  <c r="S122" i="4"/>
  <c r="Q123" i="4"/>
  <c r="P119" i="4"/>
  <c r="N120" i="4"/>
  <c r="C496" i="9"/>
  <c r="N26" i="5"/>
  <c r="D496" i="9" s="1"/>
  <c r="K26" i="5"/>
  <c r="G337" i="9" s="1"/>
  <c r="F337" i="9"/>
  <c r="J29" i="2"/>
  <c r="B43" i="4"/>
  <c r="H26" i="5"/>
  <c r="D337" i="9" s="1"/>
  <c r="C337" i="9"/>
  <c r="Q26" i="5"/>
  <c r="G496" i="9" s="1"/>
  <c r="F496" i="9"/>
  <c r="D24" i="5" l="1"/>
  <c r="D105" i="9" s="1"/>
  <c r="E24" i="5"/>
  <c r="E105" i="9" s="1"/>
  <c r="F39" i="4"/>
  <c r="A622" i="9"/>
  <c r="A463" i="9"/>
  <c r="I156" i="4"/>
  <c r="A141" i="5"/>
  <c r="P28" i="5"/>
  <c r="O28" i="5"/>
  <c r="E498" i="9" s="1"/>
  <c r="L28" i="5"/>
  <c r="B498" i="9" s="1"/>
  <c r="J28" i="5"/>
  <c r="G28" i="5"/>
  <c r="M28" i="5"/>
  <c r="I28" i="5"/>
  <c r="E339" i="9" s="1"/>
  <c r="F28" i="5"/>
  <c r="B339" i="9" s="1"/>
  <c r="E43" i="4"/>
  <c r="K25" i="7"/>
  <c r="P120" i="4"/>
  <c r="N121" i="4"/>
  <c r="S123" i="4"/>
  <c r="Q124" i="4"/>
  <c r="M118" i="4"/>
  <c r="K119" i="4"/>
  <c r="K27" i="5"/>
  <c r="G338" i="9" s="1"/>
  <c r="F338" i="9"/>
  <c r="N27" i="5"/>
  <c r="D497" i="9" s="1"/>
  <c r="C497" i="9"/>
  <c r="Q27" i="5"/>
  <c r="G497" i="9" s="1"/>
  <c r="F497" i="9"/>
  <c r="B44" i="4"/>
  <c r="J30" i="2"/>
  <c r="BQ43" i="4"/>
  <c r="BR43" i="4" s="1"/>
  <c r="J43" i="4" s="1"/>
  <c r="BQ44" i="4"/>
  <c r="BR44" i="4" s="1"/>
  <c r="BQ45" i="4"/>
  <c r="BR45" i="4" s="1"/>
  <c r="BQ48" i="4"/>
  <c r="BR48" i="4" s="1"/>
  <c r="BQ49" i="4"/>
  <c r="BR49" i="4" s="1"/>
  <c r="BQ46" i="4"/>
  <c r="BR46" i="4" s="1"/>
  <c r="BQ47" i="4"/>
  <c r="BR47" i="4" s="1"/>
  <c r="BQ50" i="4"/>
  <c r="BR50" i="4" s="1"/>
  <c r="BQ51" i="4"/>
  <c r="BR51" i="4" s="1"/>
  <c r="BQ52" i="4"/>
  <c r="BR52" i="4" s="1"/>
  <c r="BQ53" i="4"/>
  <c r="BR53" i="4" s="1"/>
  <c r="BQ54" i="4"/>
  <c r="BR54" i="4" s="1"/>
  <c r="BQ55" i="4"/>
  <c r="BR55" i="4" s="1"/>
  <c r="BQ56" i="4"/>
  <c r="BR56" i="4" s="1"/>
  <c r="BQ57" i="4"/>
  <c r="BR57" i="4" s="1"/>
  <c r="BQ60" i="4"/>
  <c r="BR60" i="4" s="1"/>
  <c r="BQ61" i="4"/>
  <c r="BR61" i="4" s="1"/>
  <c r="BQ58" i="4"/>
  <c r="BR58" i="4" s="1"/>
  <c r="BQ59" i="4"/>
  <c r="BR59" i="4" s="1"/>
  <c r="BQ62" i="4"/>
  <c r="BR62" i="4" s="1"/>
  <c r="BQ63" i="4"/>
  <c r="BR63" i="4" s="1"/>
  <c r="BQ65" i="4"/>
  <c r="BR65" i="4" s="1"/>
  <c r="BQ67" i="4"/>
  <c r="BR67" i="4" s="1"/>
  <c r="BQ69" i="4"/>
  <c r="BR69" i="4" s="1"/>
  <c r="BQ71" i="4"/>
  <c r="BR71" i="4" s="1"/>
  <c r="BQ73" i="4"/>
  <c r="BR73" i="4" s="1"/>
  <c r="BQ64" i="4"/>
  <c r="BR64" i="4" s="1"/>
  <c r="BQ66" i="4"/>
  <c r="BR66" i="4" s="1"/>
  <c r="BQ68" i="4"/>
  <c r="BR68" i="4" s="1"/>
  <c r="BQ72" i="4"/>
  <c r="BR72" i="4" s="1"/>
  <c r="BQ76" i="4"/>
  <c r="BR76" i="4" s="1"/>
  <c r="BQ78" i="4"/>
  <c r="BR78" i="4" s="1"/>
  <c r="BQ80" i="4"/>
  <c r="BR80" i="4" s="1"/>
  <c r="BQ82" i="4"/>
  <c r="BR82" i="4" s="1"/>
  <c r="BQ84" i="4"/>
  <c r="BR84" i="4" s="1"/>
  <c r="BQ86" i="4"/>
  <c r="BR86" i="4" s="1"/>
  <c r="BQ88" i="4"/>
  <c r="BR88" i="4" s="1"/>
  <c r="BQ90" i="4"/>
  <c r="BR90" i="4" s="1"/>
  <c r="BQ70" i="4"/>
  <c r="BR70" i="4" s="1"/>
  <c r="BQ74" i="4"/>
  <c r="BR74" i="4" s="1"/>
  <c r="BQ75" i="4"/>
  <c r="BR75" i="4" s="1"/>
  <c r="BQ77" i="4"/>
  <c r="BR77" i="4" s="1"/>
  <c r="BQ79" i="4"/>
  <c r="BR79" i="4" s="1"/>
  <c r="BQ81" i="4"/>
  <c r="BR81" i="4" s="1"/>
  <c r="BQ83" i="4"/>
  <c r="BR83" i="4" s="1"/>
  <c r="BQ87" i="4"/>
  <c r="BR87" i="4" s="1"/>
  <c r="BQ91" i="4"/>
  <c r="BR91" i="4" s="1"/>
  <c r="BQ93" i="4"/>
  <c r="BR93" i="4" s="1"/>
  <c r="BQ95" i="4"/>
  <c r="BR95" i="4" s="1"/>
  <c r="BQ97" i="4"/>
  <c r="BR97" i="4" s="1"/>
  <c r="BQ99" i="4"/>
  <c r="BR99" i="4" s="1"/>
  <c r="BQ101" i="4"/>
  <c r="BR101" i="4" s="1"/>
  <c r="BQ103" i="4"/>
  <c r="BR103" i="4" s="1"/>
  <c r="BQ85" i="4"/>
  <c r="BR85" i="4" s="1"/>
  <c r="BQ89" i="4"/>
  <c r="BR89" i="4" s="1"/>
  <c r="BQ92" i="4"/>
  <c r="BR92" i="4" s="1"/>
  <c r="BQ94" i="4"/>
  <c r="BR94" i="4" s="1"/>
  <c r="BQ96" i="4"/>
  <c r="BR96" i="4" s="1"/>
  <c r="BQ98" i="4"/>
  <c r="BR98" i="4" s="1"/>
  <c r="BQ100" i="4"/>
  <c r="BR100" i="4" s="1"/>
  <c r="BQ104" i="4"/>
  <c r="BR104" i="4" s="1"/>
  <c r="BQ105" i="4"/>
  <c r="BR105" i="4" s="1"/>
  <c r="BQ102" i="4"/>
  <c r="BR102" i="4" s="1"/>
  <c r="BQ106" i="4"/>
  <c r="BR106" i="4" s="1"/>
  <c r="BQ107" i="4"/>
  <c r="BR107" i="4" s="1"/>
  <c r="BQ108" i="4"/>
  <c r="BR108" i="4" s="1"/>
  <c r="BQ109" i="4"/>
  <c r="BR109" i="4" s="1"/>
  <c r="BQ110" i="4"/>
  <c r="BR110" i="4" s="1"/>
  <c r="BQ111" i="4"/>
  <c r="BR111" i="4" s="1"/>
  <c r="BQ112" i="4"/>
  <c r="BR112" i="4" s="1"/>
  <c r="BQ113" i="4"/>
  <c r="BR113" i="4" s="1"/>
  <c r="BQ114" i="4"/>
  <c r="BR114" i="4" s="1"/>
  <c r="BQ115" i="4"/>
  <c r="BR115" i="4" s="1"/>
  <c r="BQ116" i="4"/>
  <c r="BR116" i="4" s="1"/>
  <c r="BQ117" i="4"/>
  <c r="BR117" i="4" s="1"/>
  <c r="BQ118" i="4"/>
  <c r="BR118" i="4" s="1"/>
  <c r="BQ119" i="4"/>
  <c r="BR119" i="4" s="1"/>
  <c r="BQ120" i="4"/>
  <c r="BR120" i="4" s="1"/>
  <c r="BQ121" i="4"/>
  <c r="BR121" i="4" s="1"/>
  <c r="BQ122" i="4"/>
  <c r="BR122" i="4" s="1"/>
  <c r="BQ123" i="4"/>
  <c r="BR123" i="4" s="1"/>
  <c r="BQ124" i="4"/>
  <c r="BR124" i="4" s="1"/>
  <c r="BQ125" i="4"/>
  <c r="BR125" i="4" s="1"/>
  <c r="BQ126" i="4"/>
  <c r="BR126" i="4" s="1"/>
  <c r="BQ127" i="4"/>
  <c r="BR127" i="4" s="1"/>
  <c r="BQ128" i="4"/>
  <c r="BR128" i="4" s="1"/>
  <c r="BQ129" i="4"/>
  <c r="BR129" i="4" s="1"/>
  <c r="BQ130" i="4"/>
  <c r="BR130" i="4" s="1"/>
  <c r="BQ131" i="4"/>
  <c r="BR131" i="4" s="1"/>
  <c r="BQ132" i="4"/>
  <c r="BR132" i="4" s="1"/>
  <c r="BQ133" i="4"/>
  <c r="BR133" i="4" s="1"/>
  <c r="BQ134" i="4"/>
  <c r="BR134" i="4" s="1"/>
  <c r="BQ135" i="4"/>
  <c r="BR135" i="4" s="1"/>
  <c r="BQ136" i="4"/>
  <c r="BR136" i="4" s="1"/>
  <c r="BQ137" i="4"/>
  <c r="BR137" i="4" s="1"/>
  <c r="BQ138" i="4"/>
  <c r="BR138" i="4" s="1"/>
  <c r="BQ139" i="4"/>
  <c r="BR139" i="4" s="1"/>
  <c r="BQ140" i="4"/>
  <c r="BR140" i="4" s="1"/>
  <c r="BQ141" i="4"/>
  <c r="BR141" i="4" s="1"/>
  <c r="BQ142" i="4"/>
  <c r="BR142" i="4" s="1"/>
  <c r="BQ143" i="4"/>
  <c r="BR143" i="4" s="1"/>
  <c r="BQ144" i="4"/>
  <c r="BR144" i="4" s="1"/>
  <c r="BQ145" i="4"/>
  <c r="BR145" i="4" s="1"/>
  <c r="BQ146" i="4"/>
  <c r="BR146" i="4" s="1"/>
  <c r="BQ147" i="4"/>
  <c r="BR147" i="4" s="1"/>
  <c r="BQ148" i="4"/>
  <c r="BR148" i="4" s="1"/>
  <c r="BQ149" i="4"/>
  <c r="BR149" i="4" s="1"/>
  <c r="BQ150" i="4"/>
  <c r="BR150" i="4" s="1"/>
  <c r="BQ151" i="4"/>
  <c r="BR151" i="4" s="1"/>
  <c r="BQ152" i="4"/>
  <c r="BR152" i="4" s="1"/>
  <c r="BQ153" i="4"/>
  <c r="BR153" i="4" s="1"/>
  <c r="M24" i="7"/>
  <c r="C109" i="9" s="1"/>
  <c r="BQ154" i="4"/>
  <c r="BR154" i="4" s="1"/>
  <c r="BQ155" i="4"/>
  <c r="BR155" i="4" s="1"/>
  <c r="BQ156" i="4"/>
  <c r="BR156" i="4" s="1"/>
  <c r="BQ157" i="4"/>
  <c r="BR157" i="4" s="1"/>
  <c r="BQ158" i="4"/>
  <c r="BR158" i="4" s="1"/>
  <c r="BQ159" i="4"/>
  <c r="BR159" i="4" s="1"/>
  <c r="BQ160" i="4"/>
  <c r="BR160" i="4" s="1"/>
  <c r="BQ161" i="4"/>
  <c r="BR161" i="4" s="1"/>
  <c r="BQ162" i="4"/>
  <c r="BR162" i="4" s="1"/>
  <c r="BQ163" i="4"/>
  <c r="BR163" i="4" s="1"/>
  <c r="B28" i="5"/>
  <c r="L24" i="7"/>
  <c r="B109" i="9" s="1"/>
  <c r="C28" i="5"/>
  <c r="C338" i="9"/>
  <c r="H27" i="5"/>
  <c r="D338" i="9" s="1"/>
  <c r="D25" i="5" l="1"/>
  <c r="D106" i="9" s="1"/>
  <c r="F40" i="4"/>
  <c r="E25" i="5"/>
  <c r="E106" i="9" s="1"/>
  <c r="A623" i="9"/>
  <c r="A464" i="9"/>
  <c r="I157" i="4"/>
  <c r="A142" i="5"/>
  <c r="O29" i="5"/>
  <c r="E499" i="9" s="1"/>
  <c r="P29" i="5"/>
  <c r="M29" i="5"/>
  <c r="I29" i="5"/>
  <c r="E340" i="9" s="1"/>
  <c r="F29" i="5"/>
  <c r="B340" i="9" s="1"/>
  <c r="L29" i="5"/>
  <c r="B499" i="9" s="1"/>
  <c r="J29" i="5"/>
  <c r="G29" i="5"/>
  <c r="J31" i="2"/>
  <c r="B45" i="4"/>
  <c r="BT44" i="4"/>
  <c r="BU44" i="4" s="1"/>
  <c r="J44" i="4" s="1"/>
  <c r="BT45" i="4"/>
  <c r="BU45" i="4" s="1"/>
  <c r="BT46" i="4"/>
  <c r="BU46" i="4" s="1"/>
  <c r="BT47" i="4"/>
  <c r="BU47" i="4" s="1"/>
  <c r="BT48" i="4"/>
  <c r="BU48" i="4" s="1"/>
  <c r="BT49" i="4"/>
  <c r="BU49" i="4" s="1"/>
  <c r="BT50" i="4"/>
  <c r="BU50" i="4" s="1"/>
  <c r="BT51" i="4"/>
  <c r="BU51" i="4" s="1"/>
  <c r="BT52" i="4"/>
  <c r="BU52" i="4" s="1"/>
  <c r="BT53" i="4"/>
  <c r="BU53" i="4" s="1"/>
  <c r="BT54" i="4"/>
  <c r="BU54" i="4" s="1"/>
  <c r="BT55" i="4"/>
  <c r="BU55" i="4" s="1"/>
  <c r="BT56" i="4"/>
  <c r="BU56" i="4" s="1"/>
  <c r="BT57" i="4"/>
  <c r="BU57" i="4" s="1"/>
  <c r="BT60" i="4"/>
  <c r="BU60" i="4" s="1"/>
  <c r="BT61" i="4"/>
  <c r="BU61" i="4" s="1"/>
  <c r="BT63" i="4"/>
  <c r="BU63" i="4" s="1"/>
  <c r="BT65" i="4"/>
  <c r="BU65" i="4" s="1"/>
  <c r="BT67" i="4"/>
  <c r="BU67" i="4" s="1"/>
  <c r="BT69" i="4"/>
  <c r="BU69" i="4" s="1"/>
  <c r="BT71" i="4"/>
  <c r="BU71" i="4" s="1"/>
  <c r="BT73" i="4"/>
  <c r="BU73" i="4" s="1"/>
  <c r="BT58" i="4"/>
  <c r="BU58" i="4" s="1"/>
  <c r="BT59" i="4"/>
  <c r="BU59" i="4" s="1"/>
  <c r="BT62" i="4"/>
  <c r="BU62" i="4" s="1"/>
  <c r="BT64" i="4"/>
  <c r="BU64" i="4" s="1"/>
  <c r="BT66" i="4"/>
  <c r="BU66" i="4" s="1"/>
  <c r="BT70" i="4"/>
  <c r="BU70" i="4" s="1"/>
  <c r="BT74" i="4"/>
  <c r="BU74" i="4" s="1"/>
  <c r="BT76" i="4"/>
  <c r="BU76" i="4" s="1"/>
  <c r="BT78" i="4"/>
  <c r="BU78" i="4" s="1"/>
  <c r="BT80" i="4"/>
  <c r="BU80" i="4" s="1"/>
  <c r="BT82" i="4"/>
  <c r="BU82" i="4" s="1"/>
  <c r="BT84" i="4"/>
  <c r="BU84" i="4" s="1"/>
  <c r="BT86" i="4"/>
  <c r="BU86" i="4" s="1"/>
  <c r="BT88" i="4"/>
  <c r="BU88" i="4" s="1"/>
  <c r="BT90" i="4"/>
  <c r="BU90" i="4" s="1"/>
  <c r="BT68" i="4"/>
  <c r="BU68" i="4" s="1"/>
  <c r="BT72" i="4"/>
  <c r="BU72" i="4" s="1"/>
  <c r="BT75" i="4"/>
  <c r="BU75" i="4" s="1"/>
  <c r="BT77" i="4"/>
  <c r="BU77" i="4" s="1"/>
  <c r="BT79" i="4"/>
  <c r="BU79" i="4" s="1"/>
  <c r="BT81" i="4"/>
  <c r="BU81" i="4" s="1"/>
  <c r="BT83" i="4"/>
  <c r="BU83" i="4" s="1"/>
  <c r="BT85" i="4"/>
  <c r="BU85" i="4" s="1"/>
  <c r="BT89" i="4"/>
  <c r="BU89" i="4" s="1"/>
  <c r="BT91" i="4"/>
  <c r="BU91" i="4" s="1"/>
  <c r="BT93" i="4"/>
  <c r="BU93" i="4" s="1"/>
  <c r="BT95" i="4"/>
  <c r="BU95" i="4" s="1"/>
  <c r="BT97" i="4"/>
  <c r="BU97" i="4" s="1"/>
  <c r="BT99" i="4"/>
  <c r="BU99" i="4" s="1"/>
  <c r="BT101" i="4"/>
  <c r="BU101" i="4" s="1"/>
  <c r="BT103" i="4"/>
  <c r="BU103" i="4" s="1"/>
  <c r="BT87" i="4"/>
  <c r="BU87" i="4" s="1"/>
  <c r="BT92" i="4"/>
  <c r="BU92" i="4" s="1"/>
  <c r="BT94" i="4"/>
  <c r="BU94" i="4" s="1"/>
  <c r="BT96" i="4"/>
  <c r="BU96" i="4" s="1"/>
  <c r="BT98" i="4"/>
  <c r="BU98" i="4" s="1"/>
  <c r="BT100" i="4"/>
  <c r="BU100" i="4" s="1"/>
  <c r="BT102" i="4"/>
  <c r="BU102" i="4" s="1"/>
  <c r="BT104" i="4"/>
  <c r="BU104" i="4" s="1"/>
  <c r="BT105" i="4"/>
  <c r="BU105" i="4" s="1"/>
  <c r="BT106" i="4"/>
  <c r="BU106" i="4" s="1"/>
  <c r="BT107" i="4"/>
  <c r="BU107" i="4" s="1"/>
  <c r="BT108" i="4"/>
  <c r="BU108" i="4" s="1"/>
  <c r="BT109" i="4"/>
  <c r="BU109" i="4" s="1"/>
  <c r="BT110" i="4"/>
  <c r="BU110" i="4" s="1"/>
  <c r="BT111" i="4"/>
  <c r="BU111" i="4" s="1"/>
  <c r="BT112" i="4"/>
  <c r="BU112" i="4" s="1"/>
  <c r="BT113" i="4"/>
  <c r="BU113" i="4" s="1"/>
  <c r="BT114" i="4"/>
  <c r="BU114" i="4" s="1"/>
  <c r="BT115" i="4"/>
  <c r="BU115" i="4" s="1"/>
  <c r="BT116" i="4"/>
  <c r="BU116" i="4" s="1"/>
  <c r="BT117" i="4"/>
  <c r="BU117" i="4" s="1"/>
  <c r="BT118" i="4"/>
  <c r="BU118" i="4" s="1"/>
  <c r="BT119" i="4"/>
  <c r="BU119" i="4" s="1"/>
  <c r="BT120" i="4"/>
  <c r="BU120" i="4" s="1"/>
  <c r="BT121" i="4"/>
  <c r="BU121" i="4" s="1"/>
  <c r="BT122" i="4"/>
  <c r="BU122" i="4" s="1"/>
  <c r="BT123" i="4"/>
  <c r="BU123" i="4" s="1"/>
  <c r="BT124" i="4"/>
  <c r="BU124" i="4" s="1"/>
  <c r="BT125" i="4"/>
  <c r="BU125" i="4" s="1"/>
  <c r="BT126" i="4"/>
  <c r="BU126" i="4" s="1"/>
  <c r="BT127" i="4"/>
  <c r="BU127" i="4" s="1"/>
  <c r="BT128" i="4"/>
  <c r="BU128" i="4" s="1"/>
  <c r="BT129" i="4"/>
  <c r="BU129" i="4" s="1"/>
  <c r="BT130" i="4"/>
  <c r="BU130" i="4" s="1"/>
  <c r="BT131" i="4"/>
  <c r="BU131" i="4" s="1"/>
  <c r="BT132" i="4"/>
  <c r="BU132" i="4" s="1"/>
  <c r="BT133" i="4"/>
  <c r="BU133" i="4" s="1"/>
  <c r="BT134" i="4"/>
  <c r="BU134" i="4" s="1"/>
  <c r="BT135" i="4"/>
  <c r="BU135" i="4" s="1"/>
  <c r="BT136" i="4"/>
  <c r="BU136" i="4" s="1"/>
  <c r="BT137" i="4"/>
  <c r="BU137" i="4" s="1"/>
  <c r="BT138" i="4"/>
  <c r="BU138" i="4" s="1"/>
  <c r="BT139" i="4"/>
  <c r="BU139" i="4" s="1"/>
  <c r="BT140" i="4"/>
  <c r="BU140" i="4" s="1"/>
  <c r="BT141" i="4"/>
  <c r="BU141" i="4" s="1"/>
  <c r="BT142" i="4"/>
  <c r="BU142" i="4" s="1"/>
  <c r="BT143" i="4"/>
  <c r="BU143" i="4" s="1"/>
  <c r="BT144" i="4"/>
  <c r="BU144" i="4" s="1"/>
  <c r="BT145" i="4"/>
  <c r="BU145" i="4" s="1"/>
  <c r="BT146" i="4"/>
  <c r="BU146" i="4" s="1"/>
  <c r="BT147" i="4"/>
  <c r="BU147" i="4" s="1"/>
  <c r="BT148" i="4"/>
  <c r="BU148" i="4" s="1"/>
  <c r="BT149" i="4"/>
  <c r="BU149" i="4" s="1"/>
  <c r="BT150" i="4"/>
  <c r="BU150" i="4" s="1"/>
  <c r="BT151" i="4"/>
  <c r="BU151" i="4" s="1"/>
  <c r="BT152" i="4"/>
  <c r="BU152" i="4" s="1"/>
  <c r="BT153" i="4"/>
  <c r="BU153" i="4" s="1"/>
  <c r="B29" i="5"/>
  <c r="M25" i="7"/>
  <c r="C110" i="9" s="1"/>
  <c r="BT154" i="4"/>
  <c r="BU154" i="4" s="1"/>
  <c r="BT155" i="4"/>
  <c r="BU155" i="4" s="1"/>
  <c r="BT156" i="4"/>
  <c r="BU156" i="4" s="1"/>
  <c r="BT157" i="4"/>
  <c r="BU157" i="4" s="1"/>
  <c r="BT158" i="4"/>
  <c r="BU158" i="4" s="1"/>
  <c r="BT159" i="4"/>
  <c r="BU159" i="4" s="1"/>
  <c r="BT160" i="4"/>
  <c r="BU160" i="4" s="1"/>
  <c r="BT161" i="4"/>
  <c r="BU161" i="4" s="1"/>
  <c r="BT162" i="4"/>
  <c r="BU162" i="4" s="1"/>
  <c r="BT163" i="4"/>
  <c r="BU163" i="4" s="1"/>
  <c r="L25" i="7"/>
  <c r="B110" i="9" s="1"/>
  <c r="C29" i="5"/>
  <c r="C498" i="9"/>
  <c r="N28" i="5"/>
  <c r="D498" i="9" s="1"/>
  <c r="K28" i="5"/>
  <c r="G339" i="9" s="1"/>
  <c r="F339" i="9"/>
  <c r="E44" i="4"/>
  <c r="K26" i="7"/>
  <c r="M119" i="4"/>
  <c r="K120" i="4"/>
  <c r="S124" i="4"/>
  <c r="Q125" i="4"/>
  <c r="P121" i="4"/>
  <c r="N122" i="4"/>
  <c r="H28" i="5"/>
  <c r="D339" i="9" s="1"/>
  <c r="C339" i="9"/>
  <c r="Q28" i="5"/>
  <c r="G498" i="9" s="1"/>
  <c r="F498" i="9"/>
  <c r="D26" i="5" l="1"/>
  <c r="D107" i="9" s="1"/>
  <c r="F41" i="4"/>
  <c r="E26" i="5"/>
  <c r="E107" i="9" s="1"/>
  <c r="A624" i="9"/>
  <c r="A465" i="9"/>
  <c r="I158" i="4"/>
  <c r="A143" i="5"/>
  <c r="O30" i="5"/>
  <c r="E500" i="9" s="1"/>
  <c r="P30" i="5"/>
  <c r="L30" i="5"/>
  <c r="B500" i="9" s="1"/>
  <c r="J30" i="5"/>
  <c r="G30" i="5"/>
  <c r="M30" i="5"/>
  <c r="I30" i="5"/>
  <c r="E341" i="9" s="1"/>
  <c r="F30" i="5"/>
  <c r="B341" i="9" s="1"/>
  <c r="P122" i="4"/>
  <c r="N123" i="4"/>
  <c r="S125" i="4"/>
  <c r="Q126" i="4"/>
  <c r="M120" i="4"/>
  <c r="K121" i="4"/>
  <c r="J32" i="2"/>
  <c r="B46" i="4"/>
  <c r="K29" i="5"/>
  <c r="G340" i="9" s="1"/>
  <c r="F340" i="9"/>
  <c r="N29" i="5"/>
  <c r="D499" i="9" s="1"/>
  <c r="C499" i="9"/>
  <c r="BW48" i="4"/>
  <c r="BX48" i="4" s="1"/>
  <c r="BW49" i="4"/>
  <c r="BX49" i="4" s="1"/>
  <c r="BW45" i="4"/>
  <c r="BX45" i="4" s="1"/>
  <c r="J45" i="4" s="1"/>
  <c r="BW46" i="4"/>
  <c r="BX46" i="4" s="1"/>
  <c r="BW47" i="4"/>
  <c r="BX47" i="4" s="1"/>
  <c r="BW50" i="4"/>
  <c r="BX50" i="4" s="1"/>
  <c r="BW51" i="4"/>
  <c r="BX51" i="4" s="1"/>
  <c r="BW52" i="4"/>
  <c r="BX52" i="4" s="1"/>
  <c r="BW53" i="4"/>
  <c r="BX53" i="4" s="1"/>
  <c r="BW54" i="4"/>
  <c r="BX54" i="4" s="1"/>
  <c r="BW55" i="4"/>
  <c r="BX55" i="4" s="1"/>
  <c r="BW56" i="4"/>
  <c r="BX56" i="4" s="1"/>
  <c r="BW57" i="4"/>
  <c r="BX57" i="4" s="1"/>
  <c r="BW60" i="4"/>
  <c r="BX60" i="4" s="1"/>
  <c r="BW61" i="4"/>
  <c r="BX61" i="4" s="1"/>
  <c r="BW58" i="4"/>
  <c r="BX58" i="4" s="1"/>
  <c r="BW59" i="4"/>
  <c r="BX59" i="4" s="1"/>
  <c r="BW62" i="4"/>
  <c r="BX62" i="4" s="1"/>
  <c r="BW63" i="4"/>
  <c r="BX63" i="4" s="1"/>
  <c r="BW65" i="4"/>
  <c r="BX65" i="4" s="1"/>
  <c r="BW67" i="4"/>
  <c r="BX67" i="4" s="1"/>
  <c r="BW69" i="4"/>
  <c r="BX69" i="4" s="1"/>
  <c r="BW71" i="4"/>
  <c r="BX71" i="4" s="1"/>
  <c r="BW73" i="4"/>
  <c r="BX73" i="4" s="1"/>
  <c r="BW64" i="4"/>
  <c r="BX64" i="4" s="1"/>
  <c r="BW66" i="4"/>
  <c r="BX66" i="4" s="1"/>
  <c r="BW68" i="4"/>
  <c r="BX68" i="4" s="1"/>
  <c r="BW72" i="4"/>
  <c r="BX72" i="4" s="1"/>
  <c r="BW76" i="4"/>
  <c r="BX76" i="4" s="1"/>
  <c r="BW78" i="4"/>
  <c r="BX78" i="4" s="1"/>
  <c r="BW80" i="4"/>
  <c r="BX80" i="4" s="1"/>
  <c r="BW82" i="4"/>
  <c r="BX82" i="4" s="1"/>
  <c r="BW84" i="4"/>
  <c r="BX84" i="4" s="1"/>
  <c r="BW86" i="4"/>
  <c r="BX86" i="4" s="1"/>
  <c r="BW88" i="4"/>
  <c r="BX88" i="4" s="1"/>
  <c r="BW90" i="4"/>
  <c r="BX90" i="4" s="1"/>
  <c r="BW70" i="4"/>
  <c r="BX70" i="4" s="1"/>
  <c r="BW74" i="4"/>
  <c r="BX74" i="4" s="1"/>
  <c r="BW75" i="4"/>
  <c r="BX75" i="4" s="1"/>
  <c r="BW77" i="4"/>
  <c r="BX77" i="4" s="1"/>
  <c r="BW79" i="4"/>
  <c r="BX79" i="4" s="1"/>
  <c r="BW81" i="4"/>
  <c r="BX81" i="4" s="1"/>
  <c r="BW83" i="4"/>
  <c r="BX83" i="4" s="1"/>
  <c r="BW87" i="4"/>
  <c r="BX87" i="4" s="1"/>
  <c r="BW91" i="4"/>
  <c r="BX91" i="4" s="1"/>
  <c r="BW93" i="4"/>
  <c r="BX93" i="4" s="1"/>
  <c r="BW95" i="4"/>
  <c r="BX95" i="4" s="1"/>
  <c r="BW97" i="4"/>
  <c r="BX97" i="4" s="1"/>
  <c r="BW99" i="4"/>
  <c r="BX99" i="4" s="1"/>
  <c r="BW101" i="4"/>
  <c r="BX101" i="4" s="1"/>
  <c r="BW103" i="4"/>
  <c r="BX103" i="4" s="1"/>
  <c r="BW85" i="4"/>
  <c r="BX85" i="4" s="1"/>
  <c r="BW89" i="4"/>
  <c r="BX89" i="4" s="1"/>
  <c r="BW92" i="4"/>
  <c r="BX92" i="4" s="1"/>
  <c r="BW94" i="4"/>
  <c r="BX94" i="4" s="1"/>
  <c r="BW96" i="4"/>
  <c r="BX96" i="4" s="1"/>
  <c r="BW98" i="4"/>
  <c r="BX98" i="4" s="1"/>
  <c r="BW100" i="4"/>
  <c r="BX100" i="4" s="1"/>
  <c r="BW104" i="4"/>
  <c r="BX104" i="4" s="1"/>
  <c r="BW105" i="4"/>
  <c r="BX105" i="4" s="1"/>
  <c r="BW102" i="4"/>
  <c r="BX102" i="4" s="1"/>
  <c r="BW106" i="4"/>
  <c r="BX106" i="4" s="1"/>
  <c r="BW107" i="4"/>
  <c r="BX107" i="4" s="1"/>
  <c r="BW108" i="4"/>
  <c r="BX108" i="4" s="1"/>
  <c r="BW109" i="4"/>
  <c r="BX109" i="4" s="1"/>
  <c r="BW110" i="4"/>
  <c r="BX110" i="4" s="1"/>
  <c r="BW111" i="4"/>
  <c r="BX111" i="4" s="1"/>
  <c r="BW112" i="4"/>
  <c r="BX112" i="4" s="1"/>
  <c r="BW113" i="4"/>
  <c r="BX113" i="4" s="1"/>
  <c r="BW114" i="4"/>
  <c r="BX114" i="4" s="1"/>
  <c r="BW115" i="4"/>
  <c r="BX115" i="4" s="1"/>
  <c r="BW116" i="4"/>
  <c r="BX116" i="4" s="1"/>
  <c r="BW117" i="4"/>
  <c r="BX117" i="4" s="1"/>
  <c r="BW118" i="4"/>
  <c r="BX118" i="4" s="1"/>
  <c r="BW119" i="4"/>
  <c r="BX119" i="4" s="1"/>
  <c r="BW120" i="4"/>
  <c r="BX120" i="4" s="1"/>
  <c r="BW121" i="4"/>
  <c r="BX121" i="4" s="1"/>
  <c r="BW122" i="4"/>
  <c r="BX122" i="4" s="1"/>
  <c r="BW123" i="4"/>
  <c r="BX123" i="4" s="1"/>
  <c r="BW124" i="4"/>
  <c r="BX124" i="4" s="1"/>
  <c r="BW125" i="4"/>
  <c r="BX125" i="4" s="1"/>
  <c r="BW126" i="4"/>
  <c r="BX126" i="4" s="1"/>
  <c r="BW127" i="4"/>
  <c r="BX127" i="4" s="1"/>
  <c r="BW128" i="4"/>
  <c r="BX128" i="4" s="1"/>
  <c r="BW129" i="4"/>
  <c r="BX129" i="4" s="1"/>
  <c r="BW130" i="4"/>
  <c r="BX130" i="4" s="1"/>
  <c r="BW131" i="4"/>
  <c r="BX131" i="4" s="1"/>
  <c r="BW132" i="4"/>
  <c r="BX132" i="4" s="1"/>
  <c r="BW133" i="4"/>
  <c r="BX133" i="4" s="1"/>
  <c r="BW134" i="4"/>
  <c r="BX134" i="4" s="1"/>
  <c r="BW135" i="4"/>
  <c r="BX135" i="4" s="1"/>
  <c r="BW136" i="4"/>
  <c r="BX136" i="4" s="1"/>
  <c r="BW137" i="4"/>
  <c r="BX137" i="4" s="1"/>
  <c r="BW138" i="4"/>
  <c r="BX138" i="4" s="1"/>
  <c r="BW139" i="4"/>
  <c r="BX139" i="4" s="1"/>
  <c r="BW140" i="4"/>
  <c r="BX140" i="4" s="1"/>
  <c r="BW141" i="4"/>
  <c r="BX141" i="4" s="1"/>
  <c r="BW142" i="4"/>
  <c r="BX142" i="4" s="1"/>
  <c r="BW143" i="4"/>
  <c r="BX143" i="4" s="1"/>
  <c r="BW144" i="4"/>
  <c r="BX144" i="4" s="1"/>
  <c r="BW145" i="4"/>
  <c r="BX145" i="4" s="1"/>
  <c r="BW146" i="4"/>
  <c r="BX146" i="4" s="1"/>
  <c r="BW147" i="4"/>
  <c r="BX147" i="4" s="1"/>
  <c r="BW148" i="4"/>
  <c r="BX148" i="4" s="1"/>
  <c r="BW149" i="4"/>
  <c r="BX149" i="4" s="1"/>
  <c r="BW150" i="4"/>
  <c r="BX150" i="4" s="1"/>
  <c r="BW151" i="4"/>
  <c r="BX151" i="4" s="1"/>
  <c r="BW152" i="4"/>
  <c r="BX152" i="4" s="1"/>
  <c r="BW153" i="4"/>
  <c r="BX153" i="4" s="1"/>
  <c r="M26" i="7"/>
  <c r="C111" i="9" s="1"/>
  <c r="BW154" i="4"/>
  <c r="BX154" i="4" s="1"/>
  <c r="BW155" i="4"/>
  <c r="BX155" i="4" s="1"/>
  <c r="BW156" i="4"/>
  <c r="BX156" i="4" s="1"/>
  <c r="BW157" i="4"/>
  <c r="BX157" i="4" s="1"/>
  <c r="BW158" i="4"/>
  <c r="BX158" i="4" s="1"/>
  <c r="BW159" i="4"/>
  <c r="BX159" i="4" s="1"/>
  <c r="BW160" i="4"/>
  <c r="BX160" i="4" s="1"/>
  <c r="BW161" i="4"/>
  <c r="BX161" i="4" s="1"/>
  <c r="BW162" i="4"/>
  <c r="BX162" i="4" s="1"/>
  <c r="BW163" i="4"/>
  <c r="BX163" i="4" s="1"/>
  <c r="B30" i="5"/>
  <c r="L26" i="7"/>
  <c r="B111" i="9" s="1"/>
  <c r="C30" i="5"/>
  <c r="E45" i="4"/>
  <c r="K27" i="7"/>
  <c r="C340" i="9"/>
  <c r="H29" i="5"/>
  <c r="D340" i="9" s="1"/>
  <c r="Q29" i="5"/>
  <c r="G499" i="9" s="1"/>
  <c r="F499" i="9"/>
  <c r="F42" i="4" l="1"/>
  <c r="D27" i="5"/>
  <c r="D108" i="9" s="1"/>
  <c r="E27" i="5"/>
  <c r="E108" i="9" s="1"/>
  <c r="A625" i="9"/>
  <c r="A466" i="9"/>
  <c r="I159" i="4"/>
  <c r="A144" i="5"/>
  <c r="P31" i="5"/>
  <c r="O31" i="5"/>
  <c r="E501" i="9" s="1"/>
  <c r="M31" i="5"/>
  <c r="I31" i="5"/>
  <c r="E342" i="9" s="1"/>
  <c r="F31" i="5"/>
  <c r="B342" i="9" s="1"/>
  <c r="L31" i="5"/>
  <c r="B501" i="9" s="1"/>
  <c r="J31" i="5"/>
  <c r="G31" i="5"/>
  <c r="BZ47" i="4"/>
  <c r="CA47" i="4" s="1"/>
  <c r="BZ48" i="4"/>
  <c r="CA48" i="4" s="1"/>
  <c r="BZ49" i="4"/>
  <c r="CA49" i="4" s="1"/>
  <c r="BZ46" i="4"/>
  <c r="CA46" i="4" s="1"/>
  <c r="J46" i="4" s="1"/>
  <c r="BZ50" i="4"/>
  <c r="CA50" i="4" s="1"/>
  <c r="BZ51" i="4"/>
  <c r="CA51" i="4" s="1"/>
  <c r="BZ52" i="4"/>
  <c r="CA52" i="4" s="1"/>
  <c r="BZ53" i="4"/>
  <c r="CA53" i="4" s="1"/>
  <c r="BZ54" i="4"/>
  <c r="CA54" i="4" s="1"/>
  <c r="BZ55" i="4"/>
  <c r="CA55" i="4" s="1"/>
  <c r="BZ56" i="4"/>
  <c r="CA56" i="4" s="1"/>
  <c r="BZ57" i="4"/>
  <c r="CA57" i="4" s="1"/>
  <c r="BZ60" i="4"/>
  <c r="CA60" i="4" s="1"/>
  <c r="BZ61" i="4"/>
  <c r="CA61" i="4" s="1"/>
  <c r="BZ63" i="4"/>
  <c r="CA63" i="4" s="1"/>
  <c r="BZ65" i="4"/>
  <c r="CA65" i="4" s="1"/>
  <c r="BZ67" i="4"/>
  <c r="CA67" i="4" s="1"/>
  <c r="BZ69" i="4"/>
  <c r="CA69" i="4" s="1"/>
  <c r="BZ71" i="4"/>
  <c r="CA71" i="4" s="1"/>
  <c r="BZ73" i="4"/>
  <c r="CA73" i="4" s="1"/>
  <c r="BZ58" i="4"/>
  <c r="CA58" i="4" s="1"/>
  <c r="BZ59" i="4"/>
  <c r="CA59" i="4" s="1"/>
  <c r="BZ62" i="4"/>
  <c r="CA62" i="4" s="1"/>
  <c r="BZ64" i="4"/>
  <c r="CA64" i="4" s="1"/>
  <c r="BZ66" i="4"/>
  <c r="CA66" i="4" s="1"/>
  <c r="BZ70" i="4"/>
  <c r="CA70" i="4" s="1"/>
  <c r="BZ74" i="4"/>
  <c r="CA74" i="4" s="1"/>
  <c r="BZ76" i="4"/>
  <c r="CA76" i="4" s="1"/>
  <c r="BZ78" i="4"/>
  <c r="CA78" i="4" s="1"/>
  <c r="BZ80" i="4"/>
  <c r="CA80" i="4" s="1"/>
  <c r="BZ82" i="4"/>
  <c r="CA82" i="4" s="1"/>
  <c r="BZ84" i="4"/>
  <c r="CA84" i="4" s="1"/>
  <c r="BZ86" i="4"/>
  <c r="CA86" i="4" s="1"/>
  <c r="BZ88" i="4"/>
  <c r="CA88" i="4" s="1"/>
  <c r="BZ90" i="4"/>
  <c r="CA90" i="4" s="1"/>
  <c r="BZ68" i="4"/>
  <c r="CA68" i="4" s="1"/>
  <c r="BZ72" i="4"/>
  <c r="CA72" i="4" s="1"/>
  <c r="BZ75" i="4"/>
  <c r="CA75" i="4" s="1"/>
  <c r="BZ77" i="4"/>
  <c r="CA77" i="4" s="1"/>
  <c r="BZ79" i="4"/>
  <c r="CA79" i="4" s="1"/>
  <c r="BZ81" i="4"/>
  <c r="CA81" i="4" s="1"/>
  <c r="BZ83" i="4"/>
  <c r="CA83" i="4" s="1"/>
  <c r="BZ85" i="4"/>
  <c r="CA85" i="4" s="1"/>
  <c r="BZ89" i="4"/>
  <c r="CA89" i="4" s="1"/>
  <c r="BZ91" i="4"/>
  <c r="CA91" i="4" s="1"/>
  <c r="BZ93" i="4"/>
  <c r="CA93" i="4" s="1"/>
  <c r="BZ95" i="4"/>
  <c r="CA95" i="4" s="1"/>
  <c r="BZ97" i="4"/>
  <c r="CA97" i="4" s="1"/>
  <c r="BZ99" i="4"/>
  <c r="CA99" i="4" s="1"/>
  <c r="BZ101" i="4"/>
  <c r="CA101" i="4" s="1"/>
  <c r="BZ103" i="4"/>
  <c r="CA103" i="4" s="1"/>
  <c r="BZ87" i="4"/>
  <c r="CA87" i="4" s="1"/>
  <c r="BZ92" i="4"/>
  <c r="CA92" i="4" s="1"/>
  <c r="BZ94" i="4"/>
  <c r="CA94" i="4" s="1"/>
  <c r="BZ96" i="4"/>
  <c r="CA96" i="4" s="1"/>
  <c r="BZ98" i="4"/>
  <c r="CA98" i="4" s="1"/>
  <c r="BZ100" i="4"/>
  <c r="CA100" i="4" s="1"/>
  <c r="BZ102" i="4"/>
  <c r="CA102" i="4" s="1"/>
  <c r="BZ104" i="4"/>
  <c r="CA104" i="4" s="1"/>
  <c r="BZ105" i="4"/>
  <c r="CA105" i="4" s="1"/>
  <c r="BZ106" i="4"/>
  <c r="CA106" i="4" s="1"/>
  <c r="BZ107" i="4"/>
  <c r="CA107" i="4" s="1"/>
  <c r="BZ108" i="4"/>
  <c r="CA108" i="4" s="1"/>
  <c r="BZ109" i="4"/>
  <c r="CA109" i="4" s="1"/>
  <c r="BZ110" i="4"/>
  <c r="CA110" i="4" s="1"/>
  <c r="BZ111" i="4"/>
  <c r="CA111" i="4" s="1"/>
  <c r="BZ112" i="4"/>
  <c r="CA112" i="4" s="1"/>
  <c r="BZ113" i="4"/>
  <c r="CA113" i="4" s="1"/>
  <c r="BZ114" i="4"/>
  <c r="CA114" i="4" s="1"/>
  <c r="BZ115" i="4"/>
  <c r="CA115" i="4" s="1"/>
  <c r="BZ116" i="4"/>
  <c r="CA116" i="4" s="1"/>
  <c r="BZ117" i="4"/>
  <c r="CA117" i="4" s="1"/>
  <c r="BZ118" i="4"/>
  <c r="CA118" i="4" s="1"/>
  <c r="BZ119" i="4"/>
  <c r="CA119" i="4" s="1"/>
  <c r="BZ120" i="4"/>
  <c r="CA120" i="4" s="1"/>
  <c r="BZ121" i="4"/>
  <c r="CA121" i="4" s="1"/>
  <c r="BZ122" i="4"/>
  <c r="CA122" i="4" s="1"/>
  <c r="BZ123" i="4"/>
  <c r="CA123" i="4" s="1"/>
  <c r="BZ124" i="4"/>
  <c r="CA124" i="4" s="1"/>
  <c r="BZ125" i="4"/>
  <c r="CA125" i="4" s="1"/>
  <c r="BZ126" i="4"/>
  <c r="CA126" i="4" s="1"/>
  <c r="BZ127" i="4"/>
  <c r="CA127" i="4" s="1"/>
  <c r="BZ128" i="4"/>
  <c r="CA128" i="4" s="1"/>
  <c r="BZ129" i="4"/>
  <c r="CA129" i="4" s="1"/>
  <c r="BZ130" i="4"/>
  <c r="CA130" i="4" s="1"/>
  <c r="BZ131" i="4"/>
  <c r="CA131" i="4" s="1"/>
  <c r="BZ132" i="4"/>
  <c r="CA132" i="4" s="1"/>
  <c r="BZ133" i="4"/>
  <c r="CA133" i="4" s="1"/>
  <c r="BZ134" i="4"/>
  <c r="CA134" i="4" s="1"/>
  <c r="BZ135" i="4"/>
  <c r="CA135" i="4" s="1"/>
  <c r="BZ136" i="4"/>
  <c r="CA136" i="4" s="1"/>
  <c r="BZ137" i="4"/>
  <c r="CA137" i="4" s="1"/>
  <c r="BZ138" i="4"/>
  <c r="CA138" i="4" s="1"/>
  <c r="BZ139" i="4"/>
  <c r="CA139" i="4" s="1"/>
  <c r="BZ140" i="4"/>
  <c r="CA140" i="4" s="1"/>
  <c r="BZ141" i="4"/>
  <c r="CA141" i="4" s="1"/>
  <c r="BZ142" i="4"/>
  <c r="CA142" i="4" s="1"/>
  <c r="BZ143" i="4"/>
  <c r="CA143" i="4" s="1"/>
  <c r="BZ144" i="4"/>
  <c r="CA144" i="4" s="1"/>
  <c r="BZ145" i="4"/>
  <c r="CA145" i="4" s="1"/>
  <c r="BZ146" i="4"/>
  <c r="CA146" i="4" s="1"/>
  <c r="BZ147" i="4"/>
  <c r="CA147" i="4" s="1"/>
  <c r="BZ148" i="4"/>
  <c r="CA148" i="4" s="1"/>
  <c r="BZ149" i="4"/>
  <c r="CA149" i="4" s="1"/>
  <c r="BZ150" i="4"/>
  <c r="CA150" i="4" s="1"/>
  <c r="BZ151" i="4"/>
  <c r="CA151" i="4" s="1"/>
  <c r="BZ152" i="4"/>
  <c r="CA152" i="4" s="1"/>
  <c r="BZ153" i="4"/>
  <c r="CA153" i="4" s="1"/>
  <c r="B31" i="5"/>
  <c r="M27" i="7"/>
  <c r="C112" i="9" s="1"/>
  <c r="BZ154" i="4"/>
  <c r="CA154" i="4" s="1"/>
  <c r="BZ155" i="4"/>
  <c r="CA155" i="4" s="1"/>
  <c r="BZ156" i="4"/>
  <c r="CA156" i="4" s="1"/>
  <c r="BZ157" i="4"/>
  <c r="CA157" i="4" s="1"/>
  <c r="BZ158" i="4"/>
  <c r="CA158" i="4" s="1"/>
  <c r="BZ159" i="4"/>
  <c r="CA159" i="4" s="1"/>
  <c r="BZ160" i="4"/>
  <c r="CA160" i="4" s="1"/>
  <c r="BZ161" i="4"/>
  <c r="CA161" i="4" s="1"/>
  <c r="BZ162" i="4"/>
  <c r="CA162" i="4" s="1"/>
  <c r="BZ163" i="4"/>
  <c r="CA163" i="4" s="1"/>
  <c r="L27" i="7"/>
  <c r="B112" i="9" s="1"/>
  <c r="C31" i="5"/>
  <c r="E46" i="4"/>
  <c r="K28" i="7"/>
  <c r="M121" i="4"/>
  <c r="K122" i="4"/>
  <c r="S126" i="4"/>
  <c r="Q127" i="4"/>
  <c r="P123" i="4"/>
  <c r="N124" i="4"/>
  <c r="H30" i="5"/>
  <c r="D341" i="9" s="1"/>
  <c r="C341" i="9"/>
  <c r="J33" i="2"/>
  <c r="B47" i="4"/>
  <c r="C500" i="9"/>
  <c r="N30" i="5"/>
  <c r="D500" i="9" s="1"/>
  <c r="K30" i="5"/>
  <c r="G341" i="9" s="1"/>
  <c r="F341" i="9"/>
  <c r="Q30" i="5"/>
  <c r="G500" i="9" s="1"/>
  <c r="F500" i="9"/>
  <c r="D28" i="5" l="1"/>
  <c r="D109" i="9" s="1"/>
  <c r="E28" i="5"/>
  <c r="E109" i="9" s="1"/>
  <c r="F43" i="4"/>
  <c r="A626" i="9"/>
  <c r="A467" i="9"/>
  <c r="I160" i="4"/>
  <c r="A145" i="5"/>
  <c r="P32" i="5"/>
  <c r="O32" i="5"/>
  <c r="E502" i="9" s="1"/>
  <c r="L32" i="5"/>
  <c r="B502" i="9" s="1"/>
  <c r="J32" i="5"/>
  <c r="G32" i="5"/>
  <c r="M32" i="5"/>
  <c r="I32" i="5"/>
  <c r="E343" i="9" s="1"/>
  <c r="F32" i="5"/>
  <c r="B343" i="9" s="1"/>
  <c r="E47" i="4"/>
  <c r="K29" i="7"/>
  <c r="J34" i="2"/>
  <c r="B48" i="4"/>
  <c r="P124" i="4"/>
  <c r="N125" i="4"/>
  <c r="S127" i="4"/>
  <c r="Q128" i="4"/>
  <c r="M122" i="4"/>
  <c r="K123" i="4"/>
  <c r="C342" i="9"/>
  <c r="H31" i="5"/>
  <c r="D342" i="9" s="1"/>
  <c r="CC47" i="4"/>
  <c r="CD47" i="4" s="1"/>
  <c r="J47" i="4" s="1"/>
  <c r="CC48" i="4"/>
  <c r="CD48" i="4" s="1"/>
  <c r="CC49" i="4"/>
  <c r="CD49" i="4" s="1"/>
  <c r="CC50" i="4"/>
  <c r="CD50" i="4" s="1"/>
  <c r="CC51" i="4"/>
  <c r="CD51" i="4" s="1"/>
  <c r="CC52" i="4"/>
  <c r="CD52" i="4" s="1"/>
  <c r="CC53" i="4"/>
  <c r="CD53" i="4" s="1"/>
  <c r="CC54" i="4"/>
  <c r="CD54" i="4" s="1"/>
  <c r="CC55" i="4"/>
  <c r="CD55" i="4" s="1"/>
  <c r="CC56" i="4"/>
  <c r="CD56" i="4" s="1"/>
  <c r="CC57" i="4"/>
  <c r="CD57" i="4" s="1"/>
  <c r="CC60" i="4"/>
  <c r="CD60" i="4" s="1"/>
  <c r="CC61" i="4"/>
  <c r="CD61" i="4" s="1"/>
  <c r="CC58" i="4"/>
  <c r="CD58" i="4" s="1"/>
  <c r="CC59" i="4"/>
  <c r="CD59" i="4" s="1"/>
  <c r="CC62" i="4"/>
  <c r="CD62" i="4" s="1"/>
  <c r="CC63" i="4"/>
  <c r="CD63" i="4" s="1"/>
  <c r="CC65" i="4"/>
  <c r="CD65" i="4" s="1"/>
  <c r="CC67" i="4"/>
  <c r="CD67" i="4" s="1"/>
  <c r="CC69" i="4"/>
  <c r="CD69" i="4" s="1"/>
  <c r="CC71" i="4"/>
  <c r="CD71" i="4" s="1"/>
  <c r="CC73" i="4"/>
  <c r="CD73" i="4" s="1"/>
  <c r="CC64" i="4"/>
  <c r="CD64" i="4" s="1"/>
  <c r="CC66" i="4"/>
  <c r="CD66" i="4" s="1"/>
  <c r="CC68" i="4"/>
  <c r="CD68" i="4" s="1"/>
  <c r="CC72" i="4"/>
  <c r="CD72" i="4" s="1"/>
  <c r="CC76" i="4"/>
  <c r="CD76" i="4" s="1"/>
  <c r="CC78" i="4"/>
  <c r="CD78" i="4" s="1"/>
  <c r="CC80" i="4"/>
  <c r="CD80" i="4" s="1"/>
  <c r="CC82" i="4"/>
  <c r="CD82" i="4" s="1"/>
  <c r="CC84" i="4"/>
  <c r="CD84" i="4" s="1"/>
  <c r="CC86" i="4"/>
  <c r="CD86" i="4" s="1"/>
  <c r="CC88" i="4"/>
  <c r="CD88" i="4" s="1"/>
  <c r="CC90" i="4"/>
  <c r="CD90" i="4" s="1"/>
  <c r="CC70" i="4"/>
  <c r="CD70" i="4" s="1"/>
  <c r="CC74" i="4"/>
  <c r="CD74" i="4" s="1"/>
  <c r="CC75" i="4"/>
  <c r="CD75" i="4" s="1"/>
  <c r="CC77" i="4"/>
  <c r="CD77" i="4" s="1"/>
  <c r="CC79" i="4"/>
  <c r="CD79" i="4" s="1"/>
  <c r="CC81" i="4"/>
  <c r="CD81" i="4" s="1"/>
  <c r="CC83" i="4"/>
  <c r="CD83" i="4" s="1"/>
  <c r="CC87" i="4"/>
  <c r="CD87" i="4" s="1"/>
  <c r="CC91" i="4"/>
  <c r="CD91" i="4" s="1"/>
  <c r="CC93" i="4"/>
  <c r="CD93" i="4" s="1"/>
  <c r="CC95" i="4"/>
  <c r="CD95" i="4" s="1"/>
  <c r="CC97" i="4"/>
  <c r="CD97" i="4" s="1"/>
  <c r="CC99" i="4"/>
  <c r="CD99" i="4" s="1"/>
  <c r="CC101" i="4"/>
  <c r="CD101" i="4" s="1"/>
  <c r="CC103" i="4"/>
  <c r="CD103" i="4" s="1"/>
  <c r="CC85" i="4"/>
  <c r="CD85" i="4" s="1"/>
  <c r="CC89" i="4"/>
  <c r="CD89" i="4" s="1"/>
  <c r="CC92" i="4"/>
  <c r="CD92" i="4" s="1"/>
  <c r="CC94" i="4"/>
  <c r="CD94" i="4" s="1"/>
  <c r="CC96" i="4"/>
  <c r="CD96" i="4" s="1"/>
  <c r="CC98" i="4"/>
  <c r="CD98" i="4" s="1"/>
  <c r="CC100" i="4"/>
  <c r="CD100" i="4" s="1"/>
  <c r="CC104" i="4"/>
  <c r="CD104" i="4" s="1"/>
  <c r="CC105" i="4"/>
  <c r="CD105" i="4" s="1"/>
  <c r="CC102" i="4"/>
  <c r="CD102" i="4" s="1"/>
  <c r="CC106" i="4"/>
  <c r="CD106" i="4" s="1"/>
  <c r="CC107" i="4"/>
  <c r="CD107" i="4" s="1"/>
  <c r="CC108" i="4"/>
  <c r="CD108" i="4" s="1"/>
  <c r="CC109" i="4"/>
  <c r="CD109" i="4" s="1"/>
  <c r="CC110" i="4"/>
  <c r="CD110" i="4" s="1"/>
  <c r="CC111" i="4"/>
  <c r="CD111" i="4" s="1"/>
  <c r="CC112" i="4"/>
  <c r="CD112" i="4" s="1"/>
  <c r="CC113" i="4"/>
  <c r="CD113" i="4" s="1"/>
  <c r="CC114" i="4"/>
  <c r="CD114" i="4" s="1"/>
  <c r="CC115" i="4"/>
  <c r="CD115" i="4" s="1"/>
  <c r="CC116" i="4"/>
  <c r="CD116" i="4" s="1"/>
  <c r="CC117" i="4"/>
  <c r="CD117" i="4" s="1"/>
  <c r="CC118" i="4"/>
  <c r="CD118" i="4" s="1"/>
  <c r="CC119" i="4"/>
  <c r="CD119" i="4" s="1"/>
  <c r="CC120" i="4"/>
  <c r="CD120" i="4" s="1"/>
  <c r="CC121" i="4"/>
  <c r="CD121" i="4" s="1"/>
  <c r="CC122" i="4"/>
  <c r="CD122" i="4" s="1"/>
  <c r="CC123" i="4"/>
  <c r="CD123" i="4" s="1"/>
  <c r="CC124" i="4"/>
  <c r="CD124" i="4" s="1"/>
  <c r="CC125" i="4"/>
  <c r="CD125" i="4" s="1"/>
  <c r="CC126" i="4"/>
  <c r="CD126" i="4" s="1"/>
  <c r="CC127" i="4"/>
  <c r="CD127" i="4" s="1"/>
  <c r="CC128" i="4"/>
  <c r="CD128" i="4" s="1"/>
  <c r="CC129" i="4"/>
  <c r="CD129" i="4" s="1"/>
  <c r="CC130" i="4"/>
  <c r="CD130" i="4" s="1"/>
  <c r="CC131" i="4"/>
  <c r="CD131" i="4" s="1"/>
  <c r="CC132" i="4"/>
  <c r="CD132" i="4" s="1"/>
  <c r="CC133" i="4"/>
  <c r="CD133" i="4" s="1"/>
  <c r="CC134" i="4"/>
  <c r="CD134" i="4" s="1"/>
  <c r="CC135" i="4"/>
  <c r="CD135" i="4" s="1"/>
  <c r="CC136" i="4"/>
  <c r="CD136" i="4" s="1"/>
  <c r="CC137" i="4"/>
  <c r="CD137" i="4" s="1"/>
  <c r="CC138" i="4"/>
  <c r="CD138" i="4" s="1"/>
  <c r="CC139" i="4"/>
  <c r="CD139" i="4" s="1"/>
  <c r="CC140" i="4"/>
  <c r="CD140" i="4" s="1"/>
  <c r="CC141" i="4"/>
  <c r="CD141" i="4" s="1"/>
  <c r="CC142" i="4"/>
  <c r="CD142" i="4" s="1"/>
  <c r="CC143" i="4"/>
  <c r="CD143" i="4" s="1"/>
  <c r="CC144" i="4"/>
  <c r="CD144" i="4" s="1"/>
  <c r="CC145" i="4"/>
  <c r="CD145" i="4" s="1"/>
  <c r="CC146" i="4"/>
  <c r="CD146" i="4" s="1"/>
  <c r="CC147" i="4"/>
  <c r="CD147" i="4" s="1"/>
  <c r="CC148" i="4"/>
  <c r="CD148" i="4" s="1"/>
  <c r="CC149" i="4"/>
  <c r="CD149" i="4" s="1"/>
  <c r="CC150" i="4"/>
  <c r="CD150" i="4" s="1"/>
  <c r="CC151" i="4"/>
  <c r="CD151" i="4" s="1"/>
  <c r="CC152" i="4"/>
  <c r="CD152" i="4" s="1"/>
  <c r="CC153" i="4"/>
  <c r="CD153" i="4" s="1"/>
  <c r="M28" i="7"/>
  <c r="C113" i="9" s="1"/>
  <c r="CC154" i="4"/>
  <c r="CD154" i="4" s="1"/>
  <c r="CC155" i="4"/>
  <c r="CD155" i="4" s="1"/>
  <c r="CC156" i="4"/>
  <c r="CD156" i="4" s="1"/>
  <c r="CC157" i="4"/>
  <c r="CD157" i="4" s="1"/>
  <c r="CC158" i="4"/>
  <c r="CD158" i="4" s="1"/>
  <c r="CC159" i="4"/>
  <c r="CD159" i="4" s="1"/>
  <c r="CC160" i="4"/>
  <c r="CD160" i="4" s="1"/>
  <c r="CC161" i="4"/>
  <c r="CD161" i="4" s="1"/>
  <c r="CC162" i="4"/>
  <c r="CD162" i="4" s="1"/>
  <c r="CC163" i="4"/>
  <c r="CD163" i="4" s="1"/>
  <c r="B32" i="5"/>
  <c r="L28" i="7"/>
  <c r="B113" i="9" s="1"/>
  <c r="C32" i="5"/>
  <c r="K31" i="5"/>
  <c r="G342" i="9" s="1"/>
  <c r="F342" i="9"/>
  <c r="N31" i="5"/>
  <c r="D501" i="9" s="1"/>
  <c r="C501" i="9"/>
  <c r="Q31" i="5"/>
  <c r="G501" i="9" s="1"/>
  <c r="F501" i="9"/>
  <c r="F44" i="4" l="1"/>
  <c r="E29" i="5"/>
  <c r="E110" i="9" s="1"/>
  <c r="D29" i="5"/>
  <c r="D110" i="9" s="1"/>
  <c r="A627" i="9"/>
  <c r="A468" i="9"/>
  <c r="I161" i="4"/>
  <c r="A146" i="5"/>
  <c r="O33" i="5"/>
  <c r="E503" i="9" s="1"/>
  <c r="P33" i="5"/>
  <c r="M33" i="5"/>
  <c r="I33" i="5"/>
  <c r="E344" i="9" s="1"/>
  <c r="F33" i="5"/>
  <c r="B344" i="9" s="1"/>
  <c r="L33" i="5"/>
  <c r="B503" i="9" s="1"/>
  <c r="J33" i="5"/>
  <c r="G33" i="5"/>
  <c r="M123" i="4"/>
  <c r="K124" i="4"/>
  <c r="S128" i="4"/>
  <c r="Q129" i="4"/>
  <c r="P125" i="4"/>
  <c r="N126" i="4"/>
  <c r="E48" i="4"/>
  <c r="K30" i="7"/>
  <c r="H32" i="5"/>
  <c r="D343" i="9" s="1"/>
  <c r="C343" i="9"/>
  <c r="Q32" i="5"/>
  <c r="G502" i="9" s="1"/>
  <c r="F502" i="9"/>
  <c r="J35" i="2"/>
  <c r="B49" i="4"/>
  <c r="CF48" i="4"/>
  <c r="CG48" i="4" s="1"/>
  <c r="J48" i="4" s="1"/>
  <c r="CF49" i="4"/>
  <c r="CG49" i="4" s="1"/>
  <c r="CF50" i="4"/>
  <c r="CG50" i="4" s="1"/>
  <c r="CF51" i="4"/>
  <c r="CG51" i="4" s="1"/>
  <c r="CF52" i="4"/>
  <c r="CG52" i="4" s="1"/>
  <c r="CF53" i="4"/>
  <c r="CG53" i="4" s="1"/>
  <c r="CF54" i="4"/>
  <c r="CG54" i="4" s="1"/>
  <c r="CF55" i="4"/>
  <c r="CG55" i="4" s="1"/>
  <c r="CF56" i="4"/>
  <c r="CG56" i="4" s="1"/>
  <c r="CF57" i="4"/>
  <c r="CG57" i="4" s="1"/>
  <c r="CF60" i="4"/>
  <c r="CG60" i="4" s="1"/>
  <c r="CF61" i="4"/>
  <c r="CG61" i="4" s="1"/>
  <c r="CF63" i="4"/>
  <c r="CG63" i="4" s="1"/>
  <c r="CF65" i="4"/>
  <c r="CG65" i="4" s="1"/>
  <c r="CF67" i="4"/>
  <c r="CG67" i="4" s="1"/>
  <c r="CF69" i="4"/>
  <c r="CG69" i="4" s="1"/>
  <c r="CF71" i="4"/>
  <c r="CG71" i="4" s="1"/>
  <c r="CF73" i="4"/>
  <c r="CG73" i="4" s="1"/>
  <c r="CF58" i="4"/>
  <c r="CG58" i="4" s="1"/>
  <c r="CF59" i="4"/>
  <c r="CG59" i="4" s="1"/>
  <c r="CF62" i="4"/>
  <c r="CG62" i="4" s="1"/>
  <c r="CF64" i="4"/>
  <c r="CG64" i="4" s="1"/>
  <c r="CF66" i="4"/>
  <c r="CG66" i="4" s="1"/>
  <c r="CF70" i="4"/>
  <c r="CG70" i="4" s="1"/>
  <c r="CF74" i="4"/>
  <c r="CG74" i="4" s="1"/>
  <c r="CF76" i="4"/>
  <c r="CG76" i="4" s="1"/>
  <c r="CF78" i="4"/>
  <c r="CG78" i="4" s="1"/>
  <c r="CF80" i="4"/>
  <c r="CG80" i="4" s="1"/>
  <c r="CF82" i="4"/>
  <c r="CG82" i="4" s="1"/>
  <c r="CF84" i="4"/>
  <c r="CG84" i="4" s="1"/>
  <c r="CF86" i="4"/>
  <c r="CG86" i="4" s="1"/>
  <c r="CF88" i="4"/>
  <c r="CG88" i="4" s="1"/>
  <c r="CF90" i="4"/>
  <c r="CG90" i="4" s="1"/>
  <c r="CF68" i="4"/>
  <c r="CG68" i="4" s="1"/>
  <c r="CF72" i="4"/>
  <c r="CG72" i="4" s="1"/>
  <c r="CF75" i="4"/>
  <c r="CG75" i="4" s="1"/>
  <c r="CF77" i="4"/>
  <c r="CG77" i="4" s="1"/>
  <c r="CF79" i="4"/>
  <c r="CG79" i="4" s="1"/>
  <c r="CF81" i="4"/>
  <c r="CG81" i="4" s="1"/>
  <c r="CF83" i="4"/>
  <c r="CG83" i="4" s="1"/>
  <c r="CF85" i="4"/>
  <c r="CG85" i="4" s="1"/>
  <c r="CF89" i="4"/>
  <c r="CG89" i="4" s="1"/>
  <c r="CF91" i="4"/>
  <c r="CG91" i="4" s="1"/>
  <c r="CF93" i="4"/>
  <c r="CG93" i="4" s="1"/>
  <c r="CF95" i="4"/>
  <c r="CG95" i="4" s="1"/>
  <c r="CF97" i="4"/>
  <c r="CG97" i="4" s="1"/>
  <c r="CF99" i="4"/>
  <c r="CG99" i="4" s="1"/>
  <c r="CF101" i="4"/>
  <c r="CG101" i="4" s="1"/>
  <c r="CF103" i="4"/>
  <c r="CG103" i="4" s="1"/>
  <c r="CF87" i="4"/>
  <c r="CG87" i="4" s="1"/>
  <c r="CF92" i="4"/>
  <c r="CG92" i="4" s="1"/>
  <c r="CF94" i="4"/>
  <c r="CG94" i="4" s="1"/>
  <c r="CF96" i="4"/>
  <c r="CG96" i="4" s="1"/>
  <c r="CF98" i="4"/>
  <c r="CG98" i="4" s="1"/>
  <c r="CF100" i="4"/>
  <c r="CG100" i="4" s="1"/>
  <c r="CF102" i="4"/>
  <c r="CG102" i="4" s="1"/>
  <c r="CF104" i="4"/>
  <c r="CG104" i="4" s="1"/>
  <c r="CF105" i="4"/>
  <c r="CG105" i="4" s="1"/>
  <c r="CF106" i="4"/>
  <c r="CG106" i="4" s="1"/>
  <c r="CF107" i="4"/>
  <c r="CG107" i="4" s="1"/>
  <c r="CF108" i="4"/>
  <c r="CG108" i="4" s="1"/>
  <c r="CF109" i="4"/>
  <c r="CG109" i="4" s="1"/>
  <c r="CF110" i="4"/>
  <c r="CG110" i="4" s="1"/>
  <c r="CF111" i="4"/>
  <c r="CG111" i="4" s="1"/>
  <c r="CF112" i="4"/>
  <c r="CG112" i="4" s="1"/>
  <c r="CF113" i="4"/>
  <c r="CG113" i="4" s="1"/>
  <c r="CF114" i="4"/>
  <c r="CG114" i="4" s="1"/>
  <c r="CF115" i="4"/>
  <c r="CG115" i="4" s="1"/>
  <c r="CF116" i="4"/>
  <c r="CG116" i="4" s="1"/>
  <c r="CF117" i="4"/>
  <c r="CG117" i="4" s="1"/>
  <c r="CF118" i="4"/>
  <c r="CG118" i="4" s="1"/>
  <c r="CF119" i="4"/>
  <c r="CG119" i="4" s="1"/>
  <c r="CF120" i="4"/>
  <c r="CG120" i="4" s="1"/>
  <c r="CF121" i="4"/>
  <c r="CG121" i="4" s="1"/>
  <c r="CF122" i="4"/>
  <c r="CG122" i="4" s="1"/>
  <c r="CF123" i="4"/>
  <c r="CG123" i="4" s="1"/>
  <c r="CF124" i="4"/>
  <c r="CG124" i="4" s="1"/>
  <c r="CF125" i="4"/>
  <c r="CG125" i="4" s="1"/>
  <c r="CF126" i="4"/>
  <c r="CG126" i="4" s="1"/>
  <c r="CF127" i="4"/>
  <c r="CG127" i="4" s="1"/>
  <c r="CF128" i="4"/>
  <c r="CG128" i="4" s="1"/>
  <c r="CF129" i="4"/>
  <c r="CG129" i="4" s="1"/>
  <c r="CF130" i="4"/>
  <c r="CG130" i="4" s="1"/>
  <c r="CF131" i="4"/>
  <c r="CG131" i="4" s="1"/>
  <c r="CF132" i="4"/>
  <c r="CG132" i="4" s="1"/>
  <c r="CF133" i="4"/>
  <c r="CG133" i="4" s="1"/>
  <c r="CF134" i="4"/>
  <c r="CG134" i="4" s="1"/>
  <c r="CF135" i="4"/>
  <c r="CG135" i="4" s="1"/>
  <c r="CF136" i="4"/>
  <c r="CG136" i="4" s="1"/>
  <c r="CF137" i="4"/>
  <c r="CG137" i="4" s="1"/>
  <c r="CF138" i="4"/>
  <c r="CG138" i="4" s="1"/>
  <c r="CF139" i="4"/>
  <c r="CG139" i="4" s="1"/>
  <c r="CF140" i="4"/>
  <c r="CG140" i="4" s="1"/>
  <c r="CF141" i="4"/>
  <c r="CG141" i="4" s="1"/>
  <c r="CF142" i="4"/>
  <c r="CG142" i="4" s="1"/>
  <c r="CF143" i="4"/>
  <c r="CG143" i="4" s="1"/>
  <c r="CF144" i="4"/>
  <c r="CG144" i="4" s="1"/>
  <c r="CF145" i="4"/>
  <c r="CG145" i="4" s="1"/>
  <c r="CF146" i="4"/>
  <c r="CG146" i="4" s="1"/>
  <c r="CF147" i="4"/>
  <c r="CG147" i="4" s="1"/>
  <c r="CF148" i="4"/>
  <c r="CG148" i="4" s="1"/>
  <c r="CF149" i="4"/>
  <c r="CG149" i="4" s="1"/>
  <c r="CF150" i="4"/>
  <c r="CG150" i="4" s="1"/>
  <c r="CF151" i="4"/>
  <c r="CG151" i="4" s="1"/>
  <c r="CF152" i="4"/>
  <c r="CG152" i="4" s="1"/>
  <c r="CF153" i="4"/>
  <c r="CG153" i="4" s="1"/>
  <c r="B33" i="5"/>
  <c r="M29" i="7"/>
  <c r="C114" i="9" s="1"/>
  <c r="CF154" i="4"/>
  <c r="CG154" i="4" s="1"/>
  <c r="CF155" i="4"/>
  <c r="CG155" i="4" s="1"/>
  <c r="CF156" i="4"/>
  <c r="CG156" i="4" s="1"/>
  <c r="CF157" i="4"/>
  <c r="CG157" i="4" s="1"/>
  <c r="CF158" i="4"/>
  <c r="CG158" i="4" s="1"/>
  <c r="CF159" i="4"/>
  <c r="CG159" i="4" s="1"/>
  <c r="CF160" i="4"/>
  <c r="CG160" i="4" s="1"/>
  <c r="CF161" i="4"/>
  <c r="CG161" i="4" s="1"/>
  <c r="CF162" i="4"/>
  <c r="CG162" i="4" s="1"/>
  <c r="CF163" i="4"/>
  <c r="CG163" i="4" s="1"/>
  <c r="L29" i="7"/>
  <c r="B114" i="9" s="1"/>
  <c r="C33" i="5"/>
  <c r="C502" i="9"/>
  <c r="N32" i="5"/>
  <c r="D502" i="9" s="1"/>
  <c r="K32" i="5"/>
  <c r="G343" i="9" s="1"/>
  <c r="F343" i="9"/>
  <c r="D30" i="5" l="1"/>
  <c r="D111" i="9" s="1"/>
  <c r="E30" i="5"/>
  <c r="E111" i="9" s="1"/>
  <c r="F45" i="4"/>
  <c r="A628" i="9"/>
  <c r="A469" i="9"/>
  <c r="I162" i="4"/>
  <c r="A147" i="5"/>
  <c r="O34" i="5"/>
  <c r="E504" i="9" s="1"/>
  <c r="P34" i="5"/>
  <c r="L34" i="5"/>
  <c r="B504" i="9" s="1"/>
  <c r="J34" i="5"/>
  <c r="G34" i="5"/>
  <c r="M34" i="5"/>
  <c r="I34" i="5"/>
  <c r="E345" i="9" s="1"/>
  <c r="F34" i="5"/>
  <c r="B345" i="9" s="1"/>
  <c r="J36" i="2"/>
  <c r="B50" i="4"/>
  <c r="P126" i="4"/>
  <c r="N127" i="4"/>
  <c r="S129" i="4"/>
  <c r="Q130" i="4"/>
  <c r="M124" i="4"/>
  <c r="K125" i="4"/>
  <c r="C344" i="9"/>
  <c r="H33" i="5"/>
  <c r="D344" i="9" s="1"/>
  <c r="Q33" i="5"/>
  <c r="G503" i="9" s="1"/>
  <c r="F503" i="9"/>
  <c r="E49" i="4"/>
  <c r="K31" i="7"/>
  <c r="CI49" i="4"/>
  <c r="CJ49" i="4" s="1"/>
  <c r="J49" i="4" s="1"/>
  <c r="CI50" i="4"/>
  <c r="CJ50" i="4" s="1"/>
  <c r="CI51" i="4"/>
  <c r="CJ51" i="4" s="1"/>
  <c r="CI52" i="4"/>
  <c r="CJ52" i="4" s="1"/>
  <c r="CI53" i="4"/>
  <c r="CJ53" i="4" s="1"/>
  <c r="CI54" i="4"/>
  <c r="CJ54" i="4" s="1"/>
  <c r="CI55" i="4"/>
  <c r="CJ55" i="4" s="1"/>
  <c r="CI56" i="4"/>
  <c r="CJ56" i="4" s="1"/>
  <c r="CI57" i="4"/>
  <c r="CJ57" i="4" s="1"/>
  <c r="CI60" i="4"/>
  <c r="CJ60" i="4" s="1"/>
  <c r="CI61" i="4"/>
  <c r="CJ61" i="4" s="1"/>
  <c r="CI58" i="4"/>
  <c r="CJ58" i="4" s="1"/>
  <c r="CI59" i="4"/>
  <c r="CJ59" i="4" s="1"/>
  <c r="CI62" i="4"/>
  <c r="CJ62" i="4" s="1"/>
  <c r="CI63" i="4"/>
  <c r="CJ63" i="4" s="1"/>
  <c r="CI65" i="4"/>
  <c r="CJ65" i="4" s="1"/>
  <c r="CI67" i="4"/>
  <c r="CJ67" i="4" s="1"/>
  <c r="CI69" i="4"/>
  <c r="CJ69" i="4" s="1"/>
  <c r="CI71" i="4"/>
  <c r="CJ71" i="4" s="1"/>
  <c r="CI73" i="4"/>
  <c r="CJ73" i="4" s="1"/>
  <c r="CI64" i="4"/>
  <c r="CJ64" i="4" s="1"/>
  <c r="CI66" i="4"/>
  <c r="CJ66" i="4" s="1"/>
  <c r="CI68" i="4"/>
  <c r="CJ68" i="4" s="1"/>
  <c r="CI72" i="4"/>
  <c r="CJ72" i="4" s="1"/>
  <c r="CI76" i="4"/>
  <c r="CJ76" i="4" s="1"/>
  <c r="CI78" i="4"/>
  <c r="CJ78" i="4" s="1"/>
  <c r="CI80" i="4"/>
  <c r="CJ80" i="4" s="1"/>
  <c r="CI82" i="4"/>
  <c r="CJ82" i="4" s="1"/>
  <c r="CI84" i="4"/>
  <c r="CJ84" i="4" s="1"/>
  <c r="CI86" i="4"/>
  <c r="CJ86" i="4" s="1"/>
  <c r="CI88" i="4"/>
  <c r="CJ88" i="4" s="1"/>
  <c r="CI90" i="4"/>
  <c r="CJ90" i="4" s="1"/>
  <c r="CI70" i="4"/>
  <c r="CJ70" i="4" s="1"/>
  <c r="CI74" i="4"/>
  <c r="CJ74" i="4" s="1"/>
  <c r="CI75" i="4"/>
  <c r="CJ75" i="4" s="1"/>
  <c r="CI77" i="4"/>
  <c r="CJ77" i="4" s="1"/>
  <c r="CI79" i="4"/>
  <c r="CJ79" i="4" s="1"/>
  <c r="CI81" i="4"/>
  <c r="CJ81" i="4" s="1"/>
  <c r="CI83" i="4"/>
  <c r="CJ83" i="4" s="1"/>
  <c r="CI87" i="4"/>
  <c r="CJ87" i="4" s="1"/>
  <c r="CI91" i="4"/>
  <c r="CJ91" i="4" s="1"/>
  <c r="CI93" i="4"/>
  <c r="CJ93" i="4" s="1"/>
  <c r="CI95" i="4"/>
  <c r="CJ95" i="4" s="1"/>
  <c r="CI97" i="4"/>
  <c r="CJ97" i="4" s="1"/>
  <c r="CI99" i="4"/>
  <c r="CJ99" i="4" s="1"/>
  <c r="CI101" i="4"/>
  <c r="CJ101" i="4" s="1"/>
  <c r="CI103" i="4"/>
  <c r="CJ103" i="4" s="1"/>
  <c r="CI85" i="4"/>
  <c r="CJ85" i="4" s="1"/>
  <c r="CI89" i="4"/>
  <c r="CJ89" i="4" s="1"/>
  <c r="CI92" i="4"/>
  <c r="CJ92" i="4" s="1"/>
  <c r="CI94" i="4"/>
  <c r="CJ94" i="4" s="1"/>
  <c r="CI96" i="4"/>
  <c r="CJ96" i="4" s="1"/>
  <c r="CI98" i="4"/>
  <c r="CJ98" i="4" s="1"/>
  <c r="CI100" i="4"/>
  <c r="CJ100" i="4" s="1"/>
  <c r="CI104" i="4"/>
  <c r="CJ104" i="4" s="1"/>
  <c r="CI105" i="4"/>
  <c r="CJ105" i="4" s="1"/>
  <c r="CI102" i="4"/>
  <c r="CJ102" i="4" s="1"/>
  <c r="CI106" i="4"/>
  <c r="CJ106" i="4" s="1"/>
  <c r="CI107" i="4"/>
  <c r="CJ107" i="4" s="1"/>
  <c r="CI108" i="4"/>
  <c r="CJ108" i="4" s="1"/>
  <c r="CI109" i="4"/>
  <c r="CJ109" i="4" s="1"/>
  <c r="CI110" i="4"/>
  <c r="CJ110" i="4" s="1"/>
  <c r="CI111" i="4"/>
  <c r="CJ111" i="4" s="1"/>
  <c r="CI112" i="4"/>
  <c r="CJ112" i="4" s="1"/>
  <c r="CI113" i="4"/>
  <c r="CJ113" i="4" s="1"/>
  <c r="CI114" i="4"/>
  <c r="CJ114" i="4" s="1"/>
  <c r="CI115" i="4"/>
  <c r="CJ115" i="4" s="1"/>
  <c r="CI116" i="4"/>
  <c r="CJ116" i="4" s="1"/>
  <c r="CI117" i="4"/>
  <c r="CJ117" i="4" s="1"/>
  <c r="CI118" i="4"/>
  <c r="CJ118" i="4" s="1"/>
  <c r="CI119" i="4"/>
  <c r="CJ119" i="4" s="1"/>
  <c r="CI120" i="4"/>
  <c r="CJ120" i="4" s="1"/>
  <c r="CI121" i="4"/>
  <c r="CJ121" i="4" s="1"/>
  <c r="CI122" i="4"/>
  <c r="CJ122" i="4" s="1"/>
  <c r="CI123" i="4"/>
  <c r="CJ123" i="4" s="1"/>
  <c r="CI124" i="4"/>
  <c r="CJ124" i="4" s="1"/>
  <c r="CI125" i="4"/>
  <c r="CJ125" i="4" s="1"/>
  <c r="CI126" i="4"/>
  <c r="CJ126" i="4" s="1"/>
  <c r="CI127" i="4"/>
  <c r="CJ127" i="4" s="1"/>
  <c r="CI128" i="4"/>
  <c r="CJ128" i="4" s="1"/>
  <c r="CI129" i="4"/>
  <c r="CJ129" i="4" s="1"/>
  <c r="CI130" i="4"/>
  <c r="CJ130" i="4" s="1"/>
  <c r="CI131" i="4"/>
  <c r="CJ131" i="4" s="1"/>
  <c r="CI132" i="4"/>
  <c r="CJ132" i="4" s="1"/>
  <c r="CI133" i="4"/>
  <c r="CJ133" i="4" s="1"/>
  <c r="CI134" i="4"/>
  <c r="CJ134" i="4" s="1"/>
  <c r="CI135" i="4"/>
  <c r="CJ135" i="4" s="1"/>
  <c r="CI136" i="4"/>
  <c r="CJ136" i="4" s="1"/>
  <c r="CI137" i="4"/>
  <c r="CJ137" i="4" s="1"/>
  <c r="CI138" i="4"/>
  <c r="CJ138" i="4" s="1"/>
  <c r="CI139" i="4"/>
  <c r="CJ139" i="4" s="1"/>
  <c r="CI140" i="4"/>
  <c r="CJ140" i="4" s="1"/>
  <c r="CI141" i="4"/>
  <c r="CJ141" i="4" s="1"/>
  <c r="CI142" i="4"/>
  <c r="CJ142" i="4" s="1"/>
  <c r="CI143" i="4"/>
  <c r="CJ143" i="4" s="1"/>
  <c r="CI144" i="4"/>
  <c r="CJ144" i="4" s="1"/>
  <c r="CI145" i="4"/>
  <c r="CJ145" i="4" s="1"/>
  <c r="CI146" i="4"/>
  <c r="CJ146" i="4" s="1"/>
  <c r="CI147" i="4"/>
  <c r="CJ147" i="4" s="1"/>
  <c r="CI148" i="4"/>
  <c r="CJ148" i="4" s="1"/>
  <c r="CI149" i="4"/>
  <c r="CJ149" i="4" s="1"/>
  <c r="CI150" i="4"/>
  <c r="CJ150" i="4" s="1"/>
  <c r="CI151" i="4"/>
  <c r="CJ151" i="4" s="1"/>
  <c r="CI152" i="4"/>
  <c r="CJ152" i="4" s="1"/>
  <c r="CI153" i="4"/>
  <c r="CJ153" i="4" s="1"/>
  <c r="M30" i="7"/>
  <c r="C115" i="9" s="1"/>
  <c r="CI154" i="4"/>
  <c r="CJ154" i="4" s="1"/>
  <c r="CI155" i="4"/>
  <c r="CJ155" i="4" s="1"/>
  <c r="CI156" i="4"/>
  <c r="CJ156" i="4" s="1"/>
  <c r="CI157" i="4"/>
  <c r="CJ157" i="4" s="1"/>
  <c r="CI158" i="4"/>
  <c r="CJ158" i="4" s="1"/>
  <c r="CI159" i="4"/>
  <c r="CJ159" i="4" s="1"/>
  <c r="CI160" i="4"/>
  <c r="CJ160" i="4" s="1"/>
  <c r="CI161" i="4"/>
  <c r="CJ161" i="4" s="1"/>
  <c r="CI162" i="4"/>
  <c r="CJ162" i="4" s="1"/>
  <c r="CI163" i="4"/>
  <c r="CJ163" i="4" s="1"/>
  <c r="L30" i="7"/>
  <c r="B115" i="9" s="1"/>
  <c r="C34" i="5"/>
  <c r="B34" i="5"/>
  <c r="K33" i="5"/>
  <c r="G344" i="9" s="1"/>
  <c r="F344" i="9"/>
  <c r="N33" i="5"/>
  <c r="D503" i="9" s="1"/>
  <c r="C503" i="9"/>
  <c r="E31" i="5" l="1"/>
  <c r="E112" i="9" s="1"/>
  <c r="F46" i="4"/>
  <c r="D31" i="5"/>
  <c r="D112" i="9" s="1"/>
  <c r="A629" i="9"/>
  <c r="A470" i="9"/>
  <c r="I163" i="4"/>
  <c r="A149" i="5" s="1"/>
  <c r="A148" i="5"/>
  <c r="P35" i="5"/>
  <c r="O35" i="5"/>
  <c r="E505" i="9" s="1"/>
  <c r="M35" i="5"/>
  <c r="I35" i="5"/>
  <c r="E346" i="9" s="1"/>
  <c r="F35" i="5"/>
  <c r="B346" i="9" s="1"/>
  <c r="L35" i="5"/>
  <c r="B505" i="9" s="1"/>
  <c r="J35" i="5"/>
  <c r="G35" i="5"/>
  <c r="M125" i="4"/>
  <c r="K126" i="4"/>
  <c r="S130" i="4"/>
  <c r="Q131" i="4"/>
  <c r="P127" i="4"/>
  <c r="N128" i="4"/>
  <c r="E50" i="4"/>
  <c r="K32" i="7"/>
  <c r="C504" i="9"/>
  <c r="N34" i="5"/>
  <c r="D504" i="9" s="1"/>
  <c r="K34" i="5"/>
  <c r="G345" i="9" s="1"/>
  <c r="F345" i="9"/>
  <c r="Q34" i="5"/>
  <c r="G504" i="9" s="1"/>
  <c r="F504" i="9"/>
  <c r="CL50" i="4"/>
  <c r="CM50" i="4" s="1"/>
  <c r="J50" i="4" s="1"/>
  <c r="CL51" i="4"/>
  <c r="CM51" i="4" s="1"/>
  <c r="CL52" i="4"/>
  <c r="CM52" i="4" s="1"/>
  <c r="CL53" i="4"/>
  <c r="CM53" i="4" s="1"/>
  <c r="CL54" i="4"/>
  <c r="CM54" i="4" s="1"/>
  <c r="CL55" i="4"/>
  <c r="CM55" i="4" s="1"/>
  <c r="CL56" i="4"/>
  <c r="CM56" i="4" s="1"/>
  <c r="CL57" i="4"/>
  <c r="CM57" i="4" s="1"/>
  <c r="CL60" i="4"/>
  <c r="CM60" i="4" s="1"/>
  <c r="CL61" i="4"/>
  <c r="CM61" i="4" s="1"/>
  <c r="CL63" i="4"/>
  <c r="CM63" i="4" s="1"/>
  <c r="CL65" i="4"/>
  <c r="CM65" i="4" s="1"/>
  <c r="CL67" i="4"/>
  <c r="CM67" i="4" s="1"/>
  <c r="CL69" i="4"/>
  <c r="CM69" i="4" s="1"/>
  <c r="CL71" i="4"/>
  <c r="CM71" i="4" s="1"/>
  <c r="CL73" i="4"/>
  <c r="CM73" i="4" s="1"/>
  <c r="CL58" i="4"/>
  <c r="CM58" i="4" s="1"/>
  <c r="CL59" i="4"/>
  <c r="CM59" i="4" s="1"/>
  <c r="CL62" i="4"/>
  <c r="CM62" i="4" s="1"/>
  <c r="CL64" i="4"/>
  <c r="CM64" i="4" s="1"/>
  <c r="CL66" i="4"/>
  <c r="CM66" i="4" s="1"/>
  <c r="CL70" i="4"/>
  <c r="CM70" i="4" s="1"/>
  <c r="CL74" i="4"/>
  <c r="CM74" i="4" s="1"/>
  <c r="CL76" i="4"/>
  <c r="CM76" i="4" s="1"/>
  <c r="CL78" i="4"/>
  <c r="CM78" i="4" s="1"/>
  <c r="CL80" i="4"/>
  <c r="CM80" i="4" s="1"/>
  <c r="CL82" i="4"/>
  <c r="CM82" i="4" s="1"/>
  <c r="CL84" i="4"/>
  <c r="CM84" i="4" s="1"/>
  <c r="CL86" i="4"/>
  <c r="CM86" i="4" s="1"/>
  <c r="CL88" i="4"/>
  <c r="CM88" i="4" s="1"/>
  <c r="CL90" i="4"/>
  <c r="CM90" i="4" s="1"/>
  <c r="CL68" i="4"/>
  <c r="CM68" i="4" s="1"/>
  <c r="CL72" i="4"/>
  <c r="CM72" i="4" s="1"/>
  <c r="CL75" i="4"/>
  <c r="CM75" i="4" s="1"/>
  <c r="CL77" i="4"/>
  <c r="CM77" i="4" s="1"/>
  <c r="CL79" i="4"/>
  <c r="CM79" i="4" s="1"/>
  <c r="CL81" i="4"/>
  <c r="CM81" i="4" s="1"/>
  <c r="CL83" i="4"/>
  <c r="CM83" i="4" s="1"/>
  <c r="CL85" i="4"/>
  <c r="CM85" i="4" s="1"/>
  <c r="CL89" i="4"/>
  <c r="CM89" i="4" s="1"/>
  <c r="CL91" i="4"/>
  <c r="CM91" i="4" s="1"/>
  <c r="CL93" i="4"/>
  <c r="CM93" i="4" s="1"/>
  <c r="CL95" i="4"/>
  <c r="CM95" i="4" s="1"/>
  <c r="CL97" i="4"/>
  <c r="CM97" i="4" s="1"/>
  <c r="CL99" i="4"/>
  <c r="CM99" i="4" s="1"/>
  <c r="CL101" i="4"/>
  <c r="CM101" i="4" s="1"/>
  <c r="CL103" i="4"/>
  <c r="CM103" i="4" s="1"/>
  <c r="CL87" i="4"/>
  <c r="CM87" i="4" s="1"/>
  <c r="CL92" i="4"/>
  <c r="CM92" i="4" s="1"/>
  <c r="CL94" i="4"/>
  <c r="CM94" i="4" s="1"/>
  <c r="CL96" i="4"/>
  <c r="CM96" i="4" s="1"/>
  <c r="CL98" i="4"/>
  <c r="CM98" i="4" s="1"/>
  <c r="CL100" i="4"/>
  <c r="CM100" i="4" s="1"/>
  <c r="CL102" i="4"/>
  <c r="CM102" i="4" s="1"/>
  <c r="CL104" i="4"/>
  <c r="CM104" i="4" s="1"/>
  <c r="CL105" i="4"/>
  <c r="CM105" i="4" s="1"/>
  <c r="CL106" i="4"/>
  <c r="CM106" i="4" s="1"/>
  <c r="CL107" i="4"/>
  <c r="CM107" i="4" s="1"/>
  <c r="CL108" i="4"/>
  <c r="CM108" i="4" s="1"/>
  <c r="CL109" i="4"/>
  <c r="CM109" i="4" s="1"/>
  <c r="CL110" i="4"/>
  <c r="CM110" i="4" s="1"/>
  <c r="CL111" i="4"/>
  <c r="CM111" i="4" s="1"/>
  <c r="CL112" i="4"/>
  <c r="CM112" i="4" s="1"/>
  <c r="CL113" i="4"/>
  <c r="CM113" i="4" s="1"/>
  <c r="CL114" i="4"/>
  <c r="CM114" i="4" s="1"/>
  <c r="CL115" i="4"/>
  <c r="CM115" i="4" s="1"/>
  <c r="CL116" i="4"/>
  <c r="CM116" i="4" s="1"/>
  <c r="CL117" i="4"/>
  <c r="CM117" i="4" s="1"/>
  <c r="CL118" i="4"/>
  <c r="CM118" i="4" s="1"/>
  <c r="CL119" i="4"/>
  <c r="CM119" i="4" s="1"/>
  <c r="CL120" i="4"/>
  <c r="CM120" i="4" s="1"/>
  <c r="CL121" i="4"/>
  <c r="CM121" i="4" s="1"/>
  <c r="CL122" i="4"/>
  <c r="CM122" i="4" s="1"/>
  <c r="CL123" i="4"/>
  <c r="CM123" i="4" s="1"/>
  <c r="CL124" i="4"/>
  <c r="CM124" i="4" s="1"/>
  <c r="CL125" i="4"/>
  <c r="CM125" i="4" s="1"/>
  <c r="CL126" i="4"/>
  <c r="CM126" i="4" s="1"/>
  <c r="CL127" i="4"/>
  <c r="CM127" i="4" s="1"/>
  <c r="CL128" i="4"/>
  <c r="CM128" i="4" s="1"/>
  <c r="CL129" i="4"/>
  <c r="CM129" i="4" s="1"/>
  <c r="CL130" i="4"/>
  <c r="CM130" i="4" s="1"/>
  <c r="CL131" i="4"/>
  <c r="CM131" i="4" s="1"/>
  <c r="CL132" i="4"/>
  <c r="CM132" i="4" s="1"/>
  <c r="CL133" i="4"/>
  <c r="CM133" i="4" s="1"/>
  <c r="CL134" i="4"/>
  <c r="CM134" i="4" s="1"/>
  <c r="CL135" i="4"/>
  <c r="CM135" i="4" s="1"/>
  <c r="CL136" i="4"/>
  <c r="CM136" i="4" s="1"/>
  <c r="CL137" i="4"/>
  <c r="CM137" i="4" s="1"/>
  <c r="CL138" i="4"/>
  <c r="CM138" i="4" s="1"/>
  <c r="CL139" i="4"/>
  <c r="CM139" i="4" s="1"/>
  <c r="CL140" i="4"/>
  <c r="CM140" i="4" s="1"/>
  <c r="CL141" i="4"/>
  <c r="CM141" i="4" s="1"/>
  <c r="CL142" i="4"/>
  <c r="CM142" i="4" s="1"/>
  <c r="CL143" i="4"/>
  <c r="CM143" i="4" s="1"/>
  <c r="CL144" i="4"/>
  <c r="CM144" i="4" s="1"/>
  <c r="CL145" i="4"/>
  <c r="CM145" i="4" s="1"/>
  <c r="CL146" i="4"/>
  <c r="CM146" i="4" s="1"/>
  <c r="CL147" i="4"/>
  <c r="CM147" i="4" s="1"/>
  <c r="CL148" i="4"/>
  <c r="CM148" i="4" s="1"/>
  <c r="CL149" i="4"/>
  <c r="CM149" i="4" s="1"/>
  <c r="CL150" i="4"/>
  <c r="CM150" i="4" s="1"/>
  <c r="CL151" i="4"/>
  <c r="CM151" i="4" s="1"/>
  <c r="CL152" i="4"/>
  <c r="CM152" i="4" s="1"/>
  <c r="CL153" i="4"/>
  <c r="CM153" i="4" s="1"/>
  <c r="M31" i="7"/>
  <c r="C116" i="9" s="1"/>
  <c r="CL154" i="4"/>
  <c r="CM154" i="4" s="1"/>
  <c r="CL155" i="4"/>
  <c r="CM155" i="4" s="1"/>
  <c r="CL156" i="4"/>
  <c r="CM156" i="4" s="1"/>
  <c r="CL157" i="4"/>
  <c r="CM157" i="4" s="1"/>
  <c r="CL158" i="4"/>
  <c r="CM158" i="4" s="1"/>
  <c r="CL159" i="4"/>
  <c r="CM159" i="4" s="1"/>
  <c r="CL160" i="4"/>
  <c r="CM160" i="4" s="1"/>
  <c r="CL161" i="4"/>
  <c r="CM161" i="4" s="1"/>
  <c r="CL162" i="4"/>
  <c r="CM162" i="4" s="1"/>
  <c r="CL163" i="4"/>
  <c r="CM163" i="4" s="1"/>
  <c r="L31" i="7"/>
  <c r="B116" i="9" s="1"/>
  <c r="C35" i="5"/>
  <c r="B35" i="5"/>
  <c r="J37" i="2"/>
  <c r="B51" i="4"/>
  <c r="H34" i="5"/>
  <c r="D345" i="9" s="1"/>
  <c r="C345" i="9"/>
  <c r="D32" i="5" l="1"/>
  <c r="D113" i="9" s="1"/>
  <c r="E32" i="5"/>
  <c r="E113" i="9" s="1"/>
  <c r="F47" i="4"/>
  <c r="A631" i="9"/>
  <c r="A472" i="9"/>
  <c r="A630" i="9"/>
  <c r="A471" i="9"/>
  <c r="P36" i="5"/>
  <c r="O36" i="5"/>
  <c r="E506" i="9" s="1"/>
  <c r="L36" i="5"/>
  <c r="B506" i="9" s="1"/>
  <c r="J36" i="5"/>
  <c r="G36" i="5"/>
  <c r="M36" i="5"/>
  <c r="I36" i="5"/>
  <c r="E347" i="9" s="1"/>
  <c r="F36" i="5"/>
  <c r="B347" i="9" s="1"/>
  <c r="CO51" i="4"/>
  <c r="CP51" i="4" s="1"/>
  <c r="J51" i="4" s="1"/>
  <c r="CO52" i="4"/>
  <c r="CP52" i="4" s="1"/>
  <c r="CO53" i="4"/>
  <c r="CP53" i="4" s="1"/>
  <c r="CO54" i="4"/>
  <c r="CP54" i="4" s="1"/>
  <c r="CO55" i="4"/>
  <c r="CP55" i="4" s="1"/>
  <c r="CO56" i="4"/>
  <c r="CP56" i="4" s="1"/>
  <c r="CO57" i="4"/>
  <c r="CP57" i="4" s="1"/>
  <c r="CO60" i="4"/>
  <c r="CP60" i="4" s="1"/>
  <c r="CO61" i="4"/>
  <c r="CP61" i="4" s="1"/>
  <c r="CO58" i="4"/>
  <c r="CP58" i="4" s="1"/>
  <c r="CO59" i="4"/>
  <c r="CP59" i="4" s="1"/>
  <c r="CO62" i="4"/>
  <c r="CP62" i="4" s="1"/>
  <c r="CO63" i="4"/>
  <c r="CP63" i="4" s="1"/>
  <c r="CO65" i="4"/>
  <c r="CP65" i="4" s="1"/>
  <c r="CO67" i="4"/>
  <c r="CP67" i="4" s="1"/>
  <c r="CO69" i="4"/>
  <c r="CP69" i="4" s="1"/>
  <c r="CO71" i="4"/>
  <c r="CP71" i="4" s="1"/>
  <c r="CO73" i="4"/>
  <c r="CP73" i="4" s="1"/>
  <c r="CO64" i="4"/>
  <c r="CP64" i="4" s="1"/>
  <c r="CO66" i="4"/>
  <c r="CP66" i="4" s="1"/>
  <c r="CO68" i="4"/>
  <c r="CP68" i="4" s="1"/>
  <c r="CO72" i="4"/>
  <c r="CP72" i="4" s="1"/>
  <c r="CO76" i="4"/>
  <c r="CP76" i="4" s="1"/>
  <c r="CO78" i="4"/>
  <c r="CP78" i="4" s="1"/>
  <c r="CO80" i="4"/>
  <c r="CP80" i="4" s="1"/>
  <c r="CO82" i="4"/>
  <c r="CP82" i="4" s="1"/>
  <c r="CO84" i="4"/>
  <c r="CP84" i="4" s="1"/>
  <c r="CO86" i="4"/>
  <c r="CP86" i="4" s="1"/>
  <c r="CO88" i="4"/>
  <c r="CP88" i="4" s="1"/>
  <c r="CO90" i="4"/>
  <c r="CP90" i="4" s="1"/>
  <c r="CO70" i="4"/>
  <c r="CP70" i="4" s="1"/>
  <c r="CO74" i="4"/>
  <c r="CP74" i="4" s="1"/>
  <c r="CO75" i="4"/>
  <c r="CP75" i="4" s="1"/>
  <c r="CO77" i="4"/>
  <c r="CP77" i="4" s="1"/>
  <c r="CO79" i="4"/>
  <c r="CP79" i="4" s="1"/>
  <c r="CO81" i="4"/>
  <c r="CP81" i="4" s="1"/>
  <c r="CO83" i="4"/>
  <c r="CP83" i="4" s="1"/>
  <c r="CO87" i="4"/>
  <c r="CP87" i="4" s="1"/>
  <c r="CO91" i="4"/>
  <c r="CP91" i="4" s="1"/>
  <c r="CO93" i="4"/>
  <c r="CP93" i="4" s="1"/>
  <c r="CO95" i="4"/>
  <c r="CP95" i="4" s="1"/>
  <c r="CO97" i="4"/>
  <c r="CP97" i="4" s="1"/>
  <c r="CO99" i="4"/>
  <c r="CP99" i="4" s="1"/>
  <c r="CO101" i="4"/>
  <c r="CP101" i="4" s="1"/>
  <c r="CO103" i="4"/>
  <c r="CP103" i="4" s="1"/>
  <c r="CO85" i="4"/>
  <c r="CP85" i="4" s="1"/>
  <c r="CO89" i="4"/>
  <c r="CP89" i="4" s="1"/>
  <c r="CO92" i="4"/>
  <c r="CP92" i="4" s="1"/>
  <c r="CO94" i="4"/>
  <c r="CP94" i="4" s="1"/>
  <c r="CO96" i="4"/>
  <c r="CP96" i="4" s="1"/>
  <c r="CO98" i="4"/>
  <c r="CP98" i="4" s="1"/>
  <c r="CO100" i="4"/>
  <c r="CP100" i="4" s="1"/>
  <c r="CO104" i="4"/>
  <c r="CP104" i="4" s="1"/>
  <c r="CO105" i="4"/>
  <c r="CP105" i="4" s="1"/>
  <c r="CO102" i="4"/>
  <c r="CP102" i="4" s="1"/>
  <c r="CO106" i="4"/>
  <c r="CP106" i="4" s="1"/>
  <c r="CO107" i="4"/>
  <c r="CP107" i="4" s="1"/>
  <c r="CO108" i="4"/>
  <c r="CP108" i="4" s="1"/>
  <c r="CO109" i="4"/>
  <c r="CP109" i="4" s="1"/>
  <c r="CO110" i="4"/>
  <c r="CP110" i="4" s="1"/>
  <c r="CO111" i="4"/>
  <c r="CP111" i="4" s="1"/>
  <c r="CO112" i="4"/>
  <c r="CP112" i="4" s="1"/>
  <c r="CO113" i="4"/>
  <c r="CP113" i="4" s="1"/>
  <c r="CO114" i="4"/>
  <c r="CP114" i="4" s="1"/>
  <c r="CO115" i="4"/>
  <c r="CP115" i="4" s="1"/>
  <c r="CO116" i="4"/>
  <c r="CP116" i="4" s="1"/>
  <c r="CO117" i="4"/>
  <c r="CP117" i="4" s="1"/>
  <c r="CO118" i="4"/>
  <c r="CP118" i="4" s="1"/>
  <c r="CO119" i="4"/>
  <c r="CP119" i="4" s="1"/>
  <c r="CO120" i="4"/>
  <c r="CP120" i="4" s="1"/>
  <c r="CO121" i="4"/>
  <c r="CP121" i="4" s="1"/>
  <c r="CO122" i="4"/>
  <c r="CP122" i="4" s="1"/>
  <c r="CO123" i="4"/>
  <c r="CP123" i="4" s="1"/>
  <c r="CO124" i="4"/>
  <c r="CP124" i="4" s="1"/>
  <c r="CO125" i="4"/>
  <c r="CP125" i="4" s="1"/>
  <c r="CO126" i="4"/>
  <c r="CP126" i="4" s="1"/>
  <c r="CO127" i="4"/>
  <c r="CP127" i="4" s="1"/>
  <c r="CO128" i="4"/>
  <c r="CP128" i="4" s="1"/>
  <c r="CO129" i="4"/>
  <c r="CP129" i="4" s="1"/>
  <c r="CO130" i="4"/>
  <c r="CP130" i="4" s="1"/>
  <c r="CO131" i="4"/>
  <c r="CP131" i="4" s="1"/>
  <c r="CO132" i="4"/>
  <c r="CP132" i="4" s="1"/>
  <c r="CO133" i="4"/>
  <c r="CP133" i="4" s="1"/>
  <c r="CO134" i="4"/>
  <c r="CP134" i="4" s="1"/>
  <c r="CO135" i="4"/>
  <c r="CP135" i="4" s="1"/>
  <c r="CO136" i="4"/>
  <c r="CP136" i="4" s="1"/>
  <c r="CO137" i="4"/>
  <c r="CP137" i="4" s="1"/>
  <c r="CO138" i="4"/>
  <c r="CP138" i="4" s="1"/>
  <c r="CO139" i="4"/>
  <c r="CP139" i="4" s="1"/>
  <c r="CO140" i="4"/>
  <c r="CP140" i="4" s="1"/>
  <c r="CO141" i="4"/>
  <c r="CP141" i="4" s="1"/>
  <c r="CO142" i="4"/>
  <c r="CP142" i="4" s="1"/>
  <c r="CO143" i="4"/>
  <c r="CP143" i="4" s="1"/>
  <c r="CO144" i="4"/>
  <c r="CP144" i="4" s="1"/>
  <c r="CO145" i="4"/>
  <c r="CP145" i="4" s="1"/>
  <c r="CO146" i="4"/>
  <c r="CP146" i="4" s="1"/>
  <c r="CO147" i="4"/>
  <c r="CP147" i="4" s="1"/>
  <c r="CO148" i="4"/>
  <c r="CP148" i="4" s="1"/>
  <c r="CO149" i="4"/>
  <c r="CP149" i="4" s="1"/>
  <c r="CO150" i="4"/>
  <c r="CP150" i="4" s="1"/>
  <c r="CO151" i="4"/>
  <c r="CP151" i="4" s="1"/>
  <c r="CO152" i="4"/>
  <c r="CP152" i="4" s="1"/>
  <c r="CO153" i="4"/>
  <c r="CP153" i="4" s="1"/>
  <c r="M32" i="7"/>
  <c r="C117" i="9" s="1"/>
  <c r="CO154" i="4"/>
  <c r="CP154" i="4" s="1"/>
  <c r="CO155" i="4"/>
  <c r="CP155" i="4" s="1"/>
  <c r="CO156" i="4"/>
  <c r="CP156" i="4" s="1"/>
  <c r="CO157" i="4"/>
  <c r="CP157" i="4" s="1"/>
  <c r="CO158" i="4"/>
  <c r="CP158" i="4" s="1"/>
  <c r="CO159" i="4"/>
  <c r="CP159" i="4" s="1"/>
  <c r="CO160" i="4"/>
  <c r="CP160" i="4" s="1"/>
  <c r="CO161" i="4"/>
  <c r="CP161" i="4" s="1"/>
  <c r="CO162" i="4"/>
  <c r="CP162" i="4" s="1"/>
  <c r="CO163" i="4"/>
  <c r="CP163" i="4" s="1"/>
  <c r="L32" i="7"/>
  <c r="B117" i="9" s="1"/>
  <c r="C36" i="5"/>
  <c r="B36" i="5"/>
  <c r="K35" i="5"/>
  <c r="G346" i="9" s="1"/>
  <c r="F346" i="9"/>
  <c r="N35" i="5"/>
  <c r="D505" i="9" s="1"/>
  <c r="C505" i="9"/>
  <c r="Q35" i="5"/>
  <c r="G505" i="9" s="1"/>
  <c r="F505" i="9"/>
  <c r="J38" i="2"/>
  <c r="B52" i="4"/>
  <c r="E51" i="4"/>
  <c r="K33" i="7"/>
  <c r="P128" i="4"/>
  <c r="N129" i="4"/>
  <c r="S131" i="4"/>
  <c r="Q132" i="4"/>
  <c r="M126" i="4"/>
  <c r="K127" i="4"/>
  <c r="C346" i="9"/>
  <c r="H35" i="5"/>
  <c r="D346" i="9" s="1"/>
  <c r="D33" i="5" l="1"/>
  <c r="D114" i="9" s="1"/>
  <c r="F48" i="4"/>
  <c r="E33" i="5"/>
  <c r="E114" i="9" s="1"/>
  <c r="O37" i="5"/>
  <c r="E507" i="9" s="1"/>
  <c r="P37" i="5"/>
  <c r="M37" i="5"/>
  <c r="I37" i="5"/>
  <c r="E348" i="9" s="1"/>
  <c r="F37" i="5"/>
  <c r="B348" i="9" s="1"/>
  <c r="L37" i="5"/>
  <c r="B507" i="9" s="1"/>
  <c r="J37" i="5"/>
  <c r="G37" i="5"/>
  <c r="CR52" i="4"/>
  <c r="CS52" i="4" s="1"/>
  <c r="J52" i="4" s="1"/>
  <c r="CR53" i="4"/>
  <c r="CS53" i="4" s="1"/>
  <c r="CR54" i="4"/>
  <c r="CS54" i="4" s="1"/>
  <c r="CR55" i="4"/>
  <c r="CS55" i="4" s="1"/>
  <c r="CR56" i="4"/>
  <c r="CS56" i="4" s="1"/>
  <c r="CR57" i="4"/>
  <c r="CS57" i="4" s="1"/>
  <c r="CR60" i="4"/>
  <c r="CS60" i="4" s="1"/>
  <c r="CR61" i="4"/>
  <c r="CS61" i="4" s="1"/>
  <c r="CR63" i="4"/>
  <c r="CS63" i="4" s="1"/>
  <c r="CR65" i="4"/>
  <c r="CS65" i="4" s="1"/>
  <c r="CR67" i="4"/>
  <c r="CS67" i="4" s="1"/>
  <c r="CR69" i="4"/>
  <c r="CS69" i="4" s="1"/>
  <c r="CR71" i="4"/>
  <c r="CS71" i="4" s="1"/>
  <c r="CR73" i="4"/>
  <c r="CS73" i="4" s="1"/>
  <c r="CR58" i="4"/>
  <c r="CS58" i="4" s="1"/>
  <c r="CR59" i="4"/>
  <c r="CS59" i="4" s="1"/>
  <c r="CR62" i="4"/>
  <c r="CS62" i="4" s="1"/>
  <c r="CR64" i="4"/>
  <c r="CS64" i="4" s="1"/>
  <c r="CR66" i="4"/>
  <c r="CS66" i="4" s="1"/>
  <c r="CR70" i="4"/>
  <c r="CS70" i="4" s="1"/>
  <c r="CR74" i="4"/>
  <c r="CS74" i="4" s="1"/>
  <c r="CR76" i="4"/>
  <c r="CS76" i="4" s="1"/>
  <c r="CR78" i="4"/>
  <c r="CS78" i="4" s="1"/>
  <c r="CR80" i="4"/>
  <c r="CS80" i="4" s="1"/>
  <c r="CR82" i="4"/>
  <c r="CS82" i="4" s="1"/>
  <c r="CR84" i="4"/>
  <c r="CS84" i="4" s="1"/>
  <c r="CR86" i="4"/>
  <c r="CS86" i="4" s="1"/>
  <c r="CR88" i="4"/>
  <c r="CS88" i="4" s="1"/>
  <c r="CR90" i="4"/>
  <c r="CS90" i="4" s="1"/>
  <c r="CR68" i="4"/>
  <c r="CS68" i="4" s="1"/>
  <c r="CR72" i="4"/>
  <c r="CS72" i="4" s="1"/>
  <c r="CR75" i="4"/>
  <c r="CS75" i="4" s="1"/>
  <c r="CR77" i="4"/>
  <c r="CS77" i="4" s="1"/>
  <c r="CR79" i="4"/>
  <c r="CS79" i="4" s="1"/>
  <c r="CR81" i="4"/>
  <c r="CS81" i="4" s="1"/>
  <c r="CR83" i="4"/>
  <c r="CS83" i="4" s="1"/>
  <c r="CR85" i="4"/>
  <c r="CS85" i="4" s="1"/>
  <c r="CR89" i="4"/>
  <c r="CS89" i="4" s="1"/>
  <c r="CR91" i="4"/>
  <c r="CS91" i="4" s="1"/>
  <c r="CR93" i="4"/>
  <c r="CS93" i="4" s="1"/>
  <c r="CR95" i="4"/>
  <c r="CS95" i="4" s="1"/>
  <c r="CR97" i="4"/>
  <c r="CS97" i="4" s="1"/>
  <c r="CR99" i="4"/>
  <c r="CS99" i="4" s="1"/>
  <c r="CR101" i="4"/>
  <c r="CS101" i="4" s="1"/>
  <c r="CR103" i="4"/>
  <c r="CS103" i="4" s="1"/>
  <c r="CR87" i="4"/>
  <c r="CS87" i="4" s="1"/>
  <c r="CR92" i="4"/>
  <c r="CS92" i="4" s="1"/>
  <c r="CR94" i="4"/>
  <c r="CS94" i="4" s="1"/>
  <c r="CR96" i="4"/>
  <c r="CS96" i="4" s="1"/>
  <c r="CR98" i="4"/>
  <c r="CS98" i="4" s="1"/>
  <c r="CR100" i="4"/>
  <c r="CS100" i="4" s="1"/>
  <c r="CR102" i="4"/>
  <c r="CS102" i="4" s="1"/>
  <c r="CR104" i="4"/>
  <c r="CS104" i="4" s="1"/>
  <c r="CR105" i="4"/>
  <c r="CS105" i="4" s="1"/>
  <c r="CR106" i="4"/>
  <c r="CS106" i="4" s="1"/>
  <c r="CR107" i="4"/>
  <c r="CS107" i="4" s="1"/>
  <c r="CR108" i="4"/>
  <c r="CS108" i="4" s="1"/>
  <c r="CR109" i="4"/>
  <c r="CS109" i="4" s="1"/>
  <c r="CR110" i="4"/>
  <c r="CS110" i="4" s="1"/>
  <c r="CR111" i="4"/>
  <c r="CS111" i="4" s="1"/>
  <c r="CR112" i="4"/>
  <c r="CS112" i="4" s="1"/>
  <c r="CR113" i="4"/>
  <c r="CS113" i="4" s="1"/>
  <c r="CR114" i="4"/>
  <c r="CS114" i="4" s="1"/>
  <c r="CR115" i="4"/>
  <c r="CS115" i="4" s="1"/>
  <c r="CR116" i="4"/>
  <c r="CS116" i="4" s="1"/>
  <c r="CR117" i="4"/>
  <c r="CS117" i="4" s="1"/>
  <c r="CR118" i="4"/>
  <c r="CS118" i="4" s="1"/>
  <c r="CR119" i="4"/>
  <c r="CS119" i="4" s="1"/>
  <c r="CR120" i="4"/>
  <c r="CS120" i="4" s="1"/>
  <c r="CR121" i="4"/>
  <c r="CS121" i="4" s="1"/>
  <c r="CR122" i="4"/>
  <c r="CS122" i="4" s="1"/>
  <c r="CR123" i="4"/>
  <c r="CS123" i="4" s="1"/>
  <c r="CR124" i="4"/>
  <c r="CS124" i="4" s="1"/>
  <c r="CR125" i="4"/>
  <c r="CS125" i="4" s="1"/>
  <c r="CR126" i="4"/>
  <c r="CS126" i="4" s="1"/>
  <c r="CR127" i="4"/>
  <c r="CS127" i="4" s="1"/>
  <c r="CR128" i="4"/>
  <c r="CS128" i="4" s="1"/>
  <c r="CR129" i="4"/>
  <c r="CS129" i="4" s="1"/>
  <c r="CR130" i="4"/>
  <c r="CS130" i="4" s="1"/>
  <c r="CR131" i="4"/>
  <c r="CS131" i="4" s="1"/>
  <c r="CR132" i="4"/>
  <c r="CS132" i="4" s="1"/>
  <c r="CR133" i="4"/>
  <c r="CS133" i="4" s="1"/>
  <c r="CR134" i="4"/>
  <c r="CS134" i="4" s="1"/>
  <c r="CR135" i="4"/>
  <c r="CS135" i="4" s="1"/>
  <c r="CR136" i="4"/>
  <c r="CS136" i="4" s="1"/>
  <c r="CR137" i="4"/>
  <c r="CS137" i="4" s="1"/>
  <c r="CR138" i="4"/>
  <c r="CS138" i="4" s="1"/>
  <c r="CR139" i="4"/>
  <c r="CS139" i="4" s="1"/>
  <c r="CR140" i="4"/>
  <c r="CS140" i="4" s="1"/>
  <c r="CR141" i="4"/>
  <c r="CS141" i="4" s="1"/>
  <c r="CR142" i="4"/>
  <c r="CS142" i="4" s="1"/>
  <c r="CR143" i="4"/>
  <c r="CS143" i="4" s="1"/>
  <c r="CR144" i="4"/>
  <c r="CS144" i="4" s="1"/>
  <c r="CR145" i="4"/>
  <c r="CS145" i="4" s="1"/>
  <c r="CR146" i="4"/>
  <c r="CS146" i="4" s="1"/>
  <c r="CR147" i="4"/>
  <c r="CS147" i="4" s="1"/>
  <c r="CR148" i="4"/>
  <c r="CS148" i="4" s="1"/>
  <c r="CR149" i="4"/>
  <c r="CS149" i="4" s="1"/>
  <c r="CR150" i="4"/>
  <c r="CS150" i="4" s="1"/>
  <c r="CR151" i="4"/>
  <c r="CS151" i="4" s="1"/>
  <c r="CR152" i="4"/>
  <c r="CS152" i="4" s="1"/>
  <c r="CR153" i="4"/>
  <c r="CS153" i="4" s="1"/>
  <c r="M33" i="7"/>
  <c r="C118" i="9" s="1"/>
  <c r="CR154" i="4"/>
  <c r="CS154" i="4" s="1"/>
  <c r="CR155" i="4"/>
  <c r="CS155" i="4" s="1"/>
  <c r="CR156" i="4"/>
  <c r="CS156" i="4" s="1"/>
  <c r="CR157" i="4"/>
  <c r="CS157" i="4" s="1"/>
  <c r="CR158" i="4"/>
  <c r="CS158" i="4" s="1"/>
  <c r="CR159" i="4"/>
  <c r="CS159" i="4" s="1"/>
  <c r="CR160" i="4"/>
  <c r="CS160" i="4" s="1"/>
  <c r="CR161" i="4"/>
  <c r="CS161" i="4" s="1"/>
  <c r="CR162" i="4"/>
  <c r="CS162" i="4" s="1"/>
  <c r="CR163" i="4"/>
  <c r="CS163" i="4" s="1"/>
  <c r="L33" i="7"/>
  <c r="B118" i="9" s="1"/>
  <c r="C37" i="5"/>
  <c r="B37" i="5"/>
  <c r="J39" i="2"/>
  <c r="B53" i="4"/>
  <c r="M127" i="4"/>
  <c r="K128" i="4"/>
  <c r="S132" i="4"/>
  <c r="Q133" i="4"/>
  <c r="P129" i="4"/>
  <c r="N130" i="4"/>
  <c r="E52" i="4"/>
  <c r="K34" i="7"/>
  <c r="C506" i="9"/>
  <c r="N36" i="5"/>
  <c r="D506" i="9" s="1"/>
  <c r="K36" i="5"/>
  <c r="G347" i="9" s="1"/>
  <c r="F347" i="9"/>
  <c r="H36" i="5"/>
  <c r="D347" i="9" s="1"/>
  <c r="C347" i="9"/>
  <c r="Q36" i="5"/>
  <c r="G506" i="9" s="1"/>
  <c r="F506" i="9"/>
  <c r="D34" i="5" l="1"/>
  <c r="D115" i="9" s="1"/>
  <c r="E34" i="5"/>
  <c r="E115" i="9" s="1"/>
  <c r="F49" i="4"/>
  <c r="O38" i="5"/>
  <c r="E508" i="9" s="1"/>
  <c r="P38" i="5"/>
  <c r="L38" i="5"/>
  <c r="B508" i="9" s="1"/>
  <c r="J38" i="5"/>
  <c r="G38" i="5"/>
  <c r="M38" i="5"/>
  <c r="I38" i="5"/>
  <c r="E349" i="9" s="1"/>
  <c r="F38" i="5"/>
  <c r="B349" i="9" s="1"/>
  <c r="J40" i="2"/>
  <c r="B54" i="4"/>
  <c r="C348" i="9"/>
  <c r="H37" i="5"/>
  <c r="D348" i="9" s="1"/>
  <c r="Q37" i="5"/>
  <c r="G507" i="9" s="1"/>
  <c r="F507" i="9"/>
  <c r="CU53" i="4"/>
  <c r="CV53" i="4" s="1"/>
  <c r="J53" i="4" s="1"/>
  <c r="CU54" i="4"/>
  <c r="CV54" i="4" s="1"/>
  <c r="CU55" i="4"/>
  <c r="CV55" i="4" s="1"/>
  <c r="CU56" i="4"/>
  <c r="CV56" i="4" s="1"/>
  <c r="CU57" i="4"/>
  <c r="CV57" i="4" s="1"/>
  <c r="CU60" i="4"/>
  <c r="CV60" i="4" s="1"/>
  <c r="CU61" i="4"/>
  <c r="CV61" i="4" s="1"/>
  <c r="CU58" i="4"/>
  <c r="CV58" i="4" s="1"/>
  <c r="CU59" i="4"/>
  <c r="CV59" i="4" s="1"/>
  <c r="CU62" i="4"/>
  <c r="CV62" i="4" s="1"/>
  <c r="CU63" i="4"/>
  <c r="CV63" i="4" s="1"/>
  <c r="CU65" i="4"/>
  <c r="CV65" i="4" s="1"/>
  <c r="CU67" i="4"/>
  <c r="CV67" i="4" s="1"/>
  <c r="CU69" i="4"/>
  <c r="CV69" i="4" s="1"/>
  <c r="CU71" i="4"/>
  <c r="CV71" i="4" s="1"/>
  <c r="CU73" i="4"/>
  <c r="CV73" i="4" s="1"/>
  <c r="CU64" i="4"/>
  <c r="CV64" i="4" s="1"/>
  <c r="CU66" i="4"/>
  <c r="CV66" i="4" s="1"/>
  <c r="CU68" i="4"/>
  <c r="CV68" i="4" s="1"/>
  <c r="CU72" i="4"/>
  <c r="CV72" i="4" s="1"/>
  <c r="CU76" i="4"/>
  <c r="CV76" i="4" s="1"/>
  <c r="CU78" i="4"/>
  <c r="CV78" i="4" s="1"/>
  <c r="CU80" i="4"/>
  <c r="CV80" i="4" s="1"/>
  <c r="CU82" i="4"/>
  <c r="CV82" i="4" s="1"/>
  <c r="CU84" i="4"/>
  <c r="CV84" i="4" s="1"/>
  <c r="CU86" i="4"/>
  <c r="CV86" i="4" s="1"/>
  <c r="CU88" i="4"/>
  <c r="CV88" i="4" s="1"/>
  <c r="CU90" i="4"/>
  <c r="CV90" i="4" s="1"/>
  <c r="CU70" i="4"/>
  <c r="CV70" i="4" s="1"/>
  <c r="CU74" i="4"/>
  <c r="CV74" i="4" s="1"/>
  <c r="CU75" i="4"/>
  <c r="CV75" i="4" s="1"/>
  <c r="CU77" i="4"/>
  <c r="CV77" i="4" s="1"/>
  <c r="CU79" i="4"/>
  <c r="CV79" i="4" s="1"/>
  <c r="CU81" i="4"/>
  <c r="CV81" i="4" s="1"/>
  <c r="CU83" i="4"/>
  <c r="CV83" i="4" s="1"/>
  <c r="CU87" i="4"/>
  <c r="CV87" i="4" s="1"/>
  <c r="CU91" i="4"/>
  <c r="CV91" i="4" s="1"/>
  <c r="CU93" i="4"/>
  <c r="CV93" i="4" s="1"/>
  <c r="CU95" i="4"/>
  <c r="CV95" i="4" s="1"/>
  <c r="CU97" i="4"/>
  <c r="CV97" i="4" s="1"/>
  <c r="CU99" i="4"/>
  <c r="CV99" i="4" s="1"/>
  <c r="CU101" i="4"/>
  <c r="CV101" i="4" s="1"/>
  <c r="CU103" i="4"/>
  <c r="CV103" i="4" s="1"/>
  <c r="CU85" i="4"/>
  <c r="CV85" i="4" s="1"/>
  <c r="CU89" i="4"/>
  <c r="CV89" i="4" s="1"/>
  <c r="CU92" i="4"/>
  <c r="CV92" i="4" s="1"/>
  <c r="CU94" i="4"/>
  <c r="CV94" i="4" s="1"/>
  <c r="CU96" i="4"/>
  <c r="CV96" i="4" s="1"/>
  <c r="CU98" i="4"/>
  <c r="CV98" i="4" s="1"/>
  <c r="CU100" i="4"/>
  <c r="CV100" i="4" s="1"/>
  <c r="CU104" i="4"/>
  <c r="CV104" i="4" s="1"/>
  <c r="CU105" i="4"/>
  <c r="CV105" i="4" s="1"/>
  <c r="CU102" i="4"/>
  <c r="CV102" i="4" s="1"/>
  <c r="CU106" i="4"/>
  <c r="CV106" i="4" s="1"/>
  <c r="CU107" i="4"/>
  <c r="CV107" i="4" s="1"/>
  <c r="CU108" i="4"/>
  <c r="CV108" i="4" s="1"/>
  <c r="CU109" i="4"/>
  <c r="CV109" i="4" s="1"/>
  <c r="CU110" i="4"/>
  <c r="CV110" i="4" s="1"/>
  <c r="CU111" i="4"/>
  <c r="CV111" i="4" s="1"/>
  <c r="CU112" i="4"/>
  <c r="CV112" i="4" s="1"/>
  <c r="CU113" i="4"/>
  <c r="CV113" i="4" s="1"/>
  <c r="CU114" i="4"/>
  <c r="CV114" i="4" s="1"/>
  <c r="CU115" i="4"/>
  <c r="CV115" i="4" s="1"/>
  <c r="CU116" i="4"/>
  <c r="CV116" i="4" s="1"/>
  <c r="CU117" i="4"/>
  <c r="CV117" i="4" s="1"/>
  <c r="CU118" i="4"/>
  <c r="CV118" i="4" s="1"/>
  <c r="CU119" i="4"/>
  <c r="CV119" i="4" s="1"/>
  <c r="CU120" i="4"/>
  <c r="CV120" i="4" s="1"/>
  <c r="CU121" i="4"/>
  <c r="CV121" i="4" s="1"/>
  <c r="CU122" i="4"/>
  <c r="CV122" i="4" s="1"/>
  <c r="CU123" i="4"/>
  <c r="CV123" i="4" s="1"/>
  <c r="CU124" i="4"/>
  <c r="CV124" i="4" s="1"/>
  <c r="CU125" i="4"/>
  <c r="CV125" i="4" s="1"/>
  <c r="CU126" i="4"/>
  <c r="CV126" i="4" s="1"/>
  <c r="CU127" i="4"/>
  <c r="CV127" i="4" s="1"/>
  <c r="CU128" i="4"/>
  <c r="CV128" i="4" s="1"/>
  <c r="CU129" i="4"/>
  <c r="CV129" i="4" s="1"/>
  <c r="CU130" i="4"/>
  <c r="CV130" i="4" s="1"/>
  <c r="CU131" i="4"/>
  <c r="CV131" i="4" s="1"/>
  <c r="CU132" i="4"/>
  <c r="CV132" i="4" s="1"/>
  <c r="CU133" i="4"/>
  <c r="CV133" i="4" s="1"/>
  <c r="CU134" i="4"/>
  <c r="CV134" i="4" s="1"/>
  <c r="CU135" i="4"/>
  <c r="CV135" i="4" s="1"/>
  <c r="CU136" i="4"/>
  <c r="CV136" i="4" s="1"/>
  <c r="CU137" i="4"/>
  <c r="CV137" i="4" s="1"/>
  <c r="CU138" i="4"/>
  <c r="CV138" i="4" s="1"/>
  <c r="CU139" i="4"/>
  <c r="CV139" i="4" s="1"/>
  <c r="CU140" i="4"/>
  <c r="CV140" i="4" s="1"/>
  <c r="CU141" i="4"/>
  <c r="CV141" i="4" s="1"/>
  <c r="CU142" i="4"/>
  <c r="CV142" i="4" s="1"/>
  <c r="CU143" i="4"/>
  <c r="CV143" i="4" s="1"/>
  <c r="CU144" i="4"/>
  <c r="CV144" i="4" s="1"/>
  <c r="CU145" i="4"/>
  <c r="CV145" i="4" s="1"/>
  <c r="CU146" i="4"/>
  <c r="CV146" i="4" s="1"/>
  <c r="CU147" i="4"/>
  <c r="CV147" i="4" s="1"/>
  <c r="CU148" i="4"/>
  <c r="CV148" i="4" s="1"/>
  <c r="CU149" i="4"/>
  <c r="CV149" i="4" s="1"/>
  <c r="CU150" i="4"/>
  <c r="CV150" i="4" s="1"/>
  <c r="CU151" i="4"/>
  <c r="CV151" i="4" s="1"/>
  <c r="CU152" i="4"/>
  <c r="CV152" i="4" s="1"/>
  <c r="CU153" i="4"/>
  <c r="CV153" i="4" s="1"/>
  <c r="M34" i="7"/>
  <c r="C119" i="9" s="1"/>
  <c r="CU154" i="4"/>
  <c r="CV154" i="4" s="1"/>
  <c r="CU155" i="4"/>
  <c r="CV155" i="4" s="1"/>
  <c r="CU156" i="4"/>
  <c r="CV156" i="4" s="1"/>
  <c r="CU157" i="4"/>
  <c r="CV157" i="4" s="1"/>
  <c r="CU158" i="4"/>
  <c r="CV158" i="4" s="1"/>
  <c r="CU159" i="4"/>
  <c r="CV159" i="4" s="1"/>
  <c r="CU160" i="4"/>
  <c r="CV160" i="4" s="1"/>
  <c r="CU161" i="4"/>
  <c r="CV161" i="4" s="1"/>
  <c r="CU162" i="4"/>
  <c r="CV162" i="4" s="1"/>
  <c r="CU163" i="4"/>
  <c r="CV163" i="4" s="1"/>
  <c r="L34" i="7"/>
  <c r="B119" i="9" s="1"/>
  <c r="C38" i="5"/>
  <c r="B38" i="5"/>
  <c r="P130" i="4"/>
  <c r="N131" i="4"/>
  <c r="S133" i="4"/>
  <c r="Q134" i="4"/>
  <c r="M128" i="4"/>
  <c r="K129" i="4"/>
  <c r="E53" i="4"/>
  <c r="K35" i="7"/>
  <c r="K37" i="5"/>
  <c r="G348" i="9" s="1"/>
  <c r="F348" i="9"/>
  <c r="N37" i="5"/>
  <c r="D507" i="9" s="1"/>
  <c r="C507" i="9"/>
  <c r="D35" i="5" l="1"/>
  <c r="D116" i="9" s="1"/>
  <c r="E35" i="5"/>
  <c r="E116" i="9" s="1"/>
  <c r="F50" i="4"/>
  <c r="O39" i="5"/>
  <c r="E509" i="9" s="1"/>
  <c r="P39" i="5"/>
  <c r="M39" i="5"/>
  <c r="I39" i="5"/>
  <c r="E350" i="9" s="1"/>
  <c r="F39" i="5"/>
  <c r="B350" i="9" s="1"/>
  <c r="L39" i="5"/>
  <c r="B509" i="9" s="1"/>
  <c r="J39" i="5"/>
  <c r="G39" i="5"/>
  <c r="CX54" i="4"/>
  <c r="CY54" i="4" s="1"/>
  <c r="J54" i="4" s="1"/>
  <c r="CX55" i="4"/>
  <c r="CY55" i="4" s="1"/>
  <c r="CX56" i="4"/>
  <c r="CY56" i="4" s="1"/>
  <c r="CX57" i="4"/>
  <c r="CY57" i="4" s="1"/>
  <c r="CX60" i="4"/>
  <c r="CY60" i="4" s="1"/>
  <c r="CX61" i="4"/>
  <c r="CY61" i="4" s="1"/>
  <c r="CX63" i="4"/>
  <c r="CY63" i="4" s="1"/>
  <c r="CX65" i="4"/>
  <c r="CY65" i="4" s="1"/>
  <c r="CX67" i="4"/>
  <c r="CY67" i="4" s="1"/>
  <c r="CX69" i="4"/>
  <c r="CY69" i="4" s="1"/>
  <c r="CX71" i="4"/>
  <c r="CY71" i="4" s="1"/>
  <c r="CX73" i="4"/>
  <c r="CY73" i="4" s="1"/>
  <c r="CX58" i="4"/>
  <c r="CY58" i="4" s="1"/>
  <c r="CX59" i="4"/>
  <c r="CY59" i="4" s="1"/>
  <c r="CX62" i="4"/>
  <c r="CY62" i="4" s="1"/>
  <c r="CX64" i="4"/>
  <c r="CY64" i="4" s="1"/>
  <c r="CX66" i="4"/>
  <c r="CY66" i="4" s="1"/>
  <c r="CX70" i="4"/>
  <c r="CY70" i="4" s="1"/>
  <c r="CX74" i="4"/>
  <c r="CY74" i="4" s="1"/>
  <c r="CX76" i="4"/>
  <c r="CY76" i="4" s="1"/>
  <c r="CX78" i="4"/>
  <c r="CY78" i="4" s="1"/>
  <c r="CX80" i="4"/>
  <c r="CY80" i="4" s="1"/>
  <c r="CX82" i="4"/>
  <c r="CY82" i="4" s="1"/>
  <c r="CX84" i="4"/>
  <c r="CY84" i="4" s="1"/>
  <c r="CX86" i="4"/>
  <c r="CY86" i="4" s="1"/>
  <c r="CX88" i="4"/>
  <c r="CY88" i="4" s="1"/>
  <c r="CX90" i="4"/>
  <c r="CY90" i="4" s="1"/>
  <c r="CX68" i="4"/>
  <c r="CY68" i="4" s="1"/>
  <c r="CX72" i="4"/>
  <c r="CY72" i="4" s="1"/>
  <c r="CX75" i="4"/>
  <c r="CY75" i="4" s="1"/>
  <c r="CX77" i="4"/>
  <c r="CY77" i="4" s="1"/>
  <c r="CX79" i="4"/>
  <c r="CY79" i="4" s="1"/>
  <c r="CX81" i="4"/>
  <c r="CY81" i="4" s="1"/>
  <c r="CX83" i="4"/>
  <c r="CY83" i="4" s="1"/>
  <c r="CX85" i="4"/>
  <c r="CY85" i="4" s="1"/>
  <c r="CX89" i="4"/>
  <c r="CY89" i="4" s="1"/>
  <c r="CX91" i="4"/>
  <c r="CY91" i="4" s="1"/>
  <c r="CX93" i="4"/>
  <c r="CY93" i="4" s="1"/>
  <c r="CX95" i="4"/>
  <c r="CY95" i="4" s="1"/>
  <c r="CX97" i="4"/>
  <c r="CY97" i="4" s="1"/>
  <c r="CX99" i="4"/>
  <c r="CY99" i="4" s="1"/>
  <c r="CX101" i="4"/>
  <c r="CY101" i="4" s="1"/>
  <c r="CX103" i="4"/>
  <c r="CY103" i="4" s="1"/>
  <c r="CX87" i="4"/>
  <c r="CY87" i="4" s="1"/>
  <c r="CX92" i="4"/>
  <c r="CY92" i="4" s="1"/>
  <c r="CX94" i="4"/>
  <c r="CY94" i="4" s="1"/>
  <c r="CX96" i="4"/>
  <c r="CY96" i="4" s="1"/>
  <c r="CX98" i="4"/>
  <c r="CY98" i="4" s="1"/>
  <c r="CX100" i="4"/>
  <c r="CY100" i="4" s="1"/>
  <c r="CX102" i="4"/>
  <c r="CY102" i="4" s="1"/>
  <c r="CX104" i="4"/>
  <c r="CY104" i="4" s="1"/>
  <c r="CX105" i="4"/>
  <c r="CY105" i="4" s="1"/>
  <c r="CX106" i="4"/>
  <c r="CY106" i="4" s="1"/>
  <c r="CX107" i="4"/>
  <c r="CY107" i="4" s="1"/>
  <c r="CX108" i="4"/>
  <c r="CY108" i="4" s="1"/>
  <c r="CX109" i="4"/>
  <c r="CY109" i="4" s="1"/>
  <c r="CX110" i="4"/>
  <c r="CY110" i="4" s="1"/>
  <c r="CX111" i="4"/>
  <c r="CY111" i="4" s="1"/>
  <c r="CX112" i="4"/>
  <c r="CY112" i="4" s="1"/>
  <c r="CX113" i="4"/>
  <c r="CY113" i="4" s="1"/>
  <c r="CX114" i="4"/>
  <c r="CY114" i="4" s="1"/>
  <c r="CX115" i="4"/>
  <c r="CY115" i="4" s="1"/>
  <c r="CX116" i="4"/>
  <c r="CY116" i="4" s="1"/>
  <c r="CX117" i="4"/>
  <c r="CY117" i="4" s="1"/>
  <c r="CX118" i="4"/>
  <c r="CY118" i="4" s="1"/>
  <c r="CX119" i="4"/>
  <c r="CY119" i="4" s="1"/>
  <c r="CX120" i="4"/>
  <c r="CY120" i="4" s="1"/>
  <c r="CX121" i="4"/>
  <c r="CY121" i="4" s="1"/>
  <c r="CX122" i="4"/>
  <c r="CY122" i="4" s="1"/>
  <c r="CX123" i="4"/>
  <c r="CY123" i="4" s="1"/>
  <c r="CX124" i="4"/>
  <c r="CY124" i="4" s="1"/>
  <c r="CX125" i="4"/>
  <c r="CY125" i="4" s="1"/>
  <c r="CX126" i="4"/>
  <c r="CY126" i="4" s="1"/>
  <c r="CX127" i="4"/>
  <c r="CY127" i="4" s="1"/>
  <c r="CX128" i="4"/>
  <c r="CY128" i="4" s="1"/>
  <c r="CX129" i="4"/>
  <c r="CY129" i="4" s="1"/>
  <c r="CX130" i="4"/>
  <c r="CY130" i="4" s="1"/>
  <c r="CX131" i="4"/>
  <c r="CY131" i="4" s="1"/>
  <c r="CX132" i="4"/>
  <c r="CY132" i="4" s="1"/>
  <c r="CX133" i="4"/>
  <c r="CY133" i="4" s="1"/>
  <c r="CX134" i="4"/>
  <c r="CY134" i="4" s="1"/>
  <c r="CX135" i="4"/>
  <c r="CY135" i="4" s="1"/>
  <c r="CX136" i="4"/>
  <c r="CY136" i="4" s="1"/>
  <c r="CX137" i="4"/>
  <c r="CY137" i="4" s="1"/>
  <c r="CX138" i="4"/>
  <c r="CY138" i="4" s="1"/>
  <c r="CX139" i="4"/>
  <c r="CY139" i="4" s="1"/>
  <c r="CX140" i="4"/>
  <c r="CY140" i="4" s="1"/>
  <c r="CX141" i="4"/>
  <c r="CY141" i="4" s="1"/>
  <c r="CX142" i="4"/>
  <c r="CY142" i="4" s="1"/>
  <c r="CX143" i="4"/>
  <c r="CY143" i="4" s="1"/>
  <c r="CX144" i="4"/>
  <c r="CY144" i="4" s="1"/>
  <c r="CX145" i="4"/>
  <c r="CY145" i="4" s="1"/>
  <c r="CX146" i="4"/>
  <c r="CY146" i="4" s="1"/>
  <c r="CX147" i="4"/>
  <c r="CY147" i="4" s="1"/>
  <c r="CX148" i="4"/>
  <c r="CY148" i="4" s="1"/>
  <c r="CX149" i="4"/>
  <c r="CY149" i="4" s="1"/>
  <c r="CX150" i="4"/>
  <c r="CY150" i="4" s="1"/>
  <c r="CX151" i="4"/>
  <c r="CY151" i="4" s="1"/>
  <c r="CX152" i="4"/>
  <c r="CY152" i="4" s="1"/>
  <c r="CX153" i="4"/>
  <c r="CY153" i="4" s="1"/>
  <c r="M35" i="7"/>
  <c r="C120" i="9" s="1"/>
  <c r="CX154" i="4"/>
  <c r="CY154" i="4" s="1"/>
  <c r="CX155" i="4"/>
  <c r="CY155" i="4" s="1"/>
  <c r="CX156" i="4"/>
  <c r="CY156" i="4" s="1"/>
  <c r="CX157" i="4"/>
  <c r="CY157" i="4" s="1"/>
  <c r="CX158" i="4"/>
  <c r="CY158" i="4" s="1"/>
  <c r="CX159" i="4"/>
  <c r="CY159" i="4" s="1"/>
  <c r="CX160" i="4"/>
  <c r="CY160" i="4" s="1"/>
  <c r="CX161" i="4"/>
  <c r="CY161" i="4" s="1"/>
  <c r="CX162" i="4"/>
  <c r="CY162" i="4" s="1"/>
  <c r="CX163" i="4"/>
  <c r="CY163" i="4" s="1"/>
  <c r="L35" i="7"/>
  <c r="B120" i="9" s="1"/>
  <c r="C39" i="5"/>
  <c r="B39" i="5"/>
  <c r="M129" i="4"/>
  <c r="K130" i="4"/>
  <c r="S134" i="4"/>
  <c r="Q135" i="4"/>
  <c r="P131" i="4"/>
  <c r="N132" i="4"/>
  <c r="E54" i="4"/>
  <c r="K36" i="7"/>
  <c r="H38" i="5"/>
  <c r="D349" i="9" s="1"/>
  <c r="C349" i="9"/>
  <c r="J41" i="2"/>
  <c r="B55" i="4"/>
  <c r="C508" i="9"/>
  <c r="N38" i="5"/>
  <c r="D508" i="9" s="1"/>
  <c r="K38" i="5"/>
  <c r="G349" i="9" s="1"/>
  <c r="F349" i="9"/>
  <c r="Q38" i="5"/>
  <c r="G508" i="9" s="1"/>
  <c r="F508" i="9"/>
  <c r="D36" i="5" l="1"/>
  <c r="D117" i="9" s="1"/>
  <c r="E36" i="5"/>
  <c r="E117" i="9" s="1"/>
  <c r="F51" i="4"/>
  <c r="O40" i="5"/>
  <c r="E510" i="9" s="1"/>
  <c r="P40" i="5"/>
  <c r="L40" i="5"/>
  <c r="B510" i="9" s="1"/>
  <c r="J40" i="5"/>
  <c r="G40" i="5"/>
  <c r="M40" i="5"/>
  <c r="I40" i="5"/>
  <c r="E351" i="9" s="1"/>
  <c r="F40" i="5"/>
  <c r="B351" i="9" s="1"/>
  <c r="E55" i="4"/>
  <c r="K37" i="7"/>
  <c r="DA55" i="4"/>
  <c r="DB55" i="4" s="1"/>
  <c r="J55" i="4" s="1"/>
  <c r="DA56" i="4"/>
  <c r="DB56" i="4" s="1"/>
  <c r="DA57" i="4"/>
  <c r="DB57" i="4" s="1"/>
  <c r="DA60" i="4"/>
  <c r="DB60" i="4" s="1"/>
  <c r="DA61" i="4"/>
  <c r="DB61" i="4" s="1"/>
  <c r="DA58" i="4"/>
  <c r="DB58" i="4" s="1"/>
  <c r="DA59" i="4"/>
  <c r="DB59" i="4" s="1"/>
  <c r="DA62" i="4"/>
  <c r="DB62" i="4" s="1"/>
  <c r="DA63" i="4"/>
  <c r="DB63" i="4" s="1"/>
  <c r="DA65" i="4"/>
  <c r="DB65" i="4" s="1"/>
  <c r="DA67" i="4"/>
  <c r="DB67" i="4" s="1"/>
  <c r="DA69" i="4"/>
  <c r="DB69" i="4" s="1"/>
  <c r="DA71" i="4"/>
  <c r="DB71" i="4" s="1"/>
  <c r="DA73" i="4"/>
  <c r="DB73" i="4" s="1"/>
  <c r="DA64" i="4"/>
  <c r="DB64" i="4" s="1"/>
  <c r="DA66" i="4"/>
  <c r="DB66" i="4" s="1"/>
  <c r="DA68" i="4"/>
  <c r="DB68" i="4" s="1"/>
  <c r="DA72" i="4"/>
  <c r="DB72" i="4" s="1"/>
  <c r="DA76" i="4"/>
  <c r="DB76" i="4" s="1"/>
  <c r="DA78" i="4"/>
  <c r="DB78" i="4" s="1"/>
  <c r="DA80" i="4"/>
  <c r="DB80" i="4" s="1"/>
  <c r="DA82" i="4"/>
  <c r="DB82" i="4" s="1"/>
  <c r="DA84" i="4"/>
  <c r="DB84" i="4" s="1"/>
  <c r="DA86" i="4"/>
  <c r="DB86" i="4" s="1"/>
  <c r="DA88" i="4"/>
  <c r="DB88" i="4" s="1"/>
  <c r="DA90" i="4"/>
  <c r="DB90" i="4" s="1"/>
  <c r="DA70" i="4"/>
  <c r="DB70" i="4" s="1"/>
  <c r="DA74" i="4"/>
  <c r="DB74" i="4" s="1"/>
  <c r="DA75" i="4"/>
  <c r="DB75" i="4" s="1"/>
  <c r="DA77" i="4"/>
  <c r="DB77" i="4" s="1"/>
  <c r="DA79" i="4"/>
  <c r="DB79" i="4" s="1"/>
  <c r="DA81" i="4"/>
  <c r="DB81" i="4" s="1"/>
  <c r="DA83" i="4"/>
  <c r="DB83" i="4" s="1"/>
  <c r="DA87" i="4"/>
  <c r="DB87" i="4" s="1"/>
  <c r="DA91" i="4"/>
  <c r="DB91" i="4" s="1"/>
  <c r="DA93" i="4"/>
  <c r="DB93" i="4" s="1"/>
  <c r="DA95" i="4"/>
  <c r="DB95" i="4" s="1"/>
  <c r="DA97" i="4"/>
  <c r="DB97" i="4" s="1"/>
  <c r="DA99" i="4"/>
  <c r="DB99" i="4" s="1"/>
  <c r="DA101" i="4"/>
  <c r="DB101" i="4" s="1"/>
  <c r="DA103" i="4"/>
  <c r="DB103" i="4" s="1"/>
  <c r="DA85" i="4"/>
  <c r="DB85" i="4" s="1"/>
  <c r="DA89" i="4"/>
  <c r="DB89" i="4" s="1"/>
  <c r="DA92" i="4"/>
  <c r="DB92" i="4" s="1"/>
  <c r="DA94" i="4"/>
  <c r="DB94" i="4" s="1"/>
  <c r="DA96" i="4"/>
  <c r="DB96" i="4" s="1"/>
  <c r="DA98" i="4"/>
  <c r="DB98" i="4" s="1"/>
  <c r="DA100" i="4"/>
  <c r="DB100" i="4" s="1"/>
  <c r="DA104" i="4"/>
  <c r="DB104" i="4" s="1"/>
  <c r="DA105" i="4"/>
  <c r="DB105" i="4" s="1"/>
  <c r="DA102" i="4"/>
  <c r="DB102" i="4" s="1"/>
  <c r="DA106" i="4"/>
  <c r="DB106" i="4" s="1"/>
  <c r="DA107" i="4"/>
  <c r="DB107" i="4" s="1"/>
  <c r="DA108" i="4"/>
  <c r="DB108" i="4" s="1"/>
  <c r="DA109" i="4"/>
  <c r="DB109" i="4" s="1"/>
  <c r="DA110" i="4"/>
  <c r="DB110" i="4" s="1"/>
  <c r="DA111" i="4"/>
  <c r="DB111" i="4" s="1"/>
  <c r="DA112" i="4"/>
  <c r="DB112" i="4" s="1"/>
  <c r="DA113" i="4"/>
  <c r="DB113" i="4" s="1"/>
  <c r="DA114" i="4"/>
  <c r="DB114" i="4" s="1"/>
  <c r="DA115" i="4"/>
  <c r="DB115" i="4" s="1"/>
  <c r="DA116" i="4"/>
  <c r="DB116" i="4" s="1"/>
  <c r="DA117" i="4"/>
  <c r="DB117" i="4" s="1"/>
  <c r="DA118" i="4"/>
  <c r="DB118" i="4" s="1"/>
  <c r="DA119" i="4"/>
  <c r="DB119" i="4" s="1"/>
  <c r="DA120" i="4"/>
  <c r="DB120" i="4" s="1"/>
  <c r="DA121" i="4"/>
  <c r="DB121" i="4" s="1"/>
  <c r="DA122" i="4"/>
  <c r="DB122" i="4" s="1"/>
  <c r="DA123" i="4"/>
  <c r="DB123" i="4" s="1"/>
  <c r="DA124" i="4"/>
  <c r="DB124" i="4" s="1"/>
  <c r="DA125" i="4"/>
  <c r="DB125" i="4" s="1"/>
  <c r="DA126" i="4"/>
  <c r="DB126" i="4" s="1"/>
  <c r="DA127" i="4"/>
  <c r="DB127" i="4" s="1"/>
  <c r="DA128" i="4"/>
  <c r="DB128" i="4" s="1"/>
  <c r="DA129" i="4"/>
  <c r="DB129" i="4" s="1"/>
  <c r="DA130" i="4"/>
  <c r="DB130" i="4" s="1"/>
  <c r="DA131" i="4"/>
  <c r="DB131" i="4" s="1"/>
  <c r="DA132" i="4"/>
  <c r="DB132" i="4" s="1"/>
  <c r="DA133" i="4"/>
  <c r="DB133" i="4" s="1"/>
  <c r="DA134" i="4"/>
  <c r="DB134" i="4" s="1"/>
  <c r="DA135" i="4"/>
  <c r="DB135" i="4" s="1"/>
  <c r="DA136" i="4"/>
  <c r="DB136" i="4" s="1"/>
  <c r="DA137" i="4"/>
  <c r="DB137" i="4" s="1"/>
  <c r="DA138" i="4"/>
  <c r="DB138" i="4" s="1"/>
  <c r="DA139" i="4"/>
  <c r="DB139" i="4" s="1"/>
  <c r="DA140" i="4"/>
  <c r="DB140" i="4" s="1"/>
  <c r="DA141" i="4"/>
  <c r="DB141" i="4" s="1"/>
  <c r="DA142" i="4"/>
  <c r="DB142" i="4" s="1"/>
  <c r="DA143" i="4"/>
  <c r="DB143" i="4" s="1"/>
  <c r="DA144" i="4"/>
  <c r="DB144" i="4" s="1"/>
  <c r="DA145" i="4"/>
  <c r="DB145" i="4" s="1"/>
  <c r="DA146" i="4"/>
  <c r="DB146" i="4" s="1"/>
  <c r="DA147" i="4"/>
  <c r="DB147" i="4" s="1"/>
  <c r="DA148" i="4"/>
  <c r="DB148" i="4" s="1"/>
  <c r="DA149" i="4"/>
  <c r="DB149" i="4" s="1"/>
  <c r="DA150" i="4"/>
  <c r="DB150" i="4" s="1"/>
  <c r="DA151" i="4"/>
  <c r="DB151" i="4" s="1"/>
  <c r="DA152" i="4"/>
  <c r="DB152" i="4" s="1"/>
  <c r="DA153" i="4"/>
  <c r="DB153" i="4" s="1"/>
  <c r="M36" i="7"/>
  <c r="C121" i="9" s="1"/>
  <c r="DA154" i="4"/>
  <c r="DB154" i="4" s="1"/>
  <c r="DA155" i="4"/>
  <c r="DB155" i="4" s="1"/>
  <c r="DA156" i="4"/>
  <c r="DB156" i="4" s="1"/>
  <c r="DA157" i="4"/>
  <c r="DB157" i="4" s="1"/>
  <c r="DA158" i="4"/>
  <c r="DB158" i="4" s="1"/>
  <c r="DA159" i="4"/>
  <c r="DB159" i="4" s="1"/>
  <c r="DA160" i="4"/>
  <c r="DB160" i="4" s="1"/>
  <c r="DA161" i="4"/>
  <c r="DB161" i="4" s="1"/>
  <c r="DA162" i="4"/>
  <c r="DB162" i="4" s="1"/>
  <c r="DA163" i="4"/>
  <c r="DB163" i="4" s="1"/>
  <c r="L36" i="7"/>
  <c r="B121" i="9" s="1"/>
  <c r="C40" i="5"/>
  <c r="B40" i="5"/>
  <c r="J42" i="2"/>
  <c r="B56" i="4"/>
  <c r="P132" i="4"/>
  <c r="N133" i="4"/>
  <c r="S135" i="4"/>
  <c r="Q136" i="4"/>
  <c r="M130" i="4"/>
  <c r="K131" i="4"/>
  <c r="K39" i="5"/>
  <c r="G350" i="9" s="1"/>
  <c r="F350" i="9"/>
  <c r="N39" i="5"/>
  <c r="D509" i="9" s="1"/>
  <c r="C509" i="9"/>
  <c r="C350" i="9"/>
  <c r="H39" i="5"/>
  <c r="D350" i="9" s="1"/>
  <c r="Q39" i="5"/>
  <c r="G509" i="9" s="1"/>
  <c r="F509" i="9"/>
  <c r="F52" i="4" l="1"/>
  <c r="D37" i="5"/>
  <c r="D118" i="9" s="1"/>
  <c r="E37" i="5"/>
  <c r="E118" i="9" s="1"/>
  <c r="O41" i="5"/>
  <c r="E511" i="9" s="1"/>
  <c r="P41" i="5"/>
  <c r="M41" i="5"/>
  <c r="I41" i="5"/>
  <c r="E352" i="9" s="1"/>
  <c r="F41" i="5"/>
  <c r="B352" i="9" s="1"/>
  <c r="L41" i="5"/>
  <c r="B511" i="9" s="1"/>
  <c r="J41" i="5"/>
  <c r="G41" i="5"/>
  <c r="J43" i="2"/>
  <c r="B57" i="4"/>
  <c r="C510" i="9"/>
  <c r="N40" i="5"/>
  <c r="D510" i="9" s="1"/>
  <c r="K40" i="5"/>
  <c r="G351" i="9" s="1"/>
  <c r="F351" i="9"/>
  <c r="Q40" i="5"/>
  <c r="G510" i="9" s="1"/>
  <c r="F510" i="9"/>
  <c r="M131" i="4"/>
  <c r="K132" i="4"/>
  <c r="S136" i="4"/>
  <c r="Q137" i="4"/>
  <c r="P133" i="4"/>
  <c r="N134" i="4"/>
  <c r="E56" i="4"/>
  <c r="K38" i="7"/>
  <c r="DD56" i="4"/>
  <c r="DE56" i="4" s="1"/>
  <c r="J56" i="4" s="1"/>
  <c r="DD57" i="4"/>
  <c r="DE57" i="4" s="1"/>
  <c r="DD60" i="4"/>
  <c r="DE60" i="4" s="1"/>
  <c r="DD61" i="4"/>
  <c r="DE61" i="4" s="1"/>
  <c r="DD63" i="4"/>
  <c r="DE63" i="4" s="1"/>
  <c r="DD65" i="4"/>
  <c r="DE65" i="4" s="1"/>
  <c r="DD67" i="4"/>
  <c r="DE67" i="4" s="1"/>
  <c r="DD69" i="4"/>
  <c r="DE69" i="4" s="1"/>
  <c r="DD71" i="4"/>
  <c r="DE71" i="4" s="1"/>
  <c r="DD73" i="4"/>
  <c r="DE73" i="4" s="1"/>
  <c r="DD58" i="4"/>
  <c r="DE58" i="4" s="1"/>
  <c r="DD59" i="4"/>
  <c r="DE59" i="4" s="1"/>
  <c r="DD62" i="4"/>
  <c r="DE62" i="4" s="1"/>
  <c r="DD64" i="4"/>
  <c r="DE64" i="4" s="1"/>
  <c r="DD66" i="4"/>
  <c r="DE66" i="4" s="1"/>
  <c r="DD70" i="4"/>
  <c r="DE70" i="4" s="1"/>
  <c r="DD74" i="4"/>
  <c r="DE74" i="4" s="1"/>
  <c r="DD76" i="4"/>
  <c r="DE76" i="4" s="1"/>
  <c r="DD78" i="4"/>
  <c r="DE78" i="4" s="1"/>
  <c r="DD80" i="4"/>
  <c r="DE80" i="4" s="1"/>
  <c r="DD82" i="4"/>
  <c r="DE82" i="4" s="1"/>
  <c r="DD84" i="4"/>
  <c r="DE84" i="4" s="1"/>
  <c r="DD86" i="4"/>
  <c r="DE86" i="4" s="1"/>
  <c r="DD88" i="4"/>
  <c r="DE88" i="4" s="1"/>
  <c r="DD90" i="4"/>
  <c r="DE90" i="4" s="1"/>
  <c r="DD68" i="4"/>
  <c r="DE68" i="4" s="1"/>
  <c r="DD72" i="4"/>
  <c r="DE72" i="4" s="1"/>
  <c r="DD75" i="4"/>
  <c r="DE75" i="4" s="1"/>
  <c r="DD77" i="4"/>
  <c r="DE77" i="4" s="1"/>
  <c r="DD79" i="4"/>
  <c r="DE79" i="4" s="1"/>
  <c r="DD81" i="4"/>
  <c r="DE81" i="4" s="1"/>
  <c r="DD83" i="4"/>
  <c r="DE83" i="4" s="1"/>
  <c r="DD85" i="4"/>
  <c r="DE85" i="4" s="1"/>
  <c r="DD89" i="4"/>
  <c r="DE89" i="4" s="1"/>
  <c r="DD91" i="4"/>
  <c r="DE91" i="4" s="1"/>
  <c r="DD93" i="4"/>
  <c r="DE93" i="4" s="1"/>
  <c r="DD95" i="4"/>
  <c r="DE95" i="4" s="1"/>
  <c r="DD97" i="4"/>
  <c r="DE97" i="4" s="1"/>
  <c r="DD99" i="4"/>
  <c r="DE99" i="4" s="1"/>
  <c r="DD101" i="4"/>
  <c r="DE101" i="4" s="1"/>
  <c r="DD103" i="4"/>
  <c r="DE103" i="4" s="1"/>
  <c r="DD87" i="4"/>
  <c r="DE87" i="4" s="1"/>
  <c r="DD92" i="4"/>
  <c r="DE92" i="4" s="1"/>
  <c r="DD94" i="4"/>
  <c r="DE94" i="4" s="1"/>
  <c r="DD96" i="4"/>
  <c r="DE96" i="4" s="1"/>
  <c r="DD98" i="4"/>
  <c r="DE98" i="4" s="1"/>
  <c r="DD100" i="4"/>
  <c r="DE100" i="4" s="1"/>
  <c r="DD102" i="4"/>
  <c r="DE102" i="4" s="1"/>
  <c r="DD104" i="4"/>
  <c r="DE104" i="4" s="1"/>
  <c r="DD105" i="4"/>
  <c r="DE105" i="4" s="1"/>
  <c r="DD106" i="4"/>
  <c r="DE106" i="4" s="1"/>
  <c r="DD107" i="4"/>
  <c r="DE107" i="4" s="1"/>
  <c r="DD108" i="4"/>
  <c r="DE108" i="4" s="1"/>
  <c r="DD109" i="4"/>
  <c r="DE109" i="4" s="1"/>
  <c r="DD110" i="4"/>
  <c r="DE110" i="4" s="1"/>
  <c r="DD111" i="4"/>
  <c r="DE111" i="4" s="1"/>
  <c r="DD112" i="4"/>
  <c r="DE112" i="4" s="1"/>
  <c r="DD113" i="4"/>
  <c r="DE113" i="4" s="1"/>
  <c r="DD114" i="4"/>
  <c r="DE114" i="4" s="1"/>
  <c r="DD115" i="4"/>
  <c r="DE115" i="4" s="1"/>
  <c r="DD116" i="4"/>
  <c r="DE116" i="4" s="1"/>
  <c r="DD117" i="4"/>
  <c r="DE117" i="4" s="1"/>
  <c r="DD118" i="4"/>
  <c r="DE118" i="4" s="1"/>
  <c r="DD119" i="4"/>
  <c r="DE119" i="4" s="1"/>
  <c r="DD120" i="4"/>
  <c r="DE120" i="4" s="1"/>
  <c r="DD121" i="4"/>
  <c r="DE121" i="4" s="1"/>
  <c r="DD122" i="4"/>
  <c r="DE122" i="4" s="1"/>
  <c r="DD123" i="4"/>
  <c r="DE123" i="4" s="1"/>
  <c r="DD124" i="4"/>
  <c r="DE124" i="4" s="1"/>
  <c r="DD125" i="4"/>
  <c r="DE125" i="4" s="1"/>
  <c r="DD126" i="4"/>
  <c r="DE126" i="4" s="1"/>
  <c r="DD127" i="4"/>
  <c r="DE127" i="4" s="1"/>
  <c r="DD128" i="4"/>
  <c r="DE128" i="4" s="1"/>
  <c r="DD129" i="4"/>
  <c r="DE129" i="4" s="1"/>
  <c r="DD130" i="4"/>
  <c r="DE130" i="4" s="1"/>
  <c r="DD131" i="4"/>
  <c r="DE131" i="4" s="1"/>
  <c r="DD132" i="4"/>
  <c r="DE132" i="4" s="1"/>
  <c r="DD133" i="4"/>
  <c r="DE133" i="4" s="1"/>
  <c r="DD134" i="4"/>
  <c r="DE134" i="4" s="1"/>
  <c r="DD135" i="4"/>
  <c r="DE135" i="4" s="1"/>
  <c r="DD136" i="4"/>
  <c r="DE136" i="4" s="1"/>
  <c r="DD137" i="4"/>
  <c r="DE137" i="4" s="1"/>
  <c r="DD138" i="4"/>
  <c r="DE138" i="4" s="1"/>
  <c r="DD139" i="4"/>
  <c r="DE139" i="4" s="1"/>
  <c r="DD140" i="4"/>
  <c r="DE140" i="4" s="1"/>
  <c r="DD141" i="4"/>
  <c r="DE141" i="4" s="1"/>
  <c r="DD142" i="4"/>
  <c r="DE142" i="4" s="1"/>
  <c r="DD143" i="4"/>
  <c r="DE143" i="4" s="1"/>
  <c r="DD144" i="4"/>
  <c r="DE144" i="4" s="1"/>
  <c r="DD145" i="4"/>
  <c r="DE145" i="4" s="1"/>
  <c r="DD146" i="4"/>
  <c r="DE146" i="4" s="1"/>
  <c r="DD147" i="4"/>
  <c r="DE147" i="4" s="1"/>
  <c r="DD148" i="4"/>
  <c r="DE148" i="4" s="1"/>
  <c r="DD149" i="4"/>
  <c r="DE149" i="4" s="1"/>
  <c r="DD150" i="4"/>
  <c r="DE150" i="4" s="1"/>
  <c r="DD151" i="4"/>
  <c r="DE151" i="4" s="1"/>
  <c r="DD152" i="4"/>
  <c r="DE152" i="4" s="1"/>
  <c r="DD153" i="4"/>
  <c r="DE153" i="4" s="1"/>
  <c r="M37" i="7"/>
  <c r="C122" i="9" s="1"/>
  <c r="DD154" i="4"/>
  <c r="DE154" i="4" s="1"/>
  <c r="DD155" i="4"/>
  <c r="DE155" i="4" s="1"/>
  <c r="DD156" i="4"/>
  <c r="DE156" i="4" s="1"/>
  <c r="DD157" i="4"/>
  <c r="DE157" i="4" s="1"/>
  <c r="DD158" i="4"/>
  <c r="DE158" i="4" s="1"/>
  <c r="DD159" i="4"/>
  <c r="DE159" i="4" s="1"/>
  <c r="DD160" i="4"/>
  <c r="DE160" i="4" s="1"/>
  <c r="DD161" i="4"/>
  <c r="DE161" i="4" s="1"/>
  <c r="DD162" i="4"/>
  <c r="DE162" i="4" s="1"/>
  <c r="DD163" i="4"/>
  <c r="DE163" i="4" s="1"/>
  <c r="L37" i="7"/>
  <c r="B122" i="9" s="1"/>
  <c r="C41" i="5"/>
  <c r="B41" i="5"/>
  <c r="H40" i="5"/>
  <c r="D351" i="9" s="1"/>
  <c r="C351" i="9"/>
  <c r="D38" i="5" l="1"/>
  <c r="D119" i="9" s="1"/>
  <c r="E38" i="5"/>
  <c r="E119" i="9" s="1"/>
  <c r="F53" i="4"/>
  <c r="O42" i="5"/>
  <c r="E512" i="9" s="1"/>
  <c r="P42" i="5"/>
  <c r="L42" i="5"/>
  <c r="B512" i="9" s="1"/>
  <c r="J42" i="5"/>
  <c r="G42" i="5"/>
  <c r="M42" i="5"/>
  <c r="I42" i="5"/>
  <c r="E353" i="9" s="1"/>
  <c r="F42" i="5"/>
  <c r="B353" i="9" s="1"/>
  <c r="P134" i="4"/>
  <c r="N135" i="4"/>
  <c r="S137" i="4"/>
  <c r="Q138" i="4"/>
  <c r="M132" i="4"/>
  <c r="K133" i="4"/>
  <c r="E57" i="4"/>
  <c r="K39" i="7"/>
  <c r="K41" i="5"/>
  <c r="G352" i="9" s="1"/>
  <c r="F352" i="9"/>
  <c r="N41" i="5"/>
  <c r="D511" i="9" s="1"/>
  <c r="C511" i="9"/>
  <c r="DG60" i="4"/>
  <c r="DH60" i="4" s="1"/>
  <c r="DG61" i="4"/>
  <c r="DH61" i="4" s="1"/>
  <c r="DG57" i="4"/>
  <c r="DH57" i="4" s="1"/>
  <c r="J57" i="4" s="1"/>
  <c r="DG58" i="4"/>
  <c r="DH58" i="4" s="1"/>
  <c r="DG59" i="4"/>
  <c r="DH59" i="4" s="1"/>
  <c r="DG62" i="4"/>
  <c r="DH62" i="4" s="1"/>
  <c r="DG63" i="4"/>
  <c r="DH63" i="4" s="1"/>
  <c r="DG65" i="4"/>
  <c r="DH65" i="4" s="1"/>
  <c r="DG67" i="4"/>
  <c r="DH67" i="4" s="1"/>
  <c r="DG69" i="4"/>
  <c r="DH69" i="4" s="1"/>
  <c r="DG71" i="4"/>
  <c r="DH71" i="4" s="1"/>
  <c r="DG73" i="4"/>
  <c r="DH73" i="4" s="1"/>
  <c r="DG64" i="4"/>
  <c r="DH64" i="4" s="1"/>
  <c r="DG66" i="4"/>
  <c r="DH66" i="4" s="1"/>
  <c r="DG68" i="4"/>
  <c r="DH68" i="4" s="1"/>
  <c r="DG72" i="4"/>
  <c r="DH72" i="4" s="1"/>
  <c r="DG76" i="4"/>
  <c r="DH76" i="4" s="1"/>
  <c r="DG78" i="4"/>
  <c r="DH78" i="4" s="1"/>
  <c r="DG80" i="4"/>
  <c r="DH80" i="4" s="1"/>
  <c r="DG82" i="4"/>
  <c r="DH82" i="4" s="1"/>
  <c r="DG84" i="4"/>
  <c r="DH84" i="4" s="1"/>
  <c r="DG86" i="4"/>
  <c r="DH86" i="4" s="1"/>
  <c r="DG88" i="4"/>
  <c r="DH88" i="4" s="1"/>
  <c r="DG90" i="4"/>
  <c r="DH90" i="4" s="1"/>
  <c r="DG70" i="4"/>
  <c r="DH70" i="4" s="1"/>
  <c r="DG74" i="4"/>
  <c r="DH74" i="4" s="1"/>
  <c r="DG75" i="4"/>
  <c r="DH75" i="4" s="1"/>
  <c r="DG77" i="4"/>
  <c r="DH77" i="4" s="1"/>
  <c r="DG79" i="4"/>
  <c r="DH79" i="4" s="1"/>
  <c r="DG81" i="4"/>
  <c r="DH81" i="4" s="1"/>
  <c r="DG83" i="4"/>
  <c r="DH83" i="4" s="1"/>
  <c r="DG87" i="4"/>
  <c r="DH87" i="4" s="1"/>
  <c r="DG91" i="4"/>
  <c r="DH91" i="4" s="1"/>
  <c r="DG93" i="4"/>
  <c r="DH93" i="4" s="1"/>
  <c r="DG95" i="4"/>
  <c r="DH95" i="4" s="1"/>
  <c r="DG97" i="4"/>
  <c r="DH97" i="4" s="1"/>
  <c r="DG99" i="4"/>
  <c r="DH99" i="4" s="1"/>
  <c r="DG101" i="4"/>
  <c r="DH101" i="4" s="1"/>
  <c r="DG103" i="4"/>
  <c r="DH103" i="4" s="1"/>
  <c r="DG85" i="4"/>
  <c r="DH85" i="4" s="1"/>
  <c r="DG89" i="4"/>
  <c r="DH89" i="4" s="1"/>
  <c r="DG92" i="4"/>
  <c r="DH92" i="4" s="1"/>
  <c r="DG94" i="4"/>
  <c r="DH94" i="4" s="1"/>
  <c r="DG96" i="4"/>
  <c r="DH96" i="4" s="1"/>
  <c r="DG98" i="4"/>
  <c r="DH98" i="4" s="1"/>
  <c r="DG100" i="4"/>
  <c r="DH100" i="4" s="1"/>
  <c r="DG104" i="4"/>
  <c r="DH104" i="4" s="1"/>
  <c r="DG105" i="4"/>
  <c r="DH105" i="4" s="1"/>
  <c r="DG102" i="4"/>
  <c r="DH102" i="4" s="1"/>
  <c r="DG106" i="4"/>
  <c r="DH106" i="4" s="1"/>
  <c r="DG107" i="4"/>
  <c r="DH107" i="4" s="1"/>
  <c r="DG108" i="4"/>
  <c r="DH108" i="4" s="1"/>
  <c r="DG109" i="4"/>
  <c r="DH109" i="4" s="1"/>
  <c r="DG110" i="4"/>
  <c r="DH110" i="4" s="1"/>
  <c r="DG111" i="4"/>
  <c r="DH111" i="4" s="1"/>
  <c r="DG112" i="4"/>
  <c r="DH112" i="4" s="1"/>
  <c r="DG113" i="4"/>
  <c r="DH113" i="4" s="1"/>
  <c r="DG114" i="4"/>
  <c r="DH114" i="4" s="1"/>
  <c r="DG115" i="4"/>
  <c r="DH115" i="4" s="1"/>
  <c r="DG116" i="4"/>
  <c r="DH116" i="4" s="1"/>
  <c r="DG117" i="4"/>
  <c r="DH117" i="4" s="1"/>
  <c r="DG118" i="4"/>
  <c r="DH118" i="4" s="1"/>
  <c r="DG119" i="4"/>
  <c r="DH119" i="4" s="1"/>
  <c r="DG120" i="4"/>
  <c r="DH120" i="4" s="1"/>
  <c r="DG121" i="4"/>
  <c r="DH121" i="4" s="1"/>
  <c r="DG122" i="4"/>
  <c r="DH122" i="4" s="1"/>
  <c r="DG123" i="4"/>
  <c r="DH123" i="4" s="1"/>
  <c r="DG124" i="4"/>
  <c r="DH124" i="4" s="1"/>
  <c r="DG125" i="4"/>
  <c r="DH125" i="4" s="1"/>
  <c r="DG126" i="4"/>
  <c r="DH126" i="4" s="1"/>
  <c r="DG127" i="4"/>
  <c r="DH127" i="4" s="1"/>
  <c r="DG128" i="4"/>
  <c r="DH128" i="4" s="1"/>
  <c r="DG129" i="4"/>
  <c r="DH129" i="4" s="1"/>
  <c r="DG130" i="4"/>
  <c r="DH130" i="4" s="1"/>
  <c r="DG131" i="4"/>
  <c r="DH131" i="4" s="1"/>
  <c r="DG132" i="4"/>
  <c r="DH132" i="4" s="1"/>
  <c r="DG133" i="4"/>
  <c r="DH133" i="4" s="1"/>
  <c r="DG134" i="4"/>
  <c r="DH134" i="4" s="1"/>
  <c r="DG135" i="4"/>
  <c r="DH135" i="4" s="1"/>
  <c r="DG136" i="4"/>
  <c r="DH136" i="4" s="1"/>
  <c r="DG137" i="4"/>
  <c r="DH137" i="4" s="1"/>
  <c r="DG138" i="4"/>
  <c r="DH138" i="4" s="1"/>
  <c r="DG139" i="4"/>
  <c r="DH139" i="4" s="1"/>
  <c r="DG140" i="4"/>
  <c r="DH140" i="4" s="1"/>
  <c r="DG141" i="4"/>
  <c r="DH141" i="4" s="1"/>
  <c r="DG142" i="4"/>
  <c r="DH142" i="4" s="1"/>
  <c r="DG143" i="4"/>
  <c r="DH143" i="4" s="1"/>
  <c r="DG144" i="4"/>
  <c r="DH144" i="4" s="1"/>
  <c r="DG145" i="4"/>
  <c r="DH145" i="4" s="1"/>
  <c r="DG146" i="4"/>
  <c r="DH146" i="4" s="1"/>
  <c r="DG147" i="4"/>
  <c r="DH147" i="4" s="1"/>
  <c r="DG148" i="4"/>
  <c r="DH148" i="4" s="1"/>
  <c r="DG149" i="4"/>
  <c r="DH149" i="4" s="1"/>
  <c r="DG150" i="4"/>
  <c r="DH150" i="4" s="1"/>
  <c r="DG151" i="4"/>
  <c r="DH151" i="4" s="1"/>
  <c r="DG152" i="4"/>
  <c r="DH152" i="4" s="1"/>
  <c r="DG153" i="4"/>
  <c r="DH153" i="4" s="1"/>
  <c r="M38" i="7"/>
  <c r="C123" i="9" s="1"/>
  <c r="DG154" i="4"/>
  <c r="DH154" i="4" s="1"/>
  <c r="DG155" i="4"/>
  <c r="DH155" i="4" s="1"/>
  <c r="DG156" i="4"/>
  <c r="DH156" i="4" s="1"/>
  <c r="DG157" i="4"/>
  <c r="DH157" i="4" s="1"/>
  <c r="DG158" i="4"/>
  <c r="DH158" i="4" s="1"/>
  <c r="DG159" i="4"/>
  <c r="DH159" i="4" s="1"/>
  <c r="DG160" i="4"/>
  <c r="DH160" i="4" s="1"/>
  <c r="DG161" i="4"/>
  <c r="DH161" i="4" s="1"/>
  <c r="DG162" i="4"/>
  <c r="DH162" i="4" s="1"/>
  <c r="DG163" i="4"/>
  <c r="DH163" i="4" s="1"/>
  <c r="L38" i="7"/>
  <c r="B123" i="9" s="1"/>
  <c r="C42" i="5"/>
  <c r="B42" i="5"/>
  <c r="B58" i="4"/>
  <c r="J44" i="2"/>
  <c r="C352" i="9"/>
  <c r="H41" i="5"/>
  <c r="D352" i="9" s="1"/>
  <c r="Q41" i="5"/>
  <c r="G511" i="9" s="1"/>
  <c r="F511" i="9"/>
  <c r="F54" i="4" l="1"/>
  <c r="D39" i="5"/>
  <c r="D120" i="9" s="1"/>
  <c r="E39" i="5"/>
  <c r="E120" i="9" s="1"/>
  <c r="P43" i="5"/>
  <c r="O43" i="5"/>
  <c r="E513" i="9" s="1"/>
  <c r="M43" i="5"/>
  <c r="I43" i="5"/>
  <c r="E354" i="9" s="1"/>
  <c r="F43" i="5"/>
  <c r="B354" i="9" s="1"/>
  <c r="L43" i="5"/>
  <c r="B513" i="9" s="1"/>
  <c r="J43" i="5"/>
  <c r="G43" i="5"/>
  <c r="J45" i="2"/>
  <c r="B59" i="4"/>
  <c r="E58" i="4"/>
  <c r="K40" i="7"/>
  <c r="M133" i="4"/>
  <c r="K134" i="4"/>
  <c r="S138" i="4"/>
  <c r="Q139" i="4"/>
  <c r="P135" i="4"/>
  <c r="N136" i="4"/>
  <c r="C512" i="9"/>
  <c r="N42" i="5"/>
  <c r="D512" i="9" s="1"/>
  <c r="K42" i="5"/>
  <c r="G353" i="9" s="1"/>
  <c r="F353" i="9"/>
  <c r="Q42" i="5"/>
  <c r="G512" i="9" s="1"/>
  <c r="F512" i="9"/>
  <c r="DJ60" i="4"/>
  <c r="DK60" i="4" s="1"/>
  <c r="DJ61" i="4"/>
  <c r="DK61" i="4" s="1"/>
  <c r="DJ58" i="4"/>
  <c r="DK58" i="4" s="1"/>
  <c r="J58" i="4" s="1"/>
  <c r="DJ63" i="4"/>
  <c r="DK63" i="4" s="1"/>
  <c r="DJ65" i="4"/>
  <c r="DK65" i="4" s="1"/>
  <c r="DJ67" i="4"/>
  <c r="DK67" i="4" s="1"/>
  <c r="DJ69" i="4"/>
  <c r="DK69" i="4" s="1"/>
  <c r="DJ71" i="4"/>
  <c r="DK71" i="4" s="1"/>
  <c r="DJ73" i="4"/>
  <c r="DK73" i="4" s="1"/>
  <c r="DJ59" i="4"/>
  <c r="DK59" i="4" s="1"/>
  <c r="DJ62" i="4"/>
  <c r="DK62" i="4" s="1"/>
  <c r="DJ64" i="4"/>
  <c r="DK64" i="4" s="1"/>
  <c r="DJ66" i="4"/>
  <c r="DK66" i="4" s="1"/>
  <c r="DJ70" i="4"/>
  <c r="DK70" i="4" s="1"/>
  <c r="DJ74" i="4"/>
  <c r="DK74" i="4" s="1"/>
  <c r="DJ76" i="4"/>
  <c r="DK76" i="4" s="1"/>
  <c r="DJ78" i="4"/>
  <c r="DK78" i="4" s="1"/>
  <c r="DJ80" i="4"/>
  <c r="DK80" i="4" s="1"/>
  <c r="DJ82" i="4"/>
  <c r="DK82" i="4" s="1"/>
  <c r="DJ84" i="4"/>
  <c r="DK84" i="4" s="1"/>
  <c r="DJ86" i="4"/>
  <c r="DK86" i="4" s="1"/>
  <c r="DJ88" i="4"/>
  <c r="DK88" i="4" s="1"/>
  <c r="DJ90" i="4"/>
  <c r="DK90" i="4" s="1"/>
  <c r="DJ68" i="4"/>
  <c r="DK68" i="4" s="1"/>
  <c r="DJ72" i="4"/>
  <c r="DK72" i="4" s="1"/>
  <c r="DJ75" i="4"/>
  <c r="DK75" i="4" s="1"/>
  <c r="DJ77" i="4"/>
  <c r="DK77" i="4" s="1"/>
  <c r="DJ79" i="4"/>
  <c r="DK79" i="4" s="1"/>
  <c r="DJ81" i="4"/>
  <c r="DK81" i="4" s="1"/>
  <c r="DJ83" i="4"/>
  <c r="DK83" i="4" s="1"/>
  <c r="DJ85" i="4"/>
  <c r="DK85" i="4" s="1"/>
  <c r="DJ89" i="4"/>
  <c r="DK89" i="4" s="1"/>
  <c r="DJ91" i="4"/>
  <c r="DK91" i="4" s="1"/>
  <c r="DJ93" i="4"/>
  <c r="DK93" i="4" s="1"/>
  <c r="DJ95" i="4"/>
  <c r="DK95" i="4" s="1"/>
  <c r="DJ97" i="4"/>
  <c r="DK97" i="4" s="1"/>
  <c r="DJ99" i="4"/>
  <c r="DK99" i="4" s="1"/>
  <c r="DJ101" i="4"/>
  <c r="DK101" i="4" s="1"/>
  <c r="DJ103" i="4"/>
  <c r="DK103" i="4" s="1"/>
  <c r="DJ87" i="4"/>
  <c r="DK87" i="4" s="1"/>
  <c r="DJ92" i="4"/>
  <c r="DK92" i="4" s="1"/>
  <c r="DJ94" i="4"/>
  <c r="DK94" i="4" s="1"/>
  <c r="DJ96" i="4"/>
  <c r="DK96" i="4" s="1"/>
  <c r="DJ98" i="4"/>
  <c r="DK98" i="4" s="1"/>
  <c r="DJ100" i="4"/>
  <c r="DK100" i="4" s="1"/>
  <c r="DJ102" i="4"/>
  <c r="DK102" i="4" s="1"/>
  <c r="DJ104" i="4"/>
  <c r="DK104" i="4" s="1"/>
  <c r="DJ105" i="4"/>
  <c r="DK105" i="4" s="1"/>
  <c r="DJ106" i="4"/>
  <c r="DK106" i="4" s="1"/>
  <c r="DJ107" i="4"/>
  <c r="DK107" i="4" s="1"/>
  <c r="DJ108" i="4"/>
  <c r="DK108" i="4" s="1"/>
  <c r="DJ109" i="4"/>
  <c r="DK109" i="4" s="1"/>
  <c r="DJ110" i="4"/>
  <c r="DK110" i="4" s="1"/>
  <c r="DJ111" i="4"/>
  <c r="DK111" i="4" s="1"/>
  <c r="DJ112" i="4"/>
  <c r="DK112" i="4" s="1"/>
  <c r="DJ113" i="4"/>
  <c r="DK113" i="4" s="1"/>
  <c r="DJ114" i="4"/>
  <c r="DK114" i="4" s="1"/>
  <c r="DJ115" i="4"/>
  <c r="DK115" i="4" s="1"/>
  <c r="DJ116" i="4"/>
  <c r="DK116" i="4" s="1"/>
  <c r="DJ117" i="4"/>
  <c r="DK117" i="4" s="1"/>
  <c r="DJ118" i="4"/>
  <c r="DK118" i="4" s="1"/>
  <c r="DJ119" i="4"/>
  <c r="DK119" i="4" s="1"/>
  <c r="DJ120" i="4"/>
  <c r="DK120" i="4" s="1"/>
  <c r="DJ121" i="4"/>
  <c r="DK121" i="4" s="1"/>
  <c r="DJ122" i="4"/>
  <c r="DK122" i="4" s="1"/>
  <c r="DJ123" i="4"/>
  <c r="DK123" i="4" s="1"/>
  <c r="DJ124" i="4"/>
  <c r="DK124" i="4" s="1"/>
  <c r="DJ125" i="4"/>
  <c r="DK125" i="4" s="1"/>
  <c r="DJ126" i="4"/>
  <c r="DK126" i="4" s="1"/>
  <c r="DJ127" i="4"/>
  <c r="DK127" i="4" s="1"/>
  <c r="DJ128" i="4"/>
  <c r="DK128" i="4" s="1"/>
  <c r="DJ129" i="4"/>
  <c r="DK129" i="4" s="1"/>
  <c r="DJ130" i="4"/>
  <c r="DK130" i="4" s="1"/>
  <c r="DJ131" i="4"/>
  <c r="DK131" i="4" s="1"/>
  <c r="DJ132" i="4"/>
  <c r="DK132" i="4" s="1"/>
  <c r="DJ133" i="4"/>
  <c r="DK133" i="4" s="1"/>
  <c r="DJ134" i="4"/>
  <c r="DK134" i="4" s="1"/>
  <c r="DJ135" i="4"/>
  <c r="DK135" i="4" s="1"/>
  <c r="DJ136" i="4"/>
  <c r="DK136" i="4" s="1"/>
  <c r="DJ137" i="4"/>
  <c r="DK137" i="4" s="1"/>
  <c r="DJ138" i="4"/>
  <c r="DK138" i="4" s="1"/>
  <c r="DJ139" i="4"/>
  <c r="DK139" i="4" s="1"/>
  <c r="DJ140" i="4"/>
  <c r="DK140" i="4" s="1"/>
  <c r="DJ141" i="4"/>
  <c r="DK141" i="4" s="1"/>
  <c r="DJ142" i="4"/>
  <c r="DK142" i="4" s="1"/>
  <c r="DJ143" i="4"/>
  <c r="DK143" i="4" s="1"/>
  <c r="DJ144" i="4"/>
  <c r="DK144" i="4" s="1"/>
  <c r="DJ145" i="4"/>
  <c r="DK145" i="4" s="1"/>
  <c r="DJ146" i="4"/>
  <c r="DK146" i="4" s="1"/>
  <c r="DJ147" i="4"/>
  <c r="DK147" i="4" s="1"/>
  <c r="DJ148" i="4"/>
  <c r="DK148" i="4" s="1"/>
  <c r="DJ149" i="4"/>
  <c r="DK149" i="4" s="1"/>
  <c r="DJ150" i="4"/>
  <c r="DK150" i="4" s="1"/>
  <c r="DJ151" i="4"/>
  <c r="DK151" i="4" s="1"/>
  <c r="DJ152" i="4"/>
  <c r="DK152" i="4" s="1"/>
  <c r="DJ153" i="4"/>
  <c r="DK153" i="4" s="1"/>
  <c r="M39" i="7"/>
  <c r="C124" i="9" s="1"/>
  <c r="DJ154" i="4"/>
  <c r="DK154" i="4" s="1"/>
  <c r="DJ155" i="4"/>
  <c r="DK155" i="4" s="1"/>
  <c r="DJ156" i="4"/>
  <c r="DK156" i="4" s="1"/>
  <c r="DJ157" i="4"/>
  <c r="DK157" i="4" s="1"/>
  <c r="DJ158" i="4"/>
  <c r="DK158" i="4" s="1"/>
  <c r="DJ159" i="4"/>
  <c r="DK159" i="4" s="1"/>
  <c r="DJ160" i="4"/>
  <c r="DK160" i="4" s="1"/>
  <c r="DJ161" i="4"/>
  <c r="DK161" i="4" s="1"/>
  <c r="DJ162" i="4"/>
  <c r="DK162" i="4" s="1"/>
  <c r="DJ163" i="4"/>
  <c r="DK163" i="4" s="1"/>
  <c r="L39" i="7"/>
  <c r="B124" i="9" s="1"/>
  <c r="C43" i="5"/>
  <c r="B43" i="5"/>
  <c r="H42" i="5"/>
  <c r="D353" i="9" s="1"/>
  <c r="C353" i="9"/>
  <c r="F55" i="4" l="1"/>
  <c r="D40" i="5"/>
  <c r="D121" i="9" s="1"/>
  <c r="E40" i="5"/>
  <c r="E121" i="9" s="1"/>
  <c r="P44" i="5"/>
  <c r="O44" i="5"/>
  <c r="E514" i="9" s="1"/>
  <c r="L44" i="5"/>
  <c r="B514" i="9" s="1"/>
  <c r="J44" i="5"/>
  <c r="G44" i="5"/>
  <c r="M44" i="5"/>
  <c r="I44" i="5"/>
  <c r="E355" i="9" s="1"/>
  <c r="F44" i="5"/>
  <c r="B355" i="9" s="1"/>
  <c r="DM59" i="4"/>
  <c r="DN59" i="4" s="1"/>
  <c r="J59" i="4" s="1"/>
  <c r="DM60" i="4"/>
  <c r="DN60" i="4" s="1"/>
  <c r="DM61" i="4"/>
  <c r="DN61" i="4" s="1"/>
  <c r="DM62" i="4"/>
  <c r="DN62" i="4" s="1"/>
  <c r="DM63" i="4"/>
  <c r="DN63" i="4" s="1"/>
  <c r="DM65" i="4"/>
  <c r="DN65" i="4" s="1"/>
  <c r="DM67" i="4"/>
  <c r="DN67" i="4" s="1"/>
  <c r="DM69" i="4"/>
  <c r="DN69" i="4" s="1"/>
  <c r="DM71" i="4"/>
  <c r="DN71" i="4" s="1"/>
  <c r="DM73" i="4"/>
  <c r="DN73" i="4" s="1"/>
  <c r="DM64" i="4"/>
  <c r="DN64" i="4" s="1"/>
  <c r="DM66" i="4"/>
  <c r="DN66" i="4" s="1"/>
  <c r="DM68" i="4"/>
  <c r="DN68" i="4" s="1"/>
  <c r="DM72" i="4"/>
  <c r="DN72" i="4" s="1"/>
  <c r="DM76" i="4"/>
  <c r="DN76" i="4" s="1"/>
  <c r="DM78" i="4"/>
  <c r="DN78" i="4" s="1"/>
  <c r="DM80" i="4"/>
  <c r="DN80" i="4" s="1"/>
  <c r="DM82" i="4"/>
  <c r="DN82" i="4" s="1"/>
  <c r="DM84" i="4"/>
  <c r="DN84" i="4" s="1"/>
  <c r="DM86" i="4"/>
  <c r="DN86" i="4" s="1"/>
  <c r="DM88" i="4"/>
  <c r="DN88" i="4" s="1"/>
  <c r="DM90" i="4"/>
  <c r="DN90" i="4" s="1"/>
  <c r="DM70" i="4"/>
  <c r="DN70" i="4" s="1"/>
  <c r="DM74" i="4"/>
  <c r="DN74" i="4" s="1"/>
  <c r="DM75" i="4"/>
  <c r="DN75" i="4" s="1"/>
  <c r="DM77" i="4"/>
  <c r="DN77" i="4" s="1"/>
  <c r="DM79" i="4"/>
  <c r="DN79" i="4" s="1"/>
  <c r="DM81" i="4"/>
  <c r="DN81" i="4" s="1"/>
  <c r="DM83" i="4"/>
  <c r="DN83" i="4" s="1"/>
  <c r="DM87" i="4"/>
  <c r="DN87" i="4" s="1"/>
  <c r="DM91" i="4"/>
  <c r="DN91" i="4" s="1"/>
  <c r="DM93" i="4"/>
  <c r="DN93" i="4" s="1"/>
  <c r="DM95" i="4"/>
  <c r="DN95" i="4" s="1"/>
  <c r="DM97" i="4"/>
  <c r="DN97" i="4" s="1"/>
  <c r="DM99" i="4"/>
  <c r="DN99" i="4" s="1"/>
  <c r="DM101" i="4"/>
  <c r="DN101" i="4" s="1"/>
  <c r="DM103" i="4"/>
  <c r="DN103" i="4" s="1"/>
  <c r="DM85" i="4"/>
  <c r="DN85" i="4" s="1"/>
  <c r="DM89" i="4"/>
  <c r="DN89" i="4" s="1"/>
  <c r="DM92" i="4"/>
  <c r="DN92" i="4" s="1"/>
  <c r="DM94" i="4"/>
  <c r="DN94" i="4" s="1"/>
  <c r="DM96" i="4"/>
  <c r="DN96" i="4" s="1"/>
  <c r="DM98" i="4"/>
  <c r="DN98" i="4" s="1"/>
  <c r="DM100" i="4"/>
  <c r="DN100" i="4" s="1"/>
  <c r="DM104" i="4"/>
  <c r="DN104" i="4" s="1"/>
  <c r="DM105" i="4"/>
  <c r="DN105" i="4" s="1"/>
  <c r="DM102" i="4"/>
  <c r="DN102" i="4" s="1"/>
  <c r="DM106" i="4"/>
  <c r="DN106" i="4" s="1"/>
  <c r="DM107" i="4"/>
  <c r="DN107" i="4" s="1"/>
  <c r="DM108" i="4"/>
  <c r="DN108" i="4" s="1"/>
  <c r="DM109" i="4"/>
  <c r="DN109" i="4" s="1"/>
  <c r="DM110" i="4"/>
  <c r="DN110" i="4" s="1"/>
  <c r="DM111" i="4"/>
  <c r="DN111" i="4" s="1"/>
  <c r="DM112" i="4"/>
  <c r="DN112" i="4" s="1"/>
  <c r="DM113" i="4"/>
  <c r="DN113" i="4" s="1"/>
  <c r="DM114" i="4"/>
  <c r="DN114" i="4" s="1"/>
  <c r="DM115" i="4"/>
  <c r="DN115" i="4" s="1"/>
  <c r="DM116" i="4"/>
  <c r="DN116" i="4" s="1"/>
  <c r="DM117" i="4"/>
  <c r="DN117" i="4" s="1"/>
  <c r="DM118" i="4"/>
  <c r="DN118" i="4" s="1"/>
  <c r="DM119" i="4"/>
  <c r="DN119" i="4" s="1"/>
  <c r="DM120" i="4"/>
  <c r="DN120" i="4" s="1"/>
  <c r="DM121" i="4"/>
  <c r="DN121" i="4" s="1"/>
  <c r="DM122" i="4"/>
  <c r="DN122" i="4" s="1"/>
  <c r="DM123" i="4"/>
  <c r="DN123" i="4" s="1"/>
  <c r="DM124" i="4"/>
  <c r="DN124" i="4" s="1"/>
  <c r="DM125" i="4"/>
  <c r="DN125" i="4" s="1"/>
  <c r="DM126" i="4"/>
  <c r="DN126" i="4" s="1"/>
  <c r="DM127" i="4"/>
  <c r="DN127" i="4" s="1"/>
  <c r="DM128" i="4"/>
  <c r="DN128" i="4" s="1"/>
  <c r="DM129" i="4"/>
  <c r="DN129" i="4" s="1"/>
  <c r="DM130" i="4"/>
  <c r="DN130" i="4" s="1"/>
  <c r="DM131" i="4"/>
  <c r="DN131" i="4" s="1"/>
  <c r="DM132" i="4"/>
  <c r="DN132" i="4" s="1"/>
  <c r="DM133" i="4"/>
  <c r="DN133" i="4" s="1"/>
  <c r="DM134" i="4"/>
  <c r="DN134" i="4" s="1"/>
  <c r="DM135" i="4"/>
  <c r="DN135" i="4" s="1"/>
  <c r="DM136" i="4"/>
  <c r="DN136" i="4" s="1"/>
  <c r="DM137" i="4"/>
  <c r="DN137" i="4" s="1"/>
  <c r="DM138" i="4"/>
  <c r="DN138" i="4" s="1"/>
  <c r="DM139" i="4"/>
  <c r="DN139" i="4" s="1"/>
  <c r="DM140" i="4"/>
  <c r="DN140" i="4" s="1"/>
  <c r="DM141" i="4"/>
  <c r="DN141" i="4" s="1"/>
  <c r="DM142" i="4"/>
  <c r="DN142" i="4" s="1"/>
  <c r="DM143" i="4"/>
  <c r="DN143" i="4" s="1"/>
  <c r="DM144" i="4"/>
  <c r="DN144" i="4" s="1"/>
  <c r="DM145" i="4"/>
  <c r="DN145" i="4" s="1"/>
  <c r="DM146" i="4"/>
  <c r="DN146" i="4" s="1"/>
  <c r="DM147" i="4"/>
  <c r="DN147" i="4" s="1"/>
  <c r="DM148" i="4"/>
  <c r="DN148" i="4" s="1"/>
  <c r="DM149" i="4"/>
  <c r="DN149" i="4" s="1"/>
  <c r="DM150" i="4"/>
  <c r="DN150" i="4" s="1"/>
  <c r="DM151" i="4"/>
  <c r="DN151" i="4" s="1"/>
  <c r="DM152" i="4"/>
  <c r="DN152" i="4" s="1"/>
  <c r="DM153" i="4"/>
  <c r="DN153" i="4" s="1"/>
  <c r="M40" i="7"/>
  <c r="C125" i="9" s="1"/>
  <c r="DM154" i="4"/>
  <c r="DN154" i="4" s="1"/>
  <c r="DM155" i="4"/>
  <c r="DN155" i="4" s="1"/>
  <c r="DM156" i="4"/>
  <c r="DN156" i="4" s="1"/>
  <c r="DM157" i="4"/>
  <c r="DN157" i="4" s="1"/>
  <c r="DM158" i="4"/>
  <c r="DN158" i="4" s="1"/>
  <c r="DM159" i="4"/>
  <c r="DN159" i="4" s="1"/>
  <c r="DM160" i="4"/>
  <c r="DN160" i="4" s="1"/>
  <c r="DM161" i="4"/>
  <c r="DN161" i="4" s="1"/>
  <c r="DM162" i="4"/>
  <c r="DN162" i="4" s="1"/>
  <c r="DM163" i="4"/>
  <c r="DN163" i="4" s="1"/>
  <c r="L40" i="7"/>
  <c r="B125" i="9" s="1"/>
  <c r="C44" i="5"/>
  <c r="B44" i="5"/>
  <c r="B60" i="4"/>
  <c r="J46" i="2"/>
  <c r="K43" i="5"/>
  <c r="G354" i="9" s="1"/>
  <c r="F354" i="9"/>
  <c r="N43" i="5"/>
  <c r="D513" i="9" s="1"/>
  <c r="C513" i="9"/>
  <c r="Q43" i="5"/>
  <c r="G513" i="9" s="1"/>
  <c r="F513" i="9"/>
  <c r="P136" i="4"/>
  <c r="N137" i="4"/>
  <c r="S139" i="4"/>
  <c r="Q140" i="4"/>
  <c r="M134" i="4"/>
  <c r="K135" i="4"/>
  <c r="E59" i="4"/>
  <c r="K41" i="7"/>
  <c r="C354" i="9"/>
  <c r="H43" i="5"/>
  <c r="D354" i="9" s="1"/>
  <c r="D41" i="5" l="1"/>
  <c r="D122" i="9" s="1"/>
  <c r="E41" i="5"/>
  <c r="E122" i="9" s="1"/>
  <c r="F56" i="4"/>
  <c r="O45" i="5"/>
  <c r="E515" i="9" s="1"/>
  <c r="P45" i="5"/>
  <c r="M45" i="5"/>
  <c r="I45" i="5"/>
  <c r="E356" i="9" s="1"/>
  <c r="F45" i="5"/>
  <c r="B356" i="9" s="1"/>
  <c r="L45" i="5"/>
  <c r="B515" i="9" s="1"/>
  <c r="J45" i="5"/>
  <c r="G45" i="5"/>
  <c r="DP60" i="4"/>
  <c r="DQ60" i="4" s="1"/>
  <c r="J60" i="4" s="1"/>
  <c r="DP61" i="4"/>
  <c r="DQ61" i="4" s="1"/>
  <c r="DP63" i="4"/>
  <c r="DQ63" i="4" s="1"/>
  <c r="DP65" i="4"/>
  <c r="DQ65" i="4" s="1"/>
  <c r="DP67" i="4"/>
  <c r="DQ67" i="4" s="1"/>
  <c r="DP69" i="4"/>
  <c r="DQ69" i="4" s="1"/>
  <c r="DP71" i="4"/>
  <c r="DQ71" i="4" s="1"/>
  <c r="DP73" i="4"/>
  <c r="DQ73" i="4" s="1"/>
  <c r="DP62" i="4"/>
  <c r="DQ62" i="4" s="1"/>
  <c r="DP64" i="4"/>
  <c r="DQ64" i="4" s="1"/>
  <c r="DP66" i="4"/>
  <c r="DQ66" i="4" s="1"/>
  <c r="DP70" i="4"/>
  <c r="DQ70" i="4" s="1"/>
  <c r="DP74" i="4"/>
  <c r="DQ74" i="4" s="1"/>
  <c r="DP76" i="4"/>
  <c r="DQ76" i="4" s="1"/>
  <c r="DP78" i="4"/>
  <c r="DQ78" i="4" s="1"/>
  <c r="DP80" i="4"/>
  <c r="DQ80" i="4" s="1"/>
  <c r="DP82" i="4"/>
  <c r="DQ82" i="4" s="1"/>
  <c r="DP84" i="4"/>
  <c r="DQ84" i="4" s="1"/>
  <c r="DP86" i="4"/>
  <c r="DQ86" i="4" s="1"/>
  <c r="DP88" i="4"/>
  <c r="DQ88" i="4" s="1"/>
  <c r="DP90" i="4"/>
  <c r="DQ90" i="4" s="1"/>
  <c r="DP68" i="4"/>
  <c r="DQ68" i="4" s="1"/>
  <c r="DP72" i="4"/>
  <c r="DQ72" i="4" s="1"/>
  <c r="DP75" i="4"/>
  <c r="DQ75" i="4" s="1"/>
  <c r="DP77" i="4"/>
  <c r="DQ77" i="4" s="1"/>
  <c r="DP79" i="4"/>
  <c r="DQ79" i="4" s="1"/>
  <c r="DP81" i="4"/>
  <c r="DQ81" i="4" s="1"/>
  <c r="DP83" i="4"/>
  <c r="DQ83" i="4" s="1"/>
  <c r="DP85" i="4"/>
  <c r="DQ85" i="4" s="1"/>
  <c r="DP89" i="4"/>
  <c r="DQ89" i="4" s="1"/>
  <c r="DP91" i="4"/>
  <c r="DQ91" i="4" s="1"/>
  <c r="DP93" i="4"/>
  <c r="DQ93" i="4" s="1"/>
  <c r="DP95" i="4"/>
  <c r="DQ95" i="4" s="1"/>
  <c r="DP97" i="4"/>
  <c r="DQ97" i="4" s="1"/>
  <c r="DP99" i="4"/>
  <c r="DQ99" i="4" s="1"/>
  <c r="DP101" i="4"/>
  <c r="DQ101" i="4" s="1"/>
  <c r="DP103" i="4"/>
  <c r="DQ103" i="4" s="1"/>
  <c r="DP87" i="4"/>
  <c r="DQ87" i="4" s="1"/>
  <c r="DP92" i="4"/>
  <c r="DQ92" i="4" s="1"/>
  <c r="DP94" i="4"/>
  <c r="DQ94" i="4" s="1"/>
  <c r="DP96" i="4"/>
  <c r="DQ96" i="4" s="1"/>
  <c r="DP98" i="4"/>
  <c r="DQ98" i="4" s="1"/>
  <c r="DP100" i="4"/>
  <c r="DQ100" i="4" s="1"/>
  <c r="DP102" i="4"/>
  <c r="DQ102" i="4" s="1"/>
  <c r="DP104" i="4"/>
  <c r="DQ104" i="4" s="1"/>
  <c r="DP105" i="4"/>
  <c r="DQ105" i="4" s="1"/>
  <c r="DP106" i="4"/>
  <c r="DQ106" i="4" s="1"/>
  <c r="DP107" i="4"/>
  <c r="DQ107" i="4" s="1"/>
  <c r="DP108" i="4"/>
  <c r="DQ108" i="4" s="1"/>
  <c r="DP109" i="4"/>
  <c r="DQ109" i="4" s="1"/>
  <c r="DP110" i="4"/>
  <c r="DQ110" i="4" s="1"/>
  <c r="DP111" i="4"/>
  <c r="DQ111" i="4" s="1"/>
  <c r="DP112" i="4"/>
  <c r="DQ112" i="4" s="1"/>
  <c r="DP113" i="4"/>
  <c r="DQ113" i="4" s="1"/>
  <c r="DP114" i="4"/>
  <c r="DQ114" i="4" s="1"/>
  <c r="DP115" i="4"/>
  <c r="DQ115" i="4" s="1"/>
  <c r="DP116" i="4"/>
  <c r="DQ116" i="4" s="1"/>
  <c r="DP117" i="4"/>
  <c r="DQ117" i="4" s="1"/>
  <c r="DP118" i="4"/>
  <c r="DQ118" i="4" s="1"/>
  <c r="DP119" i="4"/>
  <c r="DQ119" i="4" s="1"/>
  <c r="DP120" i="4"/>
  <c r="DQ120" i="4" s="1"/>
  <c r="DP121" i="4"/>
  <c r="DQ121" i="4" s="1"/>
  <c r="DP122" i="4"/>
  <c r="DQ122" i="4" s="1"/>
  <c r="DP123" i="4"/>
  <c r="DQ123" i="4" s="1"/>
  <c r="DP124" i="4"/>
  <c r="DQ124" i="4" s="1"/>
  <c r="DP125" i="4"/>
  <c r="DQ125" i="4" s="1"/>
  <c r="DP126" i="4"/>
  <c r="DQ126" i="4" s="1"/>
  <c r="DP127" i="4"/>
  <c r="DQ127" i="4" s="1"/>
  <c r="DP128" i="4"/>
  <c r="DQ128" i="4" s="1"/>
  <c r="DP129" i="4"/>
  <c r="DQ129" i="4" s="1"/>
  <c r="DP130" i="4"/>
  <c r="DQ130" i="4" s="1"/>
  <c r="DP131" i="4"/>
  <c r="DQ131" i="4" s="1"/>
  <c r="DP132" i="4"/>
  <c r="DQ132" i="4" s="1"/>
  <c r="DP133" i="4"/>
  <c r="DQ133" i="4" s="1"/>
  <c r="DP134" i="4"/>
  <c r="DQ134" i="4" s="1"/>
  <c r="DP135" i="4"/>
  <c r="DQ135" i="4" s="1"/>
  <c r="DP136" i="4"/>
  <c r="DQ136" i="4" s="1"/>
  <c r="DP137" i="4"/>
  <c r="DQ137" i="4" s="1"/>
  <c r="DP138" i="4"/>
  <c r="DQ138" i="4" s="1"/>
  <c r="DP139" i="4"/>
  <c r="DQ139" i="4" s="1"/>
  <c r="DP140" i="4"/>
  <c r="DQ140" i="4" s="1"/>
  <c r="DP141" i="4"/>
  <c r="DQ141" i="4" s="1"/>
  <c r="DP142" i="4"/>
  <c r="DQ142" i="4" s="1"/>
  <c r="DP143" i="4"/>
  <c r="DQ143" i="4" s="1"/>
  <c r="DP144" i="4"/>
  <c r="DQ144" i="4" s="1"/>
  <c r="DP145" i="4"/>
  <c r="DQ145" i="4" s="1"/>
  <c r="DP146" i="4"/>
  <c r="DQ146" i="4" s="1"/>
  <c r="DP147" i="4"/>
  <c r="DQ147" i="4" s="1"/>
  <c r="DP148" i="4"/>
  <c r="DQ148" i="4" s="1"/>
  <c r="DP149" i="4"/>
  <c r="DQ149" i="4" s="1"/>
  <c r="DP150" i="4"/>
  <c r="DQ150" i="4" s="1"/>
  <c r="DP151" i="4"/>
  <c r="DQ151" i="4" s="1"/>
  <c r="DP152" i="4"/>
  <c r="DQ152" i="4" s="1"/>
  <c r="DP153" i="4"/>
  <c r="DQ153" i="4" s="1"/>
  <c r="M41" i="7"/>
  <c r="C126" i="9" s="1"/>
  <c r="DP154" i="4"/>
  <c r="DQ154" i="4" s="1"/>
  <c r="DP155" i="4"/>
  <c r="DQ155" i="4" s="1"/>
  <c r="DP156" i="4"/>
  <c r="DQ156" i="4" s="1"/>
  <c r="DP157" i="4"/>
  <c r="DQ157" i="4" s="1"/>
  <c r="DP158" i="4"/>
  <c r="DQ158" i="4" s="1"/>
  <c r="DP159" i="4"/>
  <c r="DQ159" i="4" s="1"/>
  <c r="DP160" i="4"/>
  <c r="DQ160" i="4" s="1"/>
  <c r="DP161" i="4"/>
  <c r="DQ161" i="4" s="1"/>
  <c r="DP162" i="4"/>
  <c r="DQ162" i="4" s="1"/>
  <c r="DP163" i="4"/>
  <c r="DQ163" i="4" s="1"/>
  <c r="L41" i="7"/>
  <c r="B126" i="9" s="1"/>
  <c r="C45" i="5"/>
  <c r="B45" i="5"/>
  <c r="M135" i="4"/>
  <c r="K136" i="4"/>
  <c r="S140" i="4"/>
  <c r="Q141" i="4"/>
  <c r="P137" i="4"/>
  <c r="N138" i="4"/>
  <c r="B61" i="4"/>
  <c r="J47" i="2"/>
  <c r="H44" i="5"/>
  <c r="D355" i="9" s="1"/>
  <c r="C355" i="9"/>
  <c r="Q44" i="5"/>
  <c r="G514" i="9" s="1"/>
  <c r="F514" i="9"/>
  <c r="E60" i="4"/>
  <c r="K42" i="7"/>
  <c r="C514" i="9"/>
  <c r="N44" i="5"/>
  <c r="D514" i="9" s="1"/>
  <c r="K44" i="5"/>
  <c r="G355" i="9" s="1"/>
  <c r="F355" i="9"/>
  <c r="D42" i="5" l="1"/>
  <c r="D123" i="9" s="1"/>
  <c r="F57" i="4"/>
  <c r="E42" i="5"/>
  <c r="E123" i="9" s="1"/>
  <c r="O46" i="5"/>
  <c r="E516" i="9" s="1"/>
  <c r="P46" i="5"/>
  <c r="L46" i="5"/>
  <c r="B516" i="9" s="1"/>
  <c r="J46" i="5"/>
  <c r="G46" i="5"/>
  <c r="M46" i="5"/>
  <c r="I46" i="5"/>
  <c r="E357" i="9" s="1"/>
  <c r="F46" i="5"/>
  <c r="B357" i="9" s="1"/>
  <c r="DS61" i="4"/>
  <c r="DT61" i="4" s="1"/>
  <c r="J61" i="4" s="1"/>
  <c r="DS62" i="4"/>
  <c r="DT62" i="4" s="1"/>
  <c r="DS63" i="4"/>
  <c r="DT63" i="4" s="1"/>
  <c r="DS65" i="4"/>
  <c r="DT65" i="4" s="1"/>
  <c r="DS67" i="4"/>
  <c r="DT67" i="4" s="1"/>
  <c r="DS69" i="4"/>
  <c r="DT69" i="4" s="1"/>
  <c r="DS71" i="4"/>
  <c r="DT71" i="4" s="1"/>
  <c r="DS73" i="4"/>
  <c r="DT73" i="4" s="1"/>
  <c r="DS64" i="4"/>
  <c r="DT64" i="4" s="1"/>
  <c r="DS66" i="4"/>
  <c r="DT66" i="4" s="1"/>
  <c r="DS68" i="4"/>
  <c r="DT68" i="4" s="1"/>
  <c r="DS72" i="4"/>
  <c r="DT72" i="4" s="1"/>
  <c r="DS76" i="4"/>
  <c r="DT76" i="4" s="1"/>
  <c r="DS78" i="4"/>
  <c r="DT78" i="4" s="1"/>
  <c r="DS80" i="4"/>
  <c r="DT80" i="4" s="1"/>
  <c r="DS82" i="4"/>
  <c r="DT82" i="4" s="1"/>
  <c r="DS84" i="4"/>
  <c r="DT84" i="4" s="1"/>
  <c r="DS86" i="4"/>
  <c r="DT86" i="4" s="1"/>
  <c r="DS88" i="4"/>
  <c r="DT88" i="4" s="1"/>
  <c r="DS90" i="4"/>
  <c r="DT90" i="4" s="1"/>
  <c r="DS70" i="4"/>
  <c r="DT70" i="4" s="1"/>
  <c r="DS74" i="4"/>
  <c r="DT74" i="4" s="1"/>
  <c r="DS75" i="4"/>
  <c r="DT75" i="4" s="1"/>
  <c r="DS77" i="4"/>
  <c r="DT77" i="4" s="1"/>
  <c r="DS79" i="4"/>
  <c r="DT79" i="4" s="1"/>
  <c r="DS81" i="4"/>
  <c r="DT81" i="4" s="1"/>
  <c r="DS83" i="4"/>
  <c r="DT83" i="4" s="1"/>
  <c r="DS87" i="4"/>
  <c r="DT87" i="4" s="1"/>
  <c r="DS91" i="4"/>
  <c r="DT91" i="4" s="1"/>
  <c r="DS93" i="4"/>
  <c r="DT93" i="4" s="1"/>
  <c r="DS95" i="4"/>
  <c r="DT95" i="4" s="1"/>
  <c r="DS97" i="4"/>
  <c r="DT97" i="4" s="1"/>
  <c r="DS99" i="4"/>
  <c r="DT99" i="4" s="1"/>
  <c r="DS101" i="4"/>
  <c r="DT101" i="4" s="1"/>
  <c r="DS103" i="4"/>
  <c r="DT103" i="4" s="1"/>
  <c r="DS85" i="4"/>
  <c r="DT85" i="4" s="1"/>
  <c r="DS89" i="4"/>
  <c r="DT89" i="4" s="1"/>
  <c r="DS92" i="4"/>
  <c r="DT92" i="4" s="1"/>
  <c r="DS94" i="4"/>
  <c r="DT94" i="4" s="1"/>
  <c r="DS96" i="4"/>
  <c r="DT96" i="4" s="1"/>
  <c r="DS98" i="4"/>
  <c r="DT98" i="4" s="1"/>
  <c r="DS100" i="4"/>
  <c r="DT100" i="4" s="1"/>
  <c r="DS104" i="4"/>
  <c r="DT104" i="4" s="1"/>
  <c r="DS105" i="4"/>
  <c r="DT105" i="4" s="1"/>
  <c r="DS102" i="4"/>
  <c r="DT102" i="4" s="1"/>
  <c r="DS106" i="4"/>
  <c r="DT106" i="4" s="1"/>
  <c r="DS107" i="4"/>
  <c r="DT107" i="4" s="1"/>
  <c r="DS108" i="4"/>
  <c r="DT108" i="4" s="1"/>
  <c r="DS109" i="4"/>
  <c r="DT109" i="4" s="1"/>
  <c r="DS110" i="4"/>
  <c r="DT110" i="4" s="1"/>
  <c r="DS111" i="4"/>
  <c r="DT111" i="4" s="1"/>
  <c r="DS112" i="4"/>
  <c r="DT112" i="4" s="1"/>
  <c r="DS113" i="4"/>
  <c r="DT113" i="4" s="1"/>
  <c r="DS114" i="4"/>
  <c r="DT114" i="4" s="1"/>
  <c r="DS115" i="4"/>
  <c r="DT115" i="4" s="1"/>
  <c r="DS116" i="4"/>
  <c r="DT116" i="4" s="1"/>
  <c r="DS117" i="4"/>
  <c r="DT117" i="4" s="1"/>
  <c r="DS118" i="4"/>
  <c r="DT118" i="4" s="1"/>
  <c r="DS119" i="4"/>
  <c r="DT119" i="4" s="1"/>
  <c r="DS120" i="4"/>
  <c r="DT120" i="4" s="1"/>
  <c r="DS121" i="4"/>
  <c r="DT121" i="4" s="1"/>
  <c r="DS122" i="4"/>
  <c r="DT122" i="4" s="1"/>
  <c r="DS123" i="4"/>
  <c r="DT123" i="4" s="1"/>
  <c r="DS124" i="4"/>
  <c r="DT124" i="4" s="1"/>
  <c r="DS125" i="4"/>
  <c r="DT125" i="4" s="1"/>
  <c r="DS126" i="4"/>
  <c r="DT126" i="4" s="1"/>
  <c r="DS127" i="4"/>
  <c r="DT127" i="4" s="1"/>
  <c r="DS128" i="4"/>
  <c r="DT128" i="4" s="1"/>
  <c r="DS129" i="4"/>
  <c r="DT129" i="4" s="1"/>
  <c r="DS130" i="4"/>
  <c r="DT130" i="4" s="1"/>
  <c r="DS131" i="4"/>
  <c r="DT131" i="4" s="1"/>
  <c r="DS132" i="4"/>
  <c r="DT132" i="4" s="1"/>
  <c r="DS133" i="4"/>
  <c r="DT133" i="4" s="1"/>
  <c r="DS134" i="4"/>
  <c r="DT134" i="4" s="1"/>
  <c r="DS135" i="4"/>
  <c r="DT135" i="4" s="1"/>
  <c r="DS136" i="4"/>
  <c r="DT136" i="4" s="1"/>
  <c r="DS137" i="4"/>
  <c r="DT137" i="4" s="1"/>
  <c r="DS138" i="4"/>
  <c r="DT138" i="4" s="1"/>
  <c r="DS139" i="4"/>
  <c r="DT139" i="4" s="1"/>
  <c r="DS140" i="4"/>
  <c r="DT140" i="4" s="1"/>
  <c r="DS141" i="4"/>
  <c r="DT141" i="4" s="1"/>
  <c r="DS142" i="4"/>
  <c r="DT142" i="4" s="1"/>
  <c r="DS143" i="4"/>
  <c r="DT143" i="4" s="1"/>
  <c r="DS144" i="4"/>
  <c r="DT144" i="4" s="1"/>
  <c r="DS145" i="4"/>
  <c r="DT145" i="4" s="1"/>
  <c r="DS146" i="4"/>
  <c r="DT146" i="4" s="1"/>
  <c r="DS147" i="4"/>
  <c r="DT147" i="4" s="1"/>
  <c r="DS148" i="4"/>
  <c r="DT148" i="4" s="1"/>
  <c r="DS149" i="4"/>
  <c r="DT149" i="4" s="1"/>
  <c r="DS150" i="4"/>
  <c r="DT150" i="4" s="1"/>
  <c r="DS151" i="4"/>
  <c r="DT151" i="4" s="1"/>
  <c r="DS152" i="4"/>
  <c r="DT152" i="4" s="1"/>
  <c r="DS153" i="4"/>
  <c r="DT153" i="4" s="1"/>
  <c r="M42" i="7"/>
  <c r="C127" i="9" s="1"/>
  <c r="DS154" i="4"/>
  <c r="DT154" i="4" s="1"/>
  <c r="DS155" i="4"/>
  <c r="DT155" i="4" s="1"/>
  <c r="DS156" i="4"/>
  <c r="DT156" i="4" s="1"/>
  <c r="DS157" i="4"/>
  <c r="DT157" i="4" s="1"/>
  <c r="DS158" i="4"/>
  <c r="DT158" i="4" s="1"/>
  <c r="DS159" i="4"/>
  <c r="DT159" i="4" s="1"/>
  <c r="DS160" i="4"/>
  <c r="DT160" i="4" s="1"/>
  <c r="DS161" i="4"/>
  <c r="DT161" i="4" s="1"/>
  <c r="DS162" i="4"/>
  <c r="DT162" i="4" s="1"/>
  <c r="DS163" i="4"/>
  <c r="DT163" i="4" s="1"/>
  <c r="L42" i="7"/>
  <c r="B127" i="9" s="1"/>
  <c r="C46" i="5"/>
  <c r="B46" i="5"/>
  <c r="B62" i="4"/>
  <c r="J48" i="2"/>
  <c r="P138" i="4"/>
  <c r="N139" i="4"/>
  <c r="S141" i="4"/>
  <c r="Q142" i="4"/>
  <c r="M136" i="4"/>
  <c r="K137" i="4"/>
  <c r="K45" i="5"/>
  <c r="G356" i="9" s="1"/>
  <c r="F356" i="9"/>
  <c r="N45" i="5"/>
  <c r="D515" i="9" s="1"/>
  <c r="C515" i="9"/>
  <c r="E61" i="4"/>
  <c r="K43" i="7"/>
  <c r="C356" i="9"/>
  <c r="H45" i="5"/>
  <c r="D356" i="9" s="1"/>
  <c r="Q45" i="5"/>
  <c r="G515" i="9" s="1"/>
  <c r="F515" i="9"/>
  <c r="D43" i="5" l="1"/>
  <c r="D124" i="9" s="1"/>
  <c r="F58" i="4"/>
  <c r="E43" i="5"/>
  <c r="E124" i="9" s="1"/>
  <c r="P47" i="5"/>
  <c r="O47" i="5"/>
  <c r="E517" i="9" s="1"/>
  <c r="M47" i="5"/>
  <c r="I47" i="5"/>
  <c r="E358" i="9" s="1"/>
  <c r="F47" i="5"/>
  <c r="B358" i="9" s="1"/>
  <c r="L47" i="5"/>
  <c r="B517" i="9" s="1"/>
  <c r="J47" i="5"/>
  <c r="G47" i="5"/>
  <c r="M137" i="4"/>
  <c r="K138" i="4"/>
  <c r="S142" i="4"/>
  <c r="Q143" i="4"/>
  <c r="P139" i="4"/>
  <c r="N140" i="4"/>
  <c r="B63" i="4"/>
  <c r="J49" i="2"/>
  <c r="C516" i="9"/>
  <c r="N46" i="5"/>
  <c r="D516" i="9" s="1"/>
  <c r="K46" i="5"/>
  <c r="G357" i="9" s="1"/>
  <c r="F357" i="9"/>
  <c r="Q46" i="5"/>
  <c r="G516" i="9" s="1"/>
  <c r="F516" i="9"/>
  <c r="DV62" i="4"/>
  <c r="DW62" i="4" s="1"/>
  <c r="J62" i="4" s="1"/>
  <c r="DV63" i="4"/>
  <c r="DW63" i="4" s="1"/>
  <c r="DV65" i="4"/>
  <c r="DW65" i="4" s="1"/>
  <c r="DV67" i="4"/>
  <c r="DW67" i="4" s="1"/>
  <c r="DV69" i="4"/>
  <c r="DW69" i="4" s="1"/>
  <c r="DV71" i="4"/>
  <c r="DW71" i="4" s="1"/>
  <c r="DV73" i="4"/>
  <c r="DW73" i="4" s="1"/>
  <c r="DV64" i="4"/>
  <c r="DW64" i="4" s="1"/>
  <c r="DV66" i="4"/>
  <c r="DW66" i="4" s="1"/>
  <c r="DV70" i="4"/>
  <c r="DW70" i="4" s="1"/>
  <c r="DV74" i="4"/>
  <c r="DW74" i="4" s="1"/>
  <c r="DV76" i="4"/>
  <c r="DW76" i="4" s="1"/>
  <c r="DV78" i="4"/>
  <c r="DW78" i="4" s="1"/>
  <c r="DV80" i="4"/>
  <c r="DW80" i="4" s="1"/>
  <c r="DV82" i="4"/>
  <c r="DW82" i="4" s="1"/>
  <c r="DV84" i="4"/>
  <c r="DW84" i="4" s="1"/>
  <c r="DV86" i="4"/>
  <c r="DW86" i="4" s="1"/>
  <c r="DV88" i="4"/>
  <c r="DW88" i="4" s="1"/>
  <c r="DV90" i="4"/>
  <c r="DW90" i="4" s="1"/>
  <c r="DV68" i="4"/>
  <c r="DW68" i="4" s="1"/>
  <c r="DV72" i="4"/>
  <c r="DW72" i="4" s="1"/>
  <c r="DV75" i="4"/>
  <c r="DW75" i="4" s="1"/>
  <c r="DV77" i="4"/>
  <c r="DW77" i="4" s="1"/>
  <c r="DV79" i="4"/>
  <c r="DW79" i="4" s="1"/>
  <c r="DV81" i="4"/>
  <c r="DW81" i="4" s="1"/>
  <c r="DV83" i="4"/>
  <c r="DW83" i="4" s="1"/>
  <c r="DV85" i="4"/>
  <c r="DW85" i="4" s="1"/>
  <c r="DV89" i="4"/>
  <c r="DW89" i="4" s="1"/>
  <c r="DV91" i="4"/>
  <c r="DW91" i="4" s="1"/>
  <c r="DV93" i="4"/>
  <c r="DW93" i="4" s="1"/>
  <c r="DV95" i="4"/>
  <c r="DW95" i="4" s="1"/>
  <c r="DV97" i="4"/>
  <c r="DW97" i="4" s="1"/>
  <c r="DV99" i="4"/>
  <c r="DW99" i="4" s="1"/>
  <c r="DV101" i="4"/>
  <c r="DW101" i="4" s="1"/>
  <c r="DV103" i="4"/>
  <c r="DW103" i="4" s="1"/>
  <c r="DV87" i="4"/>
  <c r="DW87" i="4" s="1"/>
  <c r="DV92" i="4"/>
  <c r="DW92" i="4" s="1"/>
  <c r="DV94" i="4"/>
  <c r="DW94" i="4" s="1"/>
  <c r="DV96" i="4"/>
  <c r="DW96" i="4" s="1"/>
  <c r="DV98" i="4"/>
  <c r="DW98" i="4" s="1"/>
  <c r="DV100" i="4"/>
  <c r="DW100" i="4" s="1"/>
  <c r="DV102" i="4"/>
  <c r="DW102" i="4" s="1"/>
  <c r="DV104" i="4"/>
  <c r="DW104" i="4" s="1"/>
  <c r="DV105" i="4"/>
  <c r="DW105" i="4" s="1"/>
  <c r="DV106" i="4"/>
  <c r="DW106" i="4" s="1"/>
  <c r="DV107" i="4"/>
  <c r="DW107" i="4" s="1"/>
  <c r="DV108" i="4"/>
  <c r="DW108" i="4" s="1"/>
  <c r="DV109" i="4"/>
  <c r="DW109" i="4" s="1"/>
  <c r="DV110" i="4"/>
  <c r="DW110" i="4" s="1"/>
  <c r="DV111" i="4"/>
  <c r="DW111" i="4" s="1"/>
  <c r="DV112" i="4"/>
  <c r="DW112" i="4" s="1"/>
  <c r="DV113" i="4"/>
  <c r="DW113" i="4" s="1"/>
  <c r="DV114" i="4"/>
  <c r="DW114" i="4" s="1"/>
  <c r="DV115" i="4"/>
  <c r="DW115" i="4" s="1"/>
  <c r="DV116" i="4"/>
  <c r="DW116" i="4" s="1"/>
  <c r="DV117" i="4"/>
  <c r="DW117" i="4" s="1"/>
  <c r="DV118" i="4"/>
  <c r="DW118" i="4" s="1"/>
  <c r="DV119" i="4"/>
  <c r="DW119" i="4" s="1"/>
  <c r="DV120" i="4"/>
  <c r="DW120" i="4" s="1"/>
  <c r="DV121" i="4"/>
  <c r="DW121" i="4" s="1"/>
  <c r="DV122" i="4"/>
  <c r="DW122" i="4" s="1"/>
  <c r="DV123" i="4"/>
  <c r="DW123" i="4" s="1"/>
  <c r="DV124" i="4"/>
  <c r="DW124" i="4" s="1"/>
  <c r="DV125" i="4"/>
  <c r="DW125" i="4" s="1"/>
  <c r="DV126" i="4"/>
  <c r="DW126" i="4" s="1"/>
  <c r="DV127" i="4"/>
  <c r="DW127" i="4" s="1"/>
  <c r="DV128" i="4"/>
  <c r="DW128" i="4" s="1"/>
  <c r="DV129" i="4"/>
  <c r="DW129" i="4" s="1"/>
  <c r="DV130" i="4"/>
  <c r="DW130" i="4" s="1"/>
  <c r="DV131" i="4"/>
  <c r="DW131" i="4" s="1"/>
  <c r="DV132" i="4"/>
  <c r="DW132" i="4" s="1"/>
  <c r="DV133" i="4"/>
  <c r="DW133" i="4" s="1"/>
  <c r="DV134" i="4"/>
  <c r="DW134" i="4" s="1"/>
  <c r="DV135" i="4"/>
  <c r="DW135" i="4" s="1"/>
  <c r="DV136" i="4"/>
  <c r="DW136" i="4" s="1"/>
  <c r="DV137" i="4"/>
  <c r="DW137" i="4" s="1"/>
  <c r="DV138" i="4"/>
  <c r="DW138" i="4" s="1"/>
  <c r="DV139" i="4"/>
  <c r="DW139" i="4" s="1"/>
  <c r="DV140" i="4"/>
  <c r="DW140" i="4" s="1"/>
  <c r="DV141" i="4"/>
  <c r="DW141" i="4" s="1"/>
  <c r="DV142" i="4"/>
  <c r="DW142" i="4" s="1"/>
  <c r="DV143" i="4"/>
  <c r="DW143" i="4" s="1"/>
  <c r="DV144" i="4"/>
  <c r="DW144" i="4" s="1"/>
  <c r="DV145" i="4"/>
  <c r="DW145" i="4" s="1"/>
  <c r="DV146" i="4"/>
  <c r="DW146" i="4" s="1"/>
  <c r="DV147" i="4"/>
  <c r="DW147" i="4" s="1"/>
  <c r="DV148" i="4"/>
  <c r="DW148" i="4" s="1"/>
  <c r="DV149" i="4"/>
  <c r="DW149" i="4" s="1"/>
  <c r="DV150" i="4"/>
  <c r="DW150" i="4" s="1"/>
  <c r="DV151" i="4"/>
  <c r="DW151" i="4" s="1"/>
  <c r="DV152" i="4"/>
  <c r="DW152" i="4" s="1"/>
  <c r="DV153" i="4"/>
  <c r="DW153" i="4" s="1"/>
  <c r="M43" i="7"/>
  <c r="C128" i="9" s="1"/>
  <c r="DV154" i="4"/>
  <c r="DW154" i="4" s="1"/>
  <c r="DV155" i="4"/>
  <c r="DW155" i="4" s="1"/>
  <c r="DV156" i="4"/>
  <c r="DW156" i="4" s="1"/>
  <c r="DV157" i="4"/>
  <c r="DW157" i="4" s="1"/>
  <c r="DV158" i="4"/>
  <c r="DW158" i="4" s="1"/>
  <c r="DV159" i="4"/>
  <c r="DW159" i="4" s="1"/>
  <c r="DV160" i="4"/>
  <c r="DW160" i="4" s="1"/>
  <c r="DV161" i="4"/>
  <c r="DW161" i="4" s="1"/>
  <c r="DV162" i="4"/>
  <c r="DW162" i="4" s="1"/>
  <c r="DV163" i="4"/>
  <c r="DW163" i="4" s="1"/>
  <c r="L43" i="7"/>
  <c r="B128" i="9" s="1"/>
  <c r="C47" i="5"/>
  <c r="B47" i="5"/>
  <c r="E62" i="4"/>
  <c r="K44" i="7"/>
  <c r="H46" i="5"/>
  <c r="D357" i="9" s="1"/>
  <c r="C357" i="9"/>
  <c r="D44" i="5" l="1"/>
  <c r="D125" i="9" s="1"/>
  <c r="F59" i="4"/>
  <c r="E44" i="5"/>
  <c r="E125" i="9" s="1"/>
  <c r="O48" i="5"/>
  <c r="E518" i="9" s="1"/>
  <c r="P48" i="5"/>
  <c r="L48" i="5"/>
  <c r="B518" i="9" s="1"/>
  <c r="J48" i="5"/>
  <c r="G48" i="5"/>
  <c r="M48" i="5"/>
  <c r="I48" i="5"/>
  <c r="E359" i="9" s="1"/>
  <c r="F48" i="5"/>
  <c r="B359" i="9" s="1"/>
  <c r="E63" i="4"/>
  <c r="K45" i="7"/>
  <c r="K47" i="5"/>
  <c r="G358" i="9" s="1"/>
  <c r="F358" i="9"/>
  <c r="N47" i="5"/>
  <c r="D517" i="9" s="1"/>
  <c r="C517" i="9"/>
  <c r="Q47" i="5"/>
  <c r="G517" i="9" s="1"/>
  <c r="F517" i="9"/>
  <c r="DY65" i="4"/>
  <c r="DZ65" i="4" s="1"/>
  <c r="DY67" i="4"/>
  <c r="DZ67" i="4" s="1"/>
  <c r="DY69" i="4"/>
  <c r="DZ69" i="4" s="1"/>
  <c r="DY71" i="4"/>
  <c r="DZ71" i="4" s="1"/>
  <c r="DY73" i="4"/>
  <c r="DZ73" i="4" s="1"/>
  <c r="DY63" i="4"/>
  <c r="DZ63" i="4" s="1"/>
  <c r="J63" i="4" s="1"/>
  <c r="DY64" i="4"/>
  <c r="DZ64" i="4" s="1"/>
  <c r="DY66" i="4"/>
  <c r="DZ66" i="4" s="1"/>
  <c r="DY68" i="4"/>
  <c r="DZ68" i="4" s="1"/>
  <c r="DY72" i="4"/>
  <c r="DZ72" i="4" s="1"/>
  <c r="DY76" i="4"/>
  <c r="DZ76" i="4" s="1"/>
  <c r="DY78" i="4"/>
  <c r="DZ78" i="4" s="1"/>
  <c r="DY80" i="4"/>
  <c r="DZ80" i="4" s="1"/>
  <c r="DY82" i="4"/>
  <c r="DZ82" i="4" s="1"/>
  <c r="DY84" i="4"/>
  <c r="DZ84" i="4" s="1"/>
  <c r="DY86" i="4"/>
  <c r="DZ86" i="4" s="1"/>
  <c r="DY88" i="4"/>
  <c r="DZ88" i="4" s="1"/>
  <c r="DY90" i="4"/>
  <c r="DZ90" i="4" s="1"/>
  <c r="DY70" i="4"/>
  <c r="DZ70" i="4" s="1"/>
  <c r="DY74" i="4"/>
  <c r="DZ74" i="4" s="1"/>
  <c r="DY75" i="4"/>
  <c r="DZ75" i="4" s="1"/>
  <c r="DY77" i="4"/>
  <c r="DZ77" i="4" s="1"/>
  <c r="DY79" i="4"/>
  <c r="DZ79" i="4" s="1"/>
  <c r="DY81" i="4"/>
  <c r="DZ81" i="4" s="1"/>
  <c r="DY83" i="4"/>
  <c r="DZ83" i="4" s="1"/>
  <c r="DY87" i="4"/>
  <c r="DZ87" i="4" s="1"/>
  <c r="DY91" i="4"/>
  <c r="DZ91" i="4" s="1"/>
  <c r="DY93" i="4"/>
  <c r="DZ93" i="4" s="1"/>
  <c r="DY95" i="4"/>
  <c r="DZ95" i="4" s="1"/>
  <c r="DY97" i="4"/>
  <c r="DZ97" i="4" s="1"/>
  <c r="DY99" i="4"/>
  <c r="DZ99" i="4" s="1"/>
  <c r="DY101" i="4"/>
  <c r="DZ101" i="4" s="1"/>
  <c r="DY103" i="4"/>
  <c r="DZ103" i="4" s="1"/>
  <c r="DY85" i="4"/>
  <c r="DZ85" i="4" s="1"/>
  <c r="DY89" i="4"/>
  <c r="DZ89" i="4" s="1"/>
  <c r="DY92" i="4"/>
  <c r="DZ92" i="4" s="1"/>
  <c r="DY94" i="4"/>
  <c r="DZ94" i="4" s="1"/>
  <c r="DY96" i="4"/>
  <c r="DZ96" i="4" s="1"/>
  <c r="DY98" i="4"/>
  <c r="DZ98" i="4" s="1"/>
  <c r="DY100" i="4"/>
  <c r="DZ100" i="4" s="1"/>
  <c r="DY104" i="4"/>
  <c r="DZ104" i="4" s="1"/>
  <c r="DY105" i="4"/>
  <c r="DZ105" i="4" s="1"/>
  <c r="DY102" i="4"/>
  <c r="DZ102" i="4" s="1"/>
  <c r="DY106" i="4"/>
  <c r="DZ106" i="4" s="1"/>
  <c r="DY107" i="4"/>
  <c r="DZ107" i="4" s="1"/>
  <c r="DY108" i="4"/>
  <c r="DZ108" i="4" s="1"/>
  <c r="DY109" i="4"/>
  <c r="DZ109" i="4" s="1"/>
  <c r="DY110" i="4"/>
  <c r="DZ110" i="4" s="1"/>
  <c r="DY111" i="4"/>
  <c r="DZ111" i="4" s="1"/>
  <c r="DY112" i="4"/>
  <c r="DZ112" i="4" s="1"/>
  <c r="DY113" i="4"/>
  <c r="DZ113" i="4" s="1"/>
  <c r="DY114" i="4"/>
  <c r="DZ114" i="4" s="1"/>
  <c r="DY115" i="4"/>
  <c r="DZ115" i="4" s="1"/>
  <c r="DY116" i="4"/>
  <c r="DZ116" i="4" s="1"/>
  <c r="DY117" i="4"/>
  <c r="DZ117" i="4" s="1"/>
  <c r="DY118" i="4"/>
  <c r="DZ118" i="4" s="1"/>
  <c r="DY119" i="4"/>
  <c r="DZ119" i="4" s="1"/>
  <c r="DY120" i="4"/>
  <c r="DZ120" i="4" s="1"/>
  <c r="DY121" i="4"/>
  <c r="DZ121" i="4" s="1"/>
  <c r="DY122" i="4"/>
  <c r="DZ122" i="4" s="1"/>
  <c r="DY123" i="4"/>
  <c r="DZ123" i="4" s="1"/>
  <c r="DY124" i="4"/>
  <c r="DZ124" i="4" s="1"/>
  <c r="DY125" i="4"/>
  <c r="DZ125" i="4" s="1"/>
  <c r="DY126" i="4"/>
  <c r="DZ126" i="4" s="1"/>
  <c r="DY127" i="4"/>
  <c r="DZ127" i="4" s="1"/>
  <c r="DY128" i="4"/>
  <c r="DZ128" i="4" s="1"/>
  <c r="DY129" i="4"/>
  <c r="DZ129" i="4" s="1"/>
  <c r="DY130" i="4"/>
  <c r="DZ130" i="4" s="1"/>
  <c r="DY131" i="4"/>
  <c r="DZ131" i="4" s="1"/>
  <c r="DY132" i="4"/>
  <c r="DZ132" i="4" s="1"/>
  <c r="DY133" i="4"/>
  <c r="DZ133" i="4" s="1"/>
  <c r="DY134" i="4"/>
  <c r="DZ134" i="4" s="1"/>
  <c r="DY135" i="4"/>
  <c r="DZ135" i="4" s="1"/>
  <c r="DY136" i="4"/>
  <c r="DZ136" i="4" s="1"/>
  <c r="DY137" i="4"/>
  <c r="DZ137" i="4" s="1"/>
  <c r="DY138" i="4"/>
  <c r="DZ138" i="4" s="1"/>
  <c r="DY139" i="4"/>
  <c r="DZ139" i="4" s="1"/>
  <c r="DY140" i="4"/>
  <c r="DZ140" i="4" s="1"/>
  <c r="DY141" i="4"/>
  <c r="DZ141" i="4" s="1"/>
  <c r="DY142" i="4"/>
  <c r="DZ142" i="4" s="1"/>
  <c r="DY143" i="4"/>
  <c r="DZ143" i="4" s="1"/>
  <c r="DY144" i="4"/>
  <c r="DZ144" i="4" s="1"/>
  <c r="DY145" i="4"/>
  <c r="DZ145" i="4" s="1"/>
  <c r="DY146" i="4"/>
  <c r="DZ146" i="4" s="1"/>
  <c r="DY147" i="4"/>
  <c r="DZ147" i="4" s="1"/>
  <c r="DY148" i="4"/>
  <c r="DZ148" i="4" s="1"/>
  <c r="DY149" i="4"/>
  <c r="DZ149" i="4" s="1"/>
  <c r="DY150" i="4"/>
  <c r="DZ150" i="4" s="1"/>
  <c r="DY151" i="4"/>
  <c r="DZ151" i="4" s="1"/>
  <c r="DY152" i="4"/>
  <c r="DZ152" i="4" s="1"/>
  <c r="DY153" i="4"/>
  <c r="DZ153" i="4" s="1"/>
  <c r="M44" i="7"/>
  <c r="C129" i="9" s="1"/>
  <c r="DY154" i="4"/>
  <c r="DZ154" i="4" s="1"/>
  <c r="DY155" i="4"/>
  <c r="DZ155" i="4" s="1"/>
  <c r="DY156" i="4"/>
  <c r="DZ156" i="4" s="1"/>
  <c r="DY157" i="4"/>
  <c r="DZ157" i="4" s="1"/>
  <c r="DY158" i="4"/>
  <c r="DZ158" i="4" s="1"/>
  <c r="DY159" i="4"/>
  <c r="DZ159" i="4" s="1"/>
  <c r="DY160" i="4"/>
  <c r="DZ160" i="4" s="1"/>
  <c r="DY161" i="4"/>
  <c r="DZ161" i="4" s="1"/>
  <c r="DY162" i="4"/>
  <c r="DZ162" i="4" s="1"/>
  <c r="DY163" i="4"/>
  <c r="DZ163" i="4" s="1"/>
  <c r="L44" i="7"/>
  <c r="B129" i="9" s="1"/>
  <c r="C48" i="5"/>
  <c r="B48" i="5"/>
  <c r="B64" i="4"/>
  <c r="J50" i="2"/>
  <c r="P140" i="4"/>
  <c r="N141" i="4"/>
  <c r="S143" i="4"/>
  <c r="Q144" i="4"/>
  <c r="M138" i="4"/>
  <c r="K139" i="4"/>
  <c r="C358" i="9"/>
  <c r="H47" i="5"/>
  <c r="D358" i="9" s="1"/>
  <c r="E45" i="5" l="1"/>
  <c r="E126" i="9" s="1"/>
  <c r="F60" i="4"/>
  <c r="D45" i="5"/>
  <c r="D126" i="9" s="1"/>
  <c r="P49" i="5"/>
  <c r="O49" i="5"/>
  <c r="E519" i="9" s="1"/>
  <c r="M49" i="5"/>
  <c r="I49" i="5"/>
  <c r="E360" i="9" s="1"/>
  <c r="F49" i="5"/>
  <c r="B360" i="9" s="1"/>
  <c r="L49" i="5"/>
  <c r="B519" i="9" s="1"/>
  <c r="J49" i="5"/>
  <c r="G49" i="5"/>
  <c r="E64" i="4"/>
  <c r="K46" i="7"/>
  <c r="M139" i="4"/>
  <c r="K140" i="4"/>
  <c r="S144" i="4"/>
  <c r="Q145" i="4"/>
  <c r="P141" i="4"/>
  <c r="N142" i="4"/>
  <c r="B65" i="4"/>
  <c r="J51" i="2"/>
  <c r="EB64" i="4"/>
  <c r="EC64" i="4" s="1"/>
  <c r="J64" i="4" s="1"/>
  <c r="EB65" i="4"/>
  <c r="EC65" i="4" s="1"/>
  <c r="EB67" i="4"/>
  <c r="EC67" i="4" s="1"/>
  <c r="EB69" i="4"/>
  <c r="EC69" i="4" s="1"/>
  <c r="EB71" i="4"/>
  <c r="EC71" i="4" s="1"/>
  <c r="EB73" i="4"/>
  <c r="EC73" i="4" s="1"/>
  <c r="EB66" i="4"/>
  <c r="EC66" i="4" s="1"/>
  <c r="EB70" i="4"/>
  <c r="EC70" i="4" s="1"/>
  <c r="EB74" i="4"/>
  <c r="EC74" i="4" s="1"/>
  <c r="EB76" i="4"/>
  <c r="EC76" i="4" s="1"/>
  <c r="EB78" i="4"/>
  <c r="EC78" i="4" s="1"/>
  <c r="EB80" i="4"/>
  <c r="EC80" i="4" s="1"/>
  <c r="EB82" i="4"/>
  <c r="EC82" i="4" s="1"/>
  <c r="EB84" i="4"/>
  <c r="EC84" i="4" s="1"/>
  <c r="EB86" i="4"/>
  <c r="EC86" i="4" s="1"/>
  <c r="EB88" i="4"/>
  <c r="EC88" i="4" s="1"/>
  <c r="EB90" i="4"/>
  <c r="EC90" i="4" s="1"/>
  <c r="EB68" i="4"/>
  <c r="EC68" i="4" s="1"/>
  <c r="EB72" i="4"/>
  <c r="EC72" i="4" s="1"/>
  <c r="EB75" i="4"/>
  <c r="EC75" i="4" s="1"/>
  <c r="EB77" i="4"/>
  <c r="EC77" i="4" s="1"/>
  <c r="EB79" i="4"/>
  <c r="EC79" i="4" s="1"/>
  <c r="EB81" i="4"/>
  <c r="EC81" i="4" s="1"/>
  <c r="EB83" i="4"/>
  <c r="EC83" i="4" s="1"/>
  <c r="EB85" i="4"/>
  <c r="EC85" i="4" s="1"/>
  <c r="EB89" i="4"/>
  <c r="EC89" i="4" s="1"/>
  <c r="EB91" i="4"/>
  <c r="EC91" i="4" s="1"/>
  <c r="EB93" i="4"/>
  <c r="EC93" i="4" s="1"/>
  <c r="EB95" i="4"/>
  <c r="EC95" i="4" s="1"/>
  <c r="EB97" i="4"/>
  <c r="EC97" i="4" s="1"/>
  <c r="EB99" i="4"/>
  <c r="EC99" i="4" s="1"/>
  <c r="EB101" i="4"/>
  <c r="EC101" i="4" s="1"/>
  <c r="EB103" i="4"/>
  <c r="EC103" i="4" s="1"/>
  <c r="EB87" i="4"/>
  <c r="EC87" i="4" s="1"/>
  <c r="EB92" i="4"/>
  <c r="EC92" i="4" s="1"/>
  <c r="EB94" i="4"/>
  <c r="EC94" i="4" s="1"/>
  <c r="EB96" i="4"/>
  <c r="EC96" i="4" s="1"/>
  <c r="EB98" i="4"/>
  <c r="EC98" i="4" s="1"/>
  <c r="EB100" i="4"/>
  <c r="EC100" i="4" s="1"/>
  <c r="EB102" i="4"/>
  <c r="EC102" i="4" s="1"/>
  <c r="EB104" i="4"/>
  <c r="EC104" i="4" s="1"/>
  <c r="EB105" i="4"/>
  <c r="EC105" i="4" s="1"/>
  <c r="EB106" i="4"/>
  <c r="EC106" i="4" s="1"/>
  <c r="EB107" i="4"/>
  <c r="EC107" i="4" s="1"/>
  <c r="EB108" i="4"/>
  <c r="EC108" i="4" s="1"/>
  <c r="EB109" i="4"/>
  <c r="EC109" i="4" s="1"/>
  <c r="EB110" i="4"/>
  <c r="EC110" i="4" s="1"/>
  <c r="EB111" i="4"/>
  <c r="EC111" i="4" s="1"/>
  <c r="EB112" i="4"/>
  <c r="EC112" i="4" s="1"/>
  <c r="EB113" i="4"/>
  <c r="EC113" i="4" s="1"/>
  <c r="EB114" i="4"/>
  <c r="EC114" i="4" s="1"/>
  <c r="EB115" i="4"/>
  <c r="EC115" i="4" s="1"/>
  <c r="EB116" i="4"/>
  <c r="EC116" i="4" s="1"/>
  <c r="EB117" i="4"/>
  <c r="EC117" i="4" s="1"/>
  <c r="EB118" i="4"/>
  <c r="EC118" i="4" s="1"/>
  <c r="EB119" i="4"/>
  <c r="EC119" i="4" s="1"/>
  <c r="EB120" i="4"/>
  <c r="EC120" i="4" s="1"/>
  <c r="EB121" i="4"/>
  <c r="EC121" i="4" s="1"/>
  <c r="EB122" i="4"/>
  <c r="EC122" i="4" s="1"/>
  <c r="EB123" i="4"/>
  <c r="EC123" i="4" s="1"/>
  <c r="EB124" i="4"/>
  <c r="EC124" i="4" s="1"/>
  <c r="EB125" i="4"/>
  <c r="EC125" i="4" s="1"/>
  <c r="EB126" i="4"/>
  <c r="EC126" i="4" s="1"/>
  <c r="EB127" i="4"/>
  <c r="EC127" i="4" s="1"/>
  <c r="EB128" i="4"/>
  <c r="EC128" i="4" s="1"/>
  <c r="EB129" i="4"/>
  <c r="EC129" i="4" s="1"/>
  <c r="EB130" i="4"/>
  <c r="EC130" i="4" s="1"/>
  <c r="EB131" i="4"/>
  <c r="EC131" i="4" s="1"/>
  <c r="EB132" i="4"/>
  <c r="EC132" i="4" s="1"/>
  <c r="EB133" i="4"/>
  <c r="EC133" i="4" s="1"/>
  <c r="EB134" i="4"/>
  <c r="EC134" i="4" s="1"/>
  <c r="EB135" i="4"/>
  <c r="EC135" i="4" s="1"/>
  <c r="EB136" i="4"/>
  <c r="EC136" i="4" s="1"/>
  <c r="EB137" i="4"/>
  <c r="EC137" i="4" s="1"/>
  <c r="EB138" i="4"/>
  <c r="EC138" i="4" s="1"/>
  <c r="EB139" i="4"/>
  <c r="EC139" i="4" s="1"/>
  <c r="EB140" i="4"/>
  <c r="EC140" i="4" s="1"/>
  <c r="EB141" i="4"/>
  <c r="EC141" i="4" s="1"/>
  <c r="EB142" i="4"/>
  <c r="EC142" i="4" s="1"/>
  <c r="EB143" i="4"/>
  <c r="EC143" i="4" s="1"/>
  <c r="EB144" i="4"/>
  <c r="EC144" i="4" s="1"/>
  <c r="EB145" i="4"/>
  <c r="EC145" i="4" s="1"/>
  <c r="EB146" i="4"/>
  <c r="EC146" i="4" s="1"/>
  <c r="EB147" i="4"/>
  <c r="EC147" i="4" s="1"/>
  <c r="EB148" i="4"/>
  <c r="EC148" i="4" s="1"/>
  <c r="EB149" i="4"/>
  <c r="EC149" i="4" s="1"/>
  <c r="EB150" i="4"/>
  <c r="EC150" i="4" s="1"/>
  <c r="EB151" i="4"/>
  <c r="EC151" i="4" s="1"/>
  <c r="EB152" i="4"/>
  <c r="EC152" i="4" s="1"/>
  <c r="EB153" i="4"/>
  <c r="EC153" i="4" s="1"/>
  <c r="M45" i="7"/>
  <c r="C135" i="9" s="1"/>
  <c r="EB154" i="4"/>
  <c r="EC154" i="4" s="1"/>
  <c r="EB155" i="4"/>
  <c r="EC155" i="4" s="1"/>
  <c r="EB156" i="4"/>
  <c r="EC156" i="4" s="1"/>
  <c r="EB157" i="4"/>
  <c r="EC157" i="4" s="1"/>
  <c r="EB158" i="4"/>
  <c r="EC158" i="4" s="1"/>
  <c r="EB159" i="4"/>
  <c r="EC159" i="4" s="1"/>
  <c r="EB160" i="4"/>
  <c r="EC160" i="4" s="1"/>
  <c r="EB161" i="4"/>
  <c r="EC161" i="4" s="1"/>
  <c r="EB162" i="4"/>
  <c r="EC162" i="4" s="1"/>
  <c r="EB163" i="4"/>
  <c r="EC163" i="4" s="1"/>
  <c r="L45" i="7"/>
  <c r="B135" i="9" s="1"/>
  <c r="C49" i="5"/>
  <c r="B49" i="5"/>
  <c r="C518" i="9"/>
  <c r="N48" i="5"/>
  <c r="D518" i="9" s="1"/>
  <c r="K48" i="5"/>
  <c r="G359" i="9" s="1"/>
  <c r="F359" i="9"/>
  <c r="Q48" i="5"/>
  <c r="G518" i="9" s="1"/>
  <c r="F518" i="9"/>
  <c r="H48" i="5"/>
  <c r="D359" i="9" s="1"/>
  <c r="C359" i="9"/>
  <c r="F61" i="4" l="1"/>
  <c r="D46" i="5"/>
  <c r="D127" i="9" s="1"/>
  <c r="E46" i="5"/>
  <c r="E127" i="9" s="1"/>
  <c r="O50" i="5"/>
  <c r="E520" i="9" s="1"/>
  <c r="P50" i="5"/>
  <c r="L50" i="5"/>
  <c r="B520" i="9" s="1"/>
  <c r="J50" i="5"/>
  <c r="G50" i="5"/>
  <c r="M50" i="5"/>
  <c r="I50" i="5"/>
  <c r="E361" i="9" s="1"/>
  <c r="F50" i="5"/>
  <c r="B361" i="9" s="1"/>
  <c r="E65" i="4"/>
  <c r="K47" i="7"/>
  <c r="K49" i="5"/>
  <c r="G360" i="9" s="1"/>
  <c r="F360" i="9"/>
  <c r="N49" i="5"/>
  <c r="D519" i="9" s="1"/>
  <c r="C519" i="9"/>
  <c r="Q49" i="5"/>
  <c r="G519" i="9" s="1"/>
  <c r="F519" i="9"/>
  <c r="B66" i="4"/>
  <c r="J52" i="2"/>
  <c r="P142" i="4"/>
  <c r="N143" i="4"/>
  <c r="S145" i="4"/>
  <c r="Q146" i="4"/>
  <c r="M140" i="4"/>
  <c r="K141" i="4"/>
  <c r="EE67" i="4"/>
  <c r="EF67" i="4" s="1"/>
  <c r="EE69" i="4"/>
  <c r="EF69" i="4" s="1"/>
  <c r="EE71" i="4"/>
  <c r="EF71" i="4" s="1"/>
  <c r="EE73" i="4"/>
  <c r="EF73" i="4" s="1"/>
  <c r="EE65" i="4"/>
  <c r="EF65" i="4" s="1"/>
  <c r="J65" i="4" s="1"/>
  <c r="EE66" i="4"/>
  <c r="EF66" i="4" s="1"/>
  <c r="EE68" i="4"/>
  <c r="EF68" i="4" s="1"/>
  <c r="EE72" i="4"/>
  <c r="EF72" i="4" s="1"/>
  <c r="EE76" i="4"/>
  <c r="EF76" i="4" s="1"/>
  <c r="EE78" i="4"/>
  <c r="EF78" i="4" s="1"/>
  <c r="EE80" i="4"/>
  <c r="EF80" i="4" s="1"/>
  <c r="EE82" i="4"/>
  <c r="EF82" i="4" s="1"/>
  <c r="EE84" i="4"/>
  <c r="EF84" i="4" s="1"/>
  <c r="EE86" i="4"/>
  <c r="EF86" i="4" s="1"/>
  <c r="EE88" i="4"/>
  <c r="EF88" i="4" s="1"/>
  <c r="EE90" i="4"/>
  <c r="EF90" i="4" s="1"/>
  <c r="EE70" i="4"/>
  <c r="EF70" i="4" s="1"/>
  <c r="EE74" i="4"/>
  <c r="EF74" i="4" s="1"/>
  <c r="EE75" i="4"/>
  <c r="EF75" i="4" s="1"/>
  <c r="EE77" i="4"/>
  <c r="EF77" i="4" s="1"/>
  <c r="EE79" i="4"/>
  <c r="EF79" i="4" s="1"/>
  <c r="EE81" i="4"/>
  <c r="EF81" i="4" s="1"/>
  <c r="EE83" i="4"/>
  <c r="EF83" i="4" s="1"/>
  <c r="EE87" i="4"/>
  <c r="EF87" i="4" s="1"/>
  <c r="EE91" i="4"/>
  <c r="EF91" i="4" s="1"/>
  <c r="EE93" i="4"/>
  <c r="EF93" i="4" s="1"/>
  <c r="EE95" i="4"/>
  <c r="EF95" i="4" s="1"/>
  <c r="EE97" i="4"/>
  <c r="EF97" i="4" s="1"/>
  <c r="EE99" i="4"/>
  <c r="EF99" i="4" s="1"/>
  <c r="EE101" i="4"/>
  <c r="EF101" i="4" s="1"/>
  <c r="EE103" i="4"/>
  <c r="EF103" i="4" s="1"/>
  <c r="EE85" i="4"/>
  <c r="EF85" i="4" s="1"/>
  <c r="EE89" i="4"/>
  <c r="EF89" i="4" s="1"/>
  <c r="EE92" i="4"/>
  <c r="EF92" i="4" s="1"/>
  <c r="EE94" i="4"/>
  <c r="EF94" i="4" s="1"/>
  <c r="EE96" i="4"/>
  <c r="EF96" i="4" s="1"/>
  <c r="EE98" i="4"/>
  <c r="EF98" i="4" s="1"/>
  <c r="EE100" i="4"/>
  <c r="EF100" i="4" s="1"/>
  <c r="EE104" i="4"/>
  <c r="EF104" i="4" s="1"/>
  <c r="EE105" i="4"/>
  <c r="EF105" i="4" s="1"/>
  <c r="EE102" i="4"/>
  <c r="EF102" i="4" s="1"/>
  <c r="EE106" i="4"/>
  <c r="EF106" i="4" s="1"/>
  <c r="EE107" i="4"/>
  <c r="EF107" i="4" s="1"/>
  <c r="EE108" i="4"/>
  <c r="EF108" i="4" s="1"/>
  <c r="EE109" i="4"/>
  <c r="EF109" i="4" s="1"/>
  <c r="EE110" i="4"/>
  <c r="EF110" i="4" s="1"/>
  <c r="EE111" i="4"/>
  <c r="EF111" i="4" s="1"/>
  <c r="EE112" i="4"/>
  <c r="EF112" i="4" s="1"/>
  <c r="EE113" i="4"/>
  <c r="EF113" i="4" s="1"/>
  <c r="EE114" i="4"/>
  <c r="EF114" i="4" s="1"/>
  <c r="EE115" i="4"/>
  <c r="EF115" i="4" s="1"/>
  <c r="EE116" i="4"/>
  <c r="EF116" i="4" s="1"/>
  <c r="EE117" i="4"/>
  <c r="EF117" i="4" s="1"/>
  <c r="EE118" i="4"/>
  <c r="EF118" i="4" s="1"/>
  <c r="EE119" i="4"/>
  <c r="EF119" i="4" s="1"/>
  <c r="EE120" i="4"/>
  <c r="EF120" i="4" s="1"/>
  <c r="EE121" i="4"/>
  <c r="EF121" i="4" s="1"/>
  <c r="EE122" i="4"/>
  <c r="EF122" i="4" s="1"/>
  <c r="EE123" i="4"/>
  <c r="EF123" i="4" s="1"/>
  <c r="EE124" i="4"/>
  <c r="EF124" i="4" s="1"/>
  <c r="EE125" i="4"/>
  <c r="EF125" i="4" s="1"/>
  <c r="EE126" i="4"/>
  <c r="EF126" i="4" s="1"/>
  <c r="EE127" i="4"/>
  <c r="EF127" i="4" s="1"/>
  <c r="EE128" i="4"/>
  <c r="EF128" i="4" s="1"/>
  <c r="EE129" i="4"/>
  <c r="EF129" i="4" s="1"/>
  <c r="EE130" i="4"/>
  <c r="EF130" i="4" s="1"/>
  <c r="EE131" i="4"/>
  <c r="EF131" i="4" s="1"/>
  <c r="EE132" i="4"/>
  <c r="EF132" i="4" s="1"/>
  <c r="EE133" i="4"/>
  <c r="EF133" i="4" s="1"/>
  <c r="EE134" i="4"/>
  <c r="EF134" i="4" s="1"/>
  <c r="EE135" i="4"/>
  <c r="EF135" i="4" s="1"/>
  <c r="EE136" i="4"/>
  <c r="EF136" i="4" s="1"/>
  <c r="EE137" i="4"/>
  <c r="EF137" i="4" s="1"/>
  <c r="EE138" i="4"/>
  <c r="EF138" i="4" s="1"/>
  <c r="EE139" i="4"/>
  <c r="EF139" i="4" s="1"/>
  <c r="EE140" i="4"/>
  <c r="EF140" i="4" s="1"/>
  <c r="EE141" i="4"/>
  <c r="EF141" i="4" s="1"/>
  <c r="EE142" i="4"/>
  <c r="EF142" i="4" s="1"/>
  <c r="EE143" i="4"/>
  <c r="EF143" i="4" s="1"/>
  <c r="EE144" i="4"/>
  <c r="EF144" i="4" s="1"/>
  <c r="EE145" i="4"/>
  <c r="EF145" i="4" s="1"/>
  <c r="EE146" i="4"/>
  <c r="EF146" i="4" s="1"/>
  <c r="EE147" i="4"/>
  <c r="EF147" i="4" s="1"/>
  <c r="EE148" i="4"/>
  <c r="EF148" i="4" s="1"/>
  <c r="EE149" i="4"/>
  <c r="EF149" i="4" s="1"/>
  <c r="EE150" i="4"/>
  <c r="EF150" i="4" s="1"/>
  <c r="EE151" i="4"/>
  <c r="EF151" i="4" s="1"/>
  <c r="EE152" i="4"/>
  <c r="EF152" i="4" s="1"/>
  <c r="EE153" i="4"/>
  <c r="EF153" i="4" s="1"/>
  <c r="M46" i="7"/>
  <c r="C136" i="9" s="1"/>
  <c r="EE154" i="4"/>
  <c r="EF154" i="4" s="1"/>
  <c r="EE155" i="4"/>
  <c r="EF155" i="4" s="1"/>
  <c r="EE156" i="4"/>
  <c r="EF156" i="4" s="1"/>
  <c r="EE157" i="4"/>
  <c r="EF157" i="4" s="1"/>
  <c r="EE158" i="4"/>
  <c r="EF158" i="4" s="1"/>
  <c r="EE159" i="4"/>
  <c r="EF159" i="4" s="1"/>
  <c r="EE160" i="4"/>
  <c r="EF160" i="4" s="1"/>
  <c r="EE161" i="4"/>
  <c r="EF161" i="4" s="1"/>
  <c r="EE162" i="4"/>
  <c r="EF162" i="4" s="1"/>
  <c r="EE163" i="4"/>
  <c r="EF163" i="4" s="1"/>
  <c r="L46" i="7"/>
  <c r="B136" i="9" s="1"/>
  <c r="C50" i="5"/>
  <c r="B50" i="5"/>
  <c r="C360" i="9"/>
  <c r="H49" i="5"/>
  <c r="D360" i="9" s="1"/>
  <c r="D47" i="5" l="1"/>
  <c r="D128" i="9" s="1"/>
  <c r="E47" i="5"/>
  <c r="E128" i="9" s="1"/>
  <c r="F62" i="4"/>
  <c r="P51" i="5"/>
  <c r="O51" i="5"/>
  <c r="E521" i="9" s="1"/>
  <c r="M51" i="5"/>
  <c r="I51" i="5"/>
  <c r="E362" i="9" s="1"/>
  <c r="F51" i="5"/>
  <c r="B362" i="9" s="1"/>
  <c r="L51" i="5"/>
  <c r="B521" i="9" s="1"/>
  <c r="J51" i="5"/>
  <c r="G51" i="5"/>
  <c r="E66" i="4"/>
  <c r="K48" i="7"/>
  <c r="C520" i="9"/>
  <c r="N50" i="5"/>
  <c r="D520" i="9" s="1"/>
  <c r="K50" i="5"/>
  <c r="G361" i="9" s="1"/>
  <c r="F361" i="9"/>
  <c r="Q50" i="5"/>
  <c r="G520" i="9" s="1"/>
  <c r="F520" i="9"/>
  <c r="M141" i="4"/>
  <c r="K142" i="4"/>
  <c r="S146" i="4"/>
  <c r="Q147" i="4"/>
  <c r="P143" i="4"/>
  <c r="N144" i="4"/>
  <c r="B67" i="4"/>
  <c r="J53" i="2"/>
  <c r="EH66" i="4"/>
  <c r="EI66" i="4" s="1"/>
  <c r="J66" i="4" s="1"/>
  <c r="EH67" i="4"/>
  <c r="EI67" i="4" s="1"/>
  <c r="EH69" i="4"/>
  <c r="EI69" i="4" s="1"/>
  <c r="EH71" i="4"/>
  <c r="EI71" i="4" s="1"/>
  <c r="EH73" i="4"/>
  <c r="EI73" i="4" s="1"/>
  <c r="EH70" i="4"/>
  <c r="EI70" i="4" s="1"/>
  <c r="EH74" i="4"/>
  <c r="EI74" i="4" s="1"/>
  <c r="EH76" i="4"/>
  <c r="EI76" i="4" s="1"/>
  <c r="EH78" i="4"/>
  <c r="EI78" i="4" s="1"/>
  <c r="EH80" i="4"/>
  <c r="EI80" i="4" s="1"/>
  <c r="EH82" i="4"/>
  <c r="EI82" i="4" s="1"/>
  <c r="EH84" i="4"/>
  <c r="EI84" i="4" s="1"/>
  <c r="EH86" i="4"/>
  <c r="EI86" i="4" s="1"/>
  <c r="EH88" i="4"/>
  <c r="EI88" i="4" s="1"/>
  <c r="EH90" i="4"/>
  <c r="EI90" i="4" s="1"/>
  <c r="EH68" i="4"/>
  <c r="EI68" i="4" s="1"/>
  <c r="EH72" i="4"/>
  <c r="EI72" i="4" s="1"/>
  <c r="EH75" i="4"/>
  <c r="EI75" i="4" s="1"/>
  <c r="EH77" i="4"/>
  <c r="EI77" i="4" s="1"/>
  <c r="EH79" i="4"/>
  <c r="EI79" i="4" s="1"/>
  <c r="EH81" i="4"/>
  <c r="EI81" i="4" s="1"/>
  <c r="EH83" i="4"/>
  <c r="EI83" i="4" s="1"/>
  <c r="EH85" i="4"/>
  <c r="EI85" i="4" s="1"/>
  <c r="EH89" i="4"/>
  <c r="EI89" i="4" s="1"/>
  <c r="EH91" i="4"/>
  <c r="EI91" i="4" s="1"/>
  <c r="EH93" i="4"/>
  <c r="EI93" i="4" s="1"/>
  <c r="EH95" i="4"/>
  <c r="EI95" i="4" s="1"/>
  <c r="EH97" i="4"/>
  <c r="EI97" i="4" s="1"/>
  <c r="EH99" i="4"/>
  <c r="EI99" i="4" s="1"/>
  <c r="EH101" i="4"/>
  <c r="EI101" i="4" s="1"/>
  <c r="EH103" i="4"/>
  <c r="EI103" i="4" s="1"/>
  <c r="EH87" i="4"/>
  <c r="EI87" i="4" s="1"/>
  <c r="EH92" i="4"/>
  <c r="EI92" i="4" s="1"/>
  <c r="EH94" i="4"/>
  <c r="EI94" i="4" s="1"/>
  <c r="EH96" i="4"/>
  <c r="EI96" i="4" s="1"/>
  <c r="EH98" i="4"/>
  <c r="EI98" i="4" s="1"/>
  <c r="EH100" i="4"/>
  <c r="EI100" i="4" s="1"/>
  <c r="EH102" i="4"/>
  <c r="EI102" i="4" s="1"/>
  <c r="EH104" i="4"/>
  <c r="EI104" i="4" s="1"/>
  <c r="EH105" i="4"/>
  <c r="EI105" i="4" s="1"/>
  <c r="EH106" i="4"/>
  <c r="EI106" i="4" s="1"/>
  <c r="EH107" i="4"/>
  <c r="EI107" i="4" s="1"/>
  <c r="EH108" i="4"/>
  <c r="EI108" i="4" s="1"/>
  <c r="EH109" i="4"/>
  <c r="EI109" i="4" s="1"/>
  <c r="EH110" i="4"/>
  <c r="EI110" i="4" s="1"/>
  <c r="EH111" i="4"/>
  <c r="EI111" i="4" s="1"/>
  <c r="EH112" i="4"/>
  <c r="EI112" i="4" s="1"/>
  <c r="EH113" i="4"/>
  <c r="EI113" i="4" s="1"/>
  <c r="EH114" i="4"/>
  <c r="EI114" i="4" s="1"/>
  <c r="EH115" i="4"/>
  <c r="EI115" i="4" s="1"/>
  <c r="EH116" i="4"/>
  <c r="EI116" i="4" s="1"/>
  <c r="EH117" i="4"/>
  <c r="EI117" i="4" s="1"/>
  <c r="EH118" i="4"/>
  <c r="EI118" i="4" s="1"/>
  <c r="EH119" i="4"/>
  <c r="EI119" i="4" s="1"/>
  <c r="EH120" i="4"/>
  <c r="EI120" i="4" s="1"/>
  <c r="EH121" i="4"/>
  <c r="EI121" i="4" s="1"/>
  <c r="EH122" i="4"/>
  <c r="EI122" i="4" s="1"/>
  <c r="EH123" i="4"/>
  <c r="EI123" i="4" s="1"/>
  <c r="EH124" i="4"/>
  <c r="EI124" i="4" s="1"/>
  <c r="EH125" i="4"/>
  <c r="EI125" i="4" s="1"/>
  <c r="EH126" i="4"/>
  <c r="EI126" i="4" s="1"/>
  <c r="EH127" i="4"/>
  <c r="EI127" i="4" s="1"/>
  <c r="EH128" i="4"/>
  <c r="EI128" i="4" s="1"/>
  <c r="EH129" i="4"/>
  <c r="EI129" i="4" s="1"/>
  <c r="EH130" i="4"/>
  <c r="EI130" i="4" s="1"/>
  <c r="EH131" i="4"/>
  <c r="EI131" i="4" s="1"/>
  <c r="EH132" i="4"/>
  <c r="EI132" i="4" s="1"/>
  <c r="EH133" i="4"/>
  <c r="EI133" i="4" s="1"/>
  <c r="EH134" i="4"/>
  <c r="EI134" i="4" s="1"/>
  <c r="EH135" i="4"/>
  <c r="EI135" i="4" s="1"/>
  <c r="EH136" i="4"/>
  <c r="EI136" i="4" s="1"/>
  <c r="EH137" i="4"/>
  <c r="EI137" i="4" s="1"/>
  <c r="EH138" i="4"/>
  <c r="EI138" i="4" s="1"/>
  <c r="EH139" i="4"/>
  <c r="EI139" i="4" s="1"/>
  <c r="EH140" i="4"/>
  <c r="EI140" i="4" s="1"/>
  <c r="EH141" i="4"/>
  <c r="EI141" i="4" s="1"/>
  <c r="EH142" i="4"/>
  <c r="EI142" i="4" s="1"/>
  <c r="EH143" i="4"/>
  <c r="EI143" i="4" s="1"/>
  <c r="EH144" i="4"/>
  <c r="EI144" i="4" s="1"/>
  <c r="EH145" i="4"/>
  <c r="EI145" i="4" s="1"/>
  <c r="EH146" i="4"/>
  <c r="EI146" i="4" s="1"/>
  <c r="EH147" i="4"/>
  <c r="EI147" i="4" s="1"/>
  <c r="EH148" i="4"/>
  <c r="EI148" i="4" s="1"/>
  <c r="EH149" i="4"/>
  <c r="EI149" i="4" s="1"/>
  <c r="EH150" i="4"/>
  <c r="EI150" i="4" s="1"/>
  <c r="EH151" i="4"/>
  <c r="EI151" i="4" s="1"/>
  <c r="EH152" i="4"/>
  <c r="EI152" i="4" s="1"/>
  <c r="EH153" i="4"/>
  <c r="EI153" i="4" s="1"/>
  <c r="M47" i="7"/>
  <c r="C137" i="9" s="1"/>
  <c r="EH154" i="4"/>
  <c r="EI154" i="4" s="1"/>
  <c r="EH155" i="4"/>
  <c r="EI155" i="4" s="1"/>
  <c r="EH156" i="4"/>
  <c r="EI156" i="4" s="1"/>
  <c r="EH157" i="4"/>
  <c r="EI157" i="4" s="1"/>
  <c r="EH158" i="4"/>
  <c r="EI158" i="4" s="1"/>
  <c r="EH159" i="4"/>
  <c r="EI159" i="4" s="1"/>
  <c r="EH160" i="4"/>
  <c r="EI160" i="4" s="1"/>
  <c r="EH161" i="4"/>
  <c r="EI161" i="4" s="1"/>
  <c r="EH162" i="4"/>
  <c r="EI162" i="4" s="1"/>
  <c r="EH163" i="4"/>
  <c r="EI163" i="4" s="1"/>
  <c r="L47" i="7"/>
  <c r="B137" i="9" s="1"/>
  <c r="C51" i="5"/>
  <c r="B51" i="5"/>
  <c r="H50" i="5"/>
  <c r="D361" i="9" s="1"/>
  <c r="C361" i="9"/>
  <c r="D48" i="5" l="1"/>
  <c r="D129" i="9" s="1"/>
  <c r="E48" i="5"/>
  <c r="E129" i="9" s="1"/>
  <c r="F63" i="4"/>
  <c r="O52" i="5"/>
  <c r="E522" i="9" s="1"/>
  <c r="P52" i="5"/>
  <c r="L52" i="5"/>
  <c r="B522" i="9" s="1"/>
  <c r="J52" i="5"/>
  <c r="G52" i="5"/>
  <c r="M52" i="5"/>
  <c r="I52" i="5"/>
  <c r="E363" i="9" s="1"/>
  <c r="F52" i="5"/>
  <c r="B363" i="9" s="1"/>
  <c r="E67" i="4"/>
  <c r="K49" i="7"/>
  <c r="EK69" i="4"/>
  <c r="EL69" i="4" s="1"/>
  <c r="EK71" i="4"/>
  <c r="EL71" i="4" s="1"/>
  <c r="EK73" i="4"/>
  <c r="EL73" i="4" s="1"/>
  <c r="EK67" i="4"/>
  <c r="EL67" i="4" s="1"/>
  <c r="J67" i="4" s="1"/>
  <c r="EK68" i="4"/>
  <c r="EL68" i="4" s="1"/>
  <c r="EK72" i="4"/>
  <c r="EL72" i="4" s="1"/>
  <c r="EK76" i="4"/>
  <c r="EL76" i="4" s="1"/>
  <c r="EK78" i="4"/>
  <c r="EL78" i="4" s="1"/>
  <c r="EK80" i="4"/>
  <c r="EL80" i="4" s="1"/>
  <c r="EK82" i="4"/>
  <c r="EL82" i="4" s="1"/>
  <c r="EK84" i="4"/>
  <c r="EL84" i="4" s="1"/>
  <c r="EK86" i="4"/>
  <c r="EL86" i="4" s="1"/>
  <c r="EK88" i="4"/>
  <c r="EL88" i="4" s="1"/>
  <c r="EK90" i="4"/>
  <c r="EL90" i="4" s="1"/>
  <c r="EK70" i="4"/>
  <c r="EL70" i="4" s="1"/>
  <c r="EK74" i="4"/>
  <c r="EL74" i="4" s="1"/>
  <c r="EK75" i="4"/>
  <c r="EL75" i="4" s="1"/>
  <c r="EK77" i="4"/>
  <c r="EL77" i="4" s="1"/>
  <c r="EK79" i="4"/>
  <c r="EL79" i="4" s="1"/>
  <c r="EK81" i="4"/>
  <c r="EL81" i="4" s="1"/>
  <c r="EK83" i="4"/>
  <c r="EL83" i="4" s="1"/>
  <c r="EK87" i="4"/>
  <c r="EL87" i="4" s="1"/>
  <c r="EK91" i="4"/>
  <c r="EL91" i="4" s="1"/>
  <c r="EK93" i="4"/>
  <c r="EL93" i="4" s="1"/>
  <c r="EK95" i="4"/>
  <c r="EL95" i="4" s="1"/>
  <c r="EK97" i="4"/>
  <c r="EL97" i="4" s="1"/>
  <c r="EK99" i="4"/>
  <c r="EL99" i="4" s="1"/>
  <c r="EK101" i="4"/>
  <c r="EL101" i="4" s="1"/>
  <c r="EK103" i="4"/>
  <c r="EL103" i="4" s="1"/>
  <c r="EK85" i="4"/>
  <c r="EL85" i="4" s="1"/>
  <c r="EK89" i="4"/>
  <c r="EL89" i="4" s="1"/>
  <c r="EK92" i="4"/>
  <c r="EL92" i="4" s="1"/>
  <c r="EK94" i="4"/>
  <c r="EL94" i="4" s="1"/>
  <c r="EK96" i="4"/>
  <c r="EL96" i="4" s="1"/>
  <c r="EK98" i="4"/>
  <c r="EL98" i="4" s="1"/>
  <c r="EK100" i="4"/>
  <c r="EL100" i="4" s="1"/>
  <c r="EK104" i="4"/>
  <c r="EL104" i="4" s="1"/>
  <c r="EK105" i="4"/>
  <c r="EL105" i="4" s="1"/>
  <c r="EK102" i="4"/>
  <c r="EL102" i="4" s="1"/>
  <c r="EK106" i="4"/>
  <c r="EL106" i="4" s="1"/>
  <c r="EK107" i="4"/>
  <c r="EL107" i="4" s="1"/>
  <c r="EK108" i="4"/>
  <c r="EL108" i="4" s="1"/>
  <c r="EK109" i="4"/>
  <c r="EL109" i="4" s="1"/>
  <c r="EK110" i="4"/>
  <c r="EL110" i="4" s="1"/>
  <c r="EK111" i="4"/>
  <c r="EL111" i="4" s="1"/>
  <c r="EK112" i="4"/>
  <c r="EL112" i="4" s="1"/>
  <c r="EK113" i="4"/>
  <c r="EL113" i="4" s="1"/>
  <c r="EK114" i="4"/>
  <c r="EL114" i="4" s="1"/>
  <c r="EK115" i="4"/>
  <c r="EL115" i="4" s="1"/>
  <c r="EK116" i="4"/>
  <c r="EL116" i="4" s="1"/>
  <c r="EK117" i="4"/>
  <c r="EL117" i="4" s="1"/>
  <c r="EK118" i="4"/>
  <c r="EL118" i="4" s="1"/>
  <c r="EK119" i="4"/>
  <c r="EL119" i="4" s="1"/>
  <c r="EK120" i="4"/>
  <c r="EL120" i="4" s="1"/>
  <c r="EK121" i="4"/>
  <c r="EL121" i="4" s="1"/>
  <c r="EK122" i="4"/>
  <c r="EL122" i="4" s="1"/>
  <c r="EK123" i="4"/>
  <c r="EL123" i="4" s="1"/>
  <c r="EK124" i="4"/>
  <c r="EL124" i="4" s="1"/>
  <c r="EK125" i="4"/>
  <c r="EL125" i="4" s="1"/>
  <c r="EK126" i="4"/>
  <c r="EL126" i="4" s="1"/>
  <c r="EK127" i="4"/>
  <c r="EL127" i="4" s="1"/>
  <c r="EK128" i="4"/>
  <c r="EL128" i="4" s="1"/>
  <c r="EK129" i="4"/>
  <c r="EL129" i="4" s="1"/>
  <c r="EK130" i="4"/>
  <c r="EL130" i="4" s="1"/>
  <c r="EK131" i="4"/>
  <c r="EL131" i="4" s="1"/>
  <c r="EK132" i="4"/>
  <c r="EL132" i="4" s="1"/>
  <c r="EK133" i="4"/>
  <c r="EL133" i="4" s="1"/>
  <c r="EK134" i="4"/>
  <c r="EL134" i="4" s="1"/>
  <c r="EK135" i="4"/>
  <c r="EL135" i="4" s="1"/>
  <c r="EK136" i="4"/>
  <c r="EL136" i="4" s="1"/>
  <c r="EK137" i="4"/>
  <c r="EL137" i="4" s="1"/>
  <c r="EK138" i="4"/>
  <c r="EL138" i="4" s="1"/>
  <c r="EK139" i="4"/>
  <c r="EL139" i="4" s="1"/>
  <c r="EK140" i="4"/>
  <c r="EL140" i="4" s="1"/>
  <c r="EK141" i="4"/>
  <c r="EL141" i="4" s="1"/>
  <c r="EK142" i="4"/>
  <c r="EL142" i="4" s="1"/>
  <c r="EK143" i="4"/>
  <c r="EL143" i="4" s="1"/>
  <c r="EK144" i="4"/>
  <c r="EL144" i="4" s="1"/>
  <c r="EK145" i="4"/>
  <c r="EL145" i="4" s="1"/>
  <c r="EK146" i="4"/>
  <c r="EL146" i="4" s="1"/>
  <c r="EK147" i="4"/>
  <c r="EL147" i="4" s="1"/>
  <c r="EK148" i="4"/>
  <c r="EL148" i="4" s="1"/>
  <c r="EK149" i="4"/>
  <c r="EL149" i="4" s="1"/>
  <c r="EK150" i="4"/>
  <c r="EL150" i="4" s="1"/>
  <c r="EK151" i="4"/>
  <c r="EL151" i="4" s="1"/>
  <c r="EK152" i="4"/>
  <c r="EL152" i="4" s="1"/>
  <c r="EK153" i="4"/>
  <c r="EL153" i="4" s="1"/>
  <c r="M48" i="7"/>
  <c r="C138" i="9" s="1"/>
  <c r="EK154" i="4"/>
  <c r="EL154" i="4" s="1"/>
  <c r="EK155" i="4"/>
  <c r="EL155" i="4" s="1"/>
  <c r="EK156" i="4"/>
  <c r="EL156" i="4" s="1"/>
  <c r="EK157" i="4"/>
  <c r="EL157" i="4" s="1"/>
  <c r="EK158" i="4"/>
  <c r="EL158" i="4" s="1"/>
  <c r="EK159" i="4"/>
  <c r="EL159" i="4" s="1"/>
  <c r="EK160" i="4"/>
  <c r="EL160" i="4" s="1"/>
  <c r="EK161" i="4"/>
  <c r="EL161" i="4" s="1"/>
  <c r="EK162" i="4"/>
  <c r="EL162" i="4" s="1"/>
  <c r="EK163" i="4"/>
  <c r="EL163" i="4" s="1"/>
  <c r="L48" i="7"/>
  <c r="B138" i="9" s="1"/>
  <c r="C52" i="5"/>
  <c r="B52" i="5"/>
  <c r="C362" i="9"/>
  <c r="H51" i="5"/>
  <c r="D362" i="9" s="1"/>
  <c r="B68" i="4"/>
  <c r="J54" i="2"/>
  <c r="P144" i="4"/>
  <c r="N145" i="4"/>
  <c r="S147" i="4"/>
  <c r="Q148" i="4"/>
  <c r="M142" i="4"/>
  <c r="K143" i="4"/>
  <c r="K51" i="5"/>
  <c r="G362" i="9" s="1"/>
  <c r="F362" i="9"/>
  <c r="N51" i="5"/>
  <c r="D521" i="9" s="1"/>
  <c r="C521" i="9"/>
  <c r="Q51" i="5"/>
  <c r="G521" i="9" s="1"/>
  <c r="F521" i="9"/>
  <c r="E49" i="5" l="1"/>
  <c r="E135" i="9" s="1"/>
  <c r="F64" i="4"/>
  <c r="D49" i="5"/>
  <c r="D135" i="9" s="1"/>
  <c r="P53" i="5"/>
  <c r="O53" i="5"/>
  <c r="E523" i="9" s="1"/>
  <c r="M53" i="5"/>
  <c r="I53" i="5"/>
  <c r="E364" i="9" s="1"/>
  <c r="F53" i="5"/>
  <c r="B364" i="9" s="1"/>
  <c r="L53" i="5"/>
  <c r="B523" i="9" s="1"/>
  <c r="J53" i="5"/>
  <c r="G53" i="5"/>
  <c r="E68" i="4"/>
  <c r="K50" i="7"/>
  <c r="C522" i="9"/>
  <c r="N52" i="5"/>
  <c r="D522" i="9" s="1"/>
  <c r="K52" i="5"/>
  <c r="G363" i="9" s="1"/>
  <c r="F363" i="9"/>
  <c r="Q52" i="5"/>
  <c r="G522" i="9" s="1"/>
  <c r="F522" i="9"/>
  <c r="M143" i="4"/>
  <c r="K144" i="4"/>
  <c r="S148" i="4"/>
  <c r="Q149" i="4"/>
  <c r="P145" i="4"/>
  <c r="N146" i="4"/>
  <c r="B69" i="4"/>
  <c r="J55" i="2"/>
  <c r="EN68" i="4"/>
  <c r="EO68" i="4" s="1"/>
  <c r="J68" i="4" s="1"/>
  <c r="EN69" i="4"/>
  <c r="EO69" i="4" s="1"/>
  <c r="EN71" i="4"/>
  <c r="EO71" i="4" s="1"/>
  <c r="EN73" i="4"/>
  <c r="EO73" i="4" s="1"/>
  <c r="EN70" i="4"/>
  <c r="EO70" i="4" s="1"/>
  <c r="EN74" i="4"/>
  <c r="EO74" i="4" s="1"/>
  <c r="EN76" i="4"/>
  <c r="EO76" i="4" s="1"/>
  <c r="EN78" i="4"/>
  <c r="EO78" i="4" s="1"/>
  <c r="EN80" i="4"/>
  <c r="EO80" i="4" s="1"/>
  <c r="EN82" i="4"/>
  <c r="EO82" i="4" s="1"/>
  <c r="EN84" i="4"/>
  <c r="EO84" i="4" s="1"/>
  <c r="EN86" i="4"/>
  <c r="EO86" i="4" s="1"/>
  <c r="EN88" i="4"/>
  <c r="EO88" i="4" s="1"/>
  <c r="EN90" i="4"/>
  <c r="EO90" i="4" s="1"/>
  <c r="EN72" i="4"/>
  <c r="EO72" i="4" s="1"/>
  <c r="EN75" i="4"/>
  <c r="EO75" i="4" s="1"/>
  <c r="EN77" i="4"/>
  <c r="EO77" i="4" s="1"/>
  <c r="EN79" i="4"/>
  <c r="EO79" i="4" s="1"/>
  <c r="EN81" i="4"/>
  <c r="EO81" i="4" s="1"/>
  <c r="EN83" i="4"/>
  <c r="EO83" i="4" s="1"/>
  <c r="EN85" i="4"/>
  <c r="EO85" i="4" s="1"/>
  <c r="EN89" i="4"/>
  <c r="EO89" i="4" s="1"/>
  <c r="EN91" i="4"/>
  <c r="EO91" i="4" s="1"/>
  <c r="EN93" i="4"/>
  <c r="EO93" i="4" s="1"/>
  <c r="EN95" i="4"/>
  <c r="EO95" i="4" s="1"/>
  <c r="EN97" i="4"/>
  <c r="EO97" i="4" s="1"/>
  <c r="EN99" i="4"/>
  <c r="EO99" i="4" s="1"/>
  <c r="EN101" i="4"/>
  <c r="EO101" i="4" s="1"/>
  <c r="EN103" i="4"/>
  <c r="EO103" i="4" s="1"/>
  <c r="EN87" i="4"/>
  <c r="EO87" i="4" s="1"/>
  <c r="EN92" i="4"/>
  <c r="EO92" i="4" s="1"/>
  <c r="EN94" i="4"/>
  <c r="EO94" i="4" s="1"/>
  <c r="EN96" i="4"/>
  <c r="EO96" i="4" s="1"/>
  <c r="EN98" i="4"/>
  <c r="EO98" i="4" s="1"/>
  <c r="EN100" i="4"/>
  <c r="EO100" i="4" s="1"/>
  <c r="EN102" i="4"/>
  <c r="EO102" i="4" s="1"/>
  <c r="EN104" i="4"/>
  <c r="EO104" i="4" s="1"/>
  <c r="EN105" i="4"/>
  <c r="EO105" i="4" s="1"/>
  <c r="EN106" i="4"/>
  <c r="EO106" i="4" s="1"/>
  <c r="EN107" i="4"/>
  <c r="EO107" i="4" s="1"/>
  <c r="EN108" i="4"/>
  <c r="EO108" i="4" s="1"/>
  <c r="EN109" i="4"/>
  <c r="EO109" i="4" s="1"/>
  <c r="EN110" i="4"/>
  <c r="EO110" i="4" s="1"/>
  <c r="EN111" i="4"/>
  <c r="EO111" i="4" s="1"/>
  <c r="EN112" i="4"/>
  <c r="EO112" i="4" s="1"/>
  <c r="EN113" i="4"/>
  <c r="EO113" i="4" s="1"/>
  <c r="EN114" i="4"/>
  <c r="EO114" i="4" s="1"/>
  <c r="EN115" i="4"/>
  <c r="EO115" i="4" s="1"/>
  <c r="EN116" i="4"/>
  <c r="EO116" i="4" s="1"/>
  <c r="EN117" i="4"/>
  <c r="EO117" i="4" s="1"/>
  <c r="EN118" i="4"/>
  <c r="EO118" i="4" s="1"/>
  <c r="EN119" i="4"/>
  <c r="EO119" i="4" s="1"/>
  <c r="EN120" i="4"/>
  <c r="EO120" i="4" s="1"/>
  <c r="EN121" i="4"/>
  <c r="EO121" i="4" s="1"/>
  <c r="EN122" i="4"/>
  <c r="EO122" i="4" s="1"/>
  <c r="EN123" i="4"/>
  <c r="EO123" i="4" s="1"/>
  <c r="EN124" i="4"/>
  <c r="EO124" i="4" s="1"/>
  <c r="EN125" i="4"/>
  <c r="EO125" i="4" s="1"/>
  <c r="EN126" i="4"/>
  <c r="EO126" i="4" s="1"/>
  <c r="EN127" i="4"/>
  <c r="EO127" i="4" s="1"/>
  <c r="EN128" i="4"/>
  <c r="EO128" i="4" s="1"/>
  <c r="EN129" i="4"/>
  <c r="EO129" i="4" s="1"/>
  <c r="EN130" i="4"/>
  <c r="EO130" i="4" s="1"/>
  <c r="EN131" i="4"/>
  <c r="EO131" i="4" s="1"/>
  <c r="EN132" i="4"/>
  <c r="EO132" i="4" s="1"/>
  <c r="EN133" i="4"/>
  <c r="EO133" i="4" s="1"/>
  <c r="EN134" i="4"/>
  <c r="EO134" i="4" s="1"/>
  <c r="EN135" i="4"/>
  <c r="EO135" i="4" s="1"/>
  <c r="EN136" i="4"/>
  <c r="EO136" i="4" s="1"/>
  <c r="EN137" i="4"/>
  <c r="EO137" i="4" s="1"/>
  <c r="EN138" i="4"/>
  <c r="EO138" i="4" s="1"/>
  <c r="EN139" i="4"/>
  <c r="EO139" i="4" s="1"/>
  <c r="EN140" i="4"/>
  <c r="EO140" i="4" s="1"/>
  <c r="EN141" i="4"/>
  <c r="EO141" i="4" s="1"/>
  <c r="EN142" i="4"/>
  <c r="EO142" i="4" s="1"/>
  <c r="EN143" i="4"/>
  <c r="EO143" i="4" s="1"/>
  <c r="EN144" i="4"/>
  <c r="EO144" i="4" s="1"/>
  <c r="EN145" i="4"/>
  <c r="EO145" i="4" s="1"/>
  <c r="EN146" i="4"/>
  <c r="EO146" i="4" s="1"/>
  <c r="EN147" i="4"/>
  <c r="EO147" i="4" s="1"/>
  <c r="EN148" i="4"/>
  <c r="EO148" i="4" s="1"/>
  <c r="EN149" i="4"/>
  <c r="EO149" i="4" s="1"/>
  <c r="EN150" i="4"/>
  <c r="EO150" i="4" s="1"/>
  <c r="EN151" i="4"/>
  <c r="EO151" i="4" s="1"/>
  <c r="EN152" i="4"/>
  <c r="EO152" i="4" s="1"/>
  <c r="EN153" i="4"/>
  <c r="EO153" i="4" s="1"/>
  <c r="M49" i="7"/>
  <c r="C139" i="9" s="1"/>
  <c r="EN154" i="4"/>
  <c r="EO154" i="4" s="1"/>
  <c r="EN155" i="4"/>
  <c r="EO155" i="4" s="1"/>
  <c r="EN156" i="4"/>
  <c r="EO156" i="4" s="1"/>
  <c r="EN157" i="4"/>
  <c r="EO157" i="4" s="1"/>
  <c r="EN158" i="4"/>
  <c r="EO158" i="4" s="1"/>
  <c r="EN159" i="4"/>
  <c r="EO159" i="4" s="1"/>
  <c r="EN160" i="4"/>
  <c r="EO160" i="4" s="1"/>
  <c r="EN161" i="4"/>
  <c r="EO161" i="4" s="1"/>
  <c r="EN162" i="4"/>
  <c r="EO162" i="4" s="1"/>
  <c r="EN163" i="4"/>
  <c r="EO163" i="4" s="1"/>
  <c r="L49" i="7"/>
  <c r="B139" i="9" s="1"/>
  <c r="C53" i="5"/>
  <c r="B53" i="5"/>
  <c r="H52" i="5"/>
  <c r="D363" i="9" s="1"/>
  <c r="C363" i="9"/>
  <c r="D50" i="5" l="1"/>
  <c r="D136" i="9" s="1"/>
  <c r="E50" i="5"/>
  <c r="E136" i="9" s="1"/>
  <c r="F65" i="4"/>
  <c r="O54" i="5"/>
  <c r="E524" i="9" s="1"/>
  <c r="P54" i="5"/>
  <c r="L54" i="5"/>
  <c r="B524" i="9" s="1"/>
  <c r="J54" i="5"/>
  <c r="G54" i="5"/>
  <c r="M54" i="5"/>
  <c r="I54" i="5"/>
  <c r="E365" i="9" s="1"/>
  <c r="F54" i="5"/>
  <c r="B365" i="9" s="1"/>
  <c r="E69" i="4"/>
  <c r="K51" i="7"/>
  <c r="K53" i="5"/>
  <c r="G364" i="9" s="1"/>
  <c r="F364" i="9"/>
  <c r="N53" i="5"/>
  <c r="D523" i="9" s="1"/>
  <c r="C523" i="9"/>
  <c r="Q53" i="5"/>
  <c r="G523" i="9" s="1"/>
  <c r="F523" i="9"/>
  <c r="B70" i="4"/>
  <c r="J56" i="2"/>
  <c r="P146" i="4"/>
  <c r="N147" i="4"/>
  <c r="S149" i="4"/>
  <c r="Q150" i="4"/>
  <c r="M144" i="4"/>
  <c r="K145" i="4"/>
  <c r="EQ71" i="4"/>
  <c r="ER71" i="4" s="1"/>
  <c r="EQ73" i="4"/>
  <c r="ER73" i="4" s="1"/>
  <c r="EQ72" i="4"/>
  <c r="ER72" i="4" s="1"/>
  <c r="EQ76" i="4"/>
  <c r="ER76" i="4" s="1"/>
  <c r="EQ78" i="4"/>
  <c r="ER78" i="4" s="1"/>
  <c r="EQ80" i="4"/>
  <c r="ER80" i="4" s="1"/>
  <c r="EQ82" i="4"/>
  <c r="ER82" i="4" s="1"/>
  <c r="EQ84" i="4"/>
  <c r="ER84" i="4" s="1"/>
  <c r="EQ86" i="4"/>
  <c r="ER86" i="4" s="1"/>
  <c r="EQ88" i="4"/>
  <c r="ER88" i="4" s="1"/>
  <c r="EQ90" i="4"/>
  <c r="ER90" i="4" s="1"/>
  <c r="EQ69" i="4"/>
  <c r="ER69" i="4" s="1"/>
  <c r="J69" i="4" s="1"/>
  <c r="EQ70" i="4"/>
  <c r="ER70" i="4" s="1"/>
  <c r="EQ74" i="4"/>
  <c r="ER74" i="4" s="1"/>
  <c r="EQ75" i="4"/>
  <c r="ER75" i="4" s="1"/>
  <c r="EQ77" i="4"/>
  <c r="ER77" i="4" s="1"/>
  <c r="EQ79" i="4"/>
  <c r="ER79" i="4" s="1"/>
  <c r="EQ81" i="4"/>
  <c r="ER81" i="4" s="1"/>
  <c r="EQ83" i="4"/>
  <c r="ER83" i="4" s="1"/>
  <c r="EQ87" i="4"/>
  <c r="ER87" i="4" s="1"/>
  <c r="EQ91" i="4"/>
  <c r="ER91" i="4" s="1"/>
  <c r="EQ93" i="4"/>
  <c r="ER93" i="4" s="1"/>
  <c r="EQ95" i="4"/>
  <c r="ER95" i="4" s="1"/>
  <c r="EQ97" i="4"/>
  <c r="ER97" i="4" s="1"/>
  <c r="EQ99" i="4"/>
  <c r="ER99" i="4" s="1"/>
  <c r="EQ101" i="4"/>
  <c r="ER101" i="4" s="1"/>
  <c r="EQ103" i="4"/>
  <c r="ER103" i="4" s="1"/>
  <c r="EQ85" i="4"/>
  <c r="ER85" i="4" s="1"/>
  <c r="EQ89" i="4"/>
  <c r="ER89" i="4" s="1"/>
  <c r="EQ92" i="4"/>
  <c r="ER92" i="4" s="1"/>
  <c r="EQ94" i="4"/>
  <c r="ER94" i="4" s="1"/>
  <c r="EQ96" i="4"/>
  <c r="ER96" i="4" s="1"/>
  <c r="EQ98" i="4"/>
  <c r="ER98" i="4" s="1"/>
  <c r="EQ100" i="4"/>
  <c r="ER100" i="4" s="1"/>
  <c r="EQ104" i="4"/>
  <c r="ER104" i="4" s="1"/>
  <c r="EQ105" i="4"/>
  <c r="ER105" i="4" s="1"/>
  <c r="EQ102" i="4"/>
  <c r="ER102" i="4" s="1"/>
  <c r="EQ106" i="4"/>
  <c r="ER106" i="4" s="1"/>
  <c r="EQ107" i="4"/>
  <c r="ER107" i="4" s="1"/>
  <c r="EQ108" i="4"/>
  <c r="ER108" i="4" s="1"/>
  <c r="EQ109" i="4"/>
  <c r="ER109" i="4" s="1"/>
  <c r="EQ110" i="4"/>
  <c r="ER110" i="4" s="1"/>
  <c r="EQ111" i="4"/>
  <c r="ER111" i="4" s="1"/>
  <c r="EQ112" i="4"/>
  <c r="ER112" i="4" s="1"/>
  <c r="EQ113" i="4"/>
  <c r="ER113" i="4" s="1"/>
  <c r="EQ114" i="4"/>
  <c r="ER114" i="4" s="1"/>
  <c r="EQ115" i="4"/>
  <c r="ER115" i="4" s="1"/>
  <c r="EQ116" i="4"/>
  <c r="ER116" i="4" s="1"/>
  <c r="EQ117" i="4"/>
  <c r="ER117" i="4" s="1"/>
  <c r="EQ118" i="4"/>
  <c r="ER118" i="4" s="1"/>
  <c r="EQ119" i="4"/>
  <c r="ER119" i="4" s="1"/>
  <c r="EQ120" i="4"/>
  <c r="ER120" i="4" s="1"/>
  <c r="EQ121" i="4"/>
  <c r="ER121" i="4" s="1"/>
  <c r="EQ122" i="4"/>
  <c r="ER122" i="4" s="1"/>
  <c r="EQ123" i="4"/>
  <c r="ER123" i="4" s="1"/>
  <c r="EQ124" i="4"/>
  <c r="ER124" i="4" s="1"/>
  <c r="EQ125" i="4"/>
  <c r="ER125" i="4" s="1"/>
  <c r="EQ126" i="4"/>
  <c r="ER126" i="4" s="1"/>
  <c r="EQ127" i="4"/>
  <c r="ER127" i="4" s="1"/>
  <c r="EQ128" i="4"/>
  <c r="ER128" i="4" s="1"/>
  <c r="EQ129" i="4"/>
  <c r="ER129" i="4" s="1"/>
  <c r="EQ130" i="4"/>
  <c r="ER130" i="4" s="1"/>
  <c r="EQ131" i="4"/>
  <c r="ER131" i="4" s="1"/>
  <c r="EQ132" i="4"/>
  <c r="ER132" i="4" s="1"/>
  <c r="EQ133" i="4"/>
  <c r="ER133" i="4" s="1"/>
  <c r="EQ134" i="4"/>
  <c r="ER134" i="4" s="1"/>
  <c r="EQ135" i="4"/>
  <c r="ER135" i="4" s="1"/>
  <c r="EQ136" i="4"/>
  <c r="ER136" i="4" s="1"/>
  <c r="EQ137" i="4"/>
  <c r="ER137" i="4" s="1"/>
  <c r="EQ138" i="4"/>
  <c r="ER138" i="4" s="1"/>
  <c r="EQ139" i="4"/>
  <c r="ER139" i="4" s="1"/>
  <c r="EQ140" i="4"/>
  <c r="ER140" i="4" s="1"/>
  <c r="EQ141" i="4"/>
  <c r="ER141" i="4" s="1"/>
  <c r="EQ142" i="4"/>
  <c r="ER142" i="4" s="1"/>
  <c r="EQ143" i="4"/>
  <c r="ER143" i="4" s="1"/>
  <c r="EQ144" i="4"/>
  <c r="ER144" i="4" s="1"/>
  <c r="EQ145" i="4"/>
  <c r="ER145" i="4" s="1"/>
  <c r="EQ146" i="4"/>
  <c r="ER146" i="4" s="1"/>
  <c r="EQ147" i="4"/>
  <c r="ER147" i="4" s="1"/>
  <c r="EQ148" i="4"/>
  <c r="ER148" i="4" s="1"/>
  <c r="EQ149" i="4"/>
  <c r="ER149" i="4" s="1"/>
  <c r="EQ150" i="4"/>
  <c r="ER150" i="4" s="1"/>
  <c r="EQ151" i="4"/>
  <c r="ER151" i="4" s="1"/>
  <c r="EQ152" i="4"/>
  <c r="ER152" i="4" s="1"/>
  <c r="EQ153" i="4"/>
  <c r="ER153" i="4" s="1"/>
  <c r="M50" i="7"/>
  <c r="C140" i="9" s="1"/>
  <c r="EQ154" i="4"/>
  <c r="ER154" i="4" s="1"/>
  <c r="EQ155" i="4"/>
  <c r="ER155" i="4" s="1"/>
  <c r="EQ156" i="4"/>
  <c r="ER156" i="4" s="1"/>
  <c r="EQ157" i="4"/>
  <c r="ER157" i="4" s="1"/>
  <c r="EQ158" i="4"/>
  <c r="ER158" i="4" s="1"/>
  <c r="EQ159" i="4"/>
  <c r="ER159" i="4" s="1"/>
  <c r="EQ160" i="4"/>
  <c r="ER160" i="4" s="1"/>
  <c r="EQ161" i="4"/>
  <c r="ER161" i="4" s="1"/>
  <c r="EQ162" i="4"/>
  <c r="ER162" i="4" s="1"/>
  <c r="EQ163" i="4"/>
  <c r="ER163" i="4" s="1"/>
  <c r="L50" i="7"/>
  <c r="B140" i="9" s="1"/>
  <c r="C54" i="5"/>
  <c r="B54" i="5"/>
  <c r="C364" i="9"/>
  <c r="H53" i="5"/>
  <c r="D364" i="9" s="1"/>
  <c r="D51" i="5" l="1"/>
  <c r="D137" i="9" s="1"/>
  <c r="F66" i="4"/>
  <c r="E51" i="5"/>
  <c r="E137" i="9" s="1"/>
  <c r="P55" i="5"/>
  <c r="O55" i="5"/>
  <c r="E525" i="9" s="1"/>
  <c r="M55" i="5"/>
  <c r="I55" i="5"/>
  <c r="E366" i="9" s="1"/>
  <c r="F55" i="5"/>
  <c r="B366" i="9" s="1"/>
  <c r="L55" i="5"/>
  <c r="B525" i="9" s="1"/>
  <c r="J55" i="5"/>
  <c r="G55" i="5"/>
  <c r="E70" i="4"/>
  <c r="K52" i="7"/>
  <c r="C524" i="9"/>
  <c r="N54" i="5"/>
  <c r="D524" i="9" s="1"/>
  <c r="K54" i="5"/>
  <c r="G365" i="9" s="1"/>
  <c r="F365" i="9"/>
  <c r="Q54" i="5"/>
  <c r="G524" i="9" s="1"/>
  <c r="F524" i="9"/>
  <c r="M145" i="4"/>
  <c r="K146" i="4"/>
  <c r="S150" i="4"/>
  <c r="Q151" i="4"/>
  <c r="P147" i="4"/>
  <c r="N148" i="4"/>
  <c r="B71" i="4"/>
  <c r="J57" i="2"/>
  <c r="ET70" i="4"/>
  <c r="EU70" i="4" s="1"/>
  <c r="J70" i="4" s="1"/>
  <c r="ET71" i="4"/>
  <c r="EU71" i="4" s="1"/>
  <c r="ET73" i="4"/>
  <c r="EU73" i="4" s="1"/>
  <c r="ET74" i="4"/>
  <c r="EU74" i="4" s="1"/>
  <c r="ET76" i="4"/>
  <c r="EU76" i="4" s="1"/>
  <c r="ET78" i="4"/>
  <c r="EU78" i="4" s="1"/>
  <c r="ET80" i="4"/>
  <c r="EU80" i="4" s="1"/>
  <c r="ET82" i="4"/>
  <c r="EU82" i="4" s="1"/>
  <c r="ET84" i="4"/>
  <c r="EU84" i="4" s="1"/>
  <c r="ET86" i="4"/>
  <c r="EU86" i="4" s="1"/>
  <c r="ET88" i="4"/>
  <c r="EU88" i="4" s="1"/>
  <c r="ET90" i="4"/>
  <c r="EU90" i="4" s="1"/>
  <c r="ET72" i="4"/>
  <c r="EU72" i="4" s="1"/>
  <c r="ET75" i="4"/>
  <c r="EU75" i="4" s="1"/>
  <c r="ET77" i="4"/>
  <c r="EU77" i="4" s="1"/>
  <c r="ET79" i="4"/>
  <c r="EU79" i="4" s="1"/>
  <c r="ET81" i="4"/>
  <c r="EU81" i="4" s="1"/>
  <c r="ET83" i="4"/>
  <c r="EU83" i="4" s="1"/>
  <c r="ET85" i="4"/>
  <c r="EU85" i="4" s="1"/>
  <c r="ET89" i="4"/>
  <c r="EU89" i="4" s="1"/>
  <c r="ET91" i="4"/>
  <c r="EU91" i="4" s="1"/>
  <c r="ET93" i="4"/>
  <c r="EU93" i="4" s="1"/>
  <c r="ET95" i="4"/>
  <c r="EU95" i="4" s="1"/>
  <c r="ET97" i="4"/>
  <c r="EU97" i="4" s="1"/>
  <c r="ET99" i="4"/>
  <c r="EU99" i="4" s="1"/>
  <c r="ET101" i="4"/>
  <c r="EU101" i="4" s="1"/>
  <c r="ET103" i="4"/>
  <c r="EU103" i="4" s="1"/>
  <c r="ET87" i="4"/>
  <c r="EU87" i="4" s="1"/>
  <c r="ET92" i="4"/>
  <c r="EU92" i="4" s="1"/>
  <c r="ET94" i="4"/>
  <c r="EU94" i="4" s="1"/>
  <c r="ET96" i="4"/>
  <c r="EU96" i="4" s="1"/>
  <c r="ET98" i="4"/>
  <c r="EU98" i="4" s="1"/>
  <c r="ET100" i="4"/>
  <c r="EU100" i="4" s="1"/>
  <c r="ET102" i="4"/>
  <c r="EU102" i="4" s="1"/>
  <c r="ET104" i="4"/>
  <c r="EU104" i="4" s="1"/>
  <c r="ET105" i="4"/>
  <c r="EU105" i="4" s="1"/>
  <c r="ET106" i="4"/>
  <c r="EU106" i="4" s="1"/>
  <c r="ET107" i="4"/>
  <c r="EU107" i="4" s="1"/>
  <c r="ET108" i="4"/>
  <c r="EU108" i="4" s="1"/>
  <c r="ET109" i="4"/>
  <c r="EU109" i="4" s="1"/>
  <c r="ET110" i="4"/>
  <c r="EU110" i="4" s="1"/>
  <c r="ET111" i="4"/>
  <c r="EU111" i="4" s="1"/>
  <c r="ET112" i="4"/>
  <c r="EU112" i="4" s="1"/>
  <c r="ET113" i="4"/>
  <c r="EU113" i="4" s="1"/>
  <c r="ET114" i="4"/>
  <c r="EU114" i="4" s="1"/>
  <c r="ET115" i="4"/>
  <c r="EU115" i="4" s="1"/>
  <c r="ET116" i="4"/>
  <c r="EU116" i="4" s="1"/>
  <c r="ET117" i="4"/>
  <c r="EU117" i="4" s="1"/>
  <c r="ET118" i="4"/>
  <c r="EU118" i="4" s="1"/>
  <c r="ET119" i="4"/>
  <c r="EU119" i="4" s="1"/>
  <c r="ET120" i="4"/>
  <c r="EU120" i="4" s="1"/>
  <c r="ET121" i="4"/>
  <c r="EU121" i="4" s="1"/>
  <c r="ET122" i="4"/>
  <c r="EU122" i="4" s="1"/>
  <c r="ET123" i="4"/>
  <c r="EU123" i="4" s="1"/>
  <c r="ET124" i="4"/>
  <c r="EU124" i="4" s="1"/>
  <c r="ET125" i="4"/>
  <c r="EU125" i="4" s="1"/>
  <c r="ET126" i="4"/>
  <c r="EU126" i="4" s="1"/>
  <c r="ET127" i="4"/>
  <c r="EU127" i="4" s="1"/>
  <c r="ET128" i="4"/>
  <c r="EU128" i="4" s="1"/>
  <c r="ET129" i="4"/>
  <c r="EU129" i="4" s="1"/>
  <c r="ET130" i="4"/>
  <c r="EU130" i="4" s="1"/>
  <c r="ET131" i="4"/>
  <c r="EU131" i="4" s="1"/>
  <c r="ET132" i="4"/>
  <c r="EU132" i="4" s="1"/>
  <c r="ET133" i="4"/>
  <c r="EU133" i="4" s="1"/>
  <c r="ET134" i="4"/>
  <c r="EU134" i="4" s="1"/>
  <c r="ET135" i="4"/>
  <c r="EU135" i="4" s="1"/>
  <c r="ET136" i="4"/>
  <c r="EU136" i="4" s="1"/>
  <c r="ET137" i="4"/>
  <c r="EU137" i="4" s="1"/>
  <c r="ET138" i="4"/>
  <c r="EU138" i="4" s="1"/>
  <c r="ET139" i="4"/>
  <c r="EU139" i="4" s="1"/>
  <c r="ET140" i="4"/>
  <c r="EU140" i="4" s="1"/>
  <c r="ET141" i="4"/>
  <c r="EU141" i="4" s="1"/>
  <c r="ET142" i="4"/>
  <c r="EU142" i="4" s="1"/>
  <c r="ET143" i="4"/>
  <c r="EU143" i="4" s="1"/>
  <c r="ET144" i="4"/>
  <c r="EU144" i="4" s="1"/>
  <c r="ET145" i="4"/>
  <c r="EU145" i="4" s="1"/>
  <c r="ET146" i="4"/>
  <c r="EU146" i="4" s="1"/>
  <c r="ET147" i="4"/>
  <c r="EU147" i="4" s="1"/>
  <c r="ET148" i="4"/>
  <c r="EU148" i="4" s="1"/>
  <c r="ET149" i="4"/>
  <c r="EU149" i="4" s="1"/>
  <c r="ET150" i="4"/>
  <c r="EU150" i="4" s="1"/>
  <c r="ET151" i="4"/>
  <c r="EU151" i="4" s="1"/>
  <c r="ET152" i="4"/>
  <c r="EU152" i="4" s="1"/>
  <c r="ET153" i="4"/>
  <c r="EU153" i="4" s="1"/>
  <c r="M51" i="7"/>
  <c r="C141" i="9" s="1"/>
  <c r="ET154" i="4"/>
  <c r="EU154" i="4" s="1"/>
  <c r="ET155" i="4"/>
  <c r="EU155" i="4" s="1"/>
  <c r="ET156" i="4"/>
  <c r="EU156" i="4" s="1"/>
  <c r="ET157" i="4"/>
  <c r="EU157" i="4" s="1"/>
  <c r="ET158" i="4"/>
  <c r="EU158" i="4" s="1"/>
  <c r="ET159" i="4"/>
  <c r="EU159" i="4" s="1"/>
  <c r="ET160" i="4"/>
  <c r="EU160" i="4" s="1"/>
  <c r="ET161" i="4"/>
  <c r="EU161" i="4" s="1"/>
  <c r="ET162" i="4"/>
  <c r="EU162" i="4" s="1"/>
  <c r="ET163" i="4"/>
  <c r="EU163" i="4" s="1"/>
  <c r="L51" i="7"/>
  <c r="B141" i="9" s="1"/>
  <c r="C55" i="5"/>
  <c r="B55" i="5"/>
  <c r="H54" i="5"/>
  <c r="D365" i="9" s="1"/>
  <c r="C365" i="9"/>
  <c r="D52" i="5" l="1"/>
  <c r="D138" i="9" s="1"/>
  <c r="E52" i="5"/>
  <c r="E138" i="9" s="1"/>
  <c r="F67" i="4"/>
  <c r="O56" i="5"/>
  <c r="E526" i="9" s="1"/>
  <c r="P56" i="5"/>
  <c r="L56" i="5"/>
  <c r="B526" i="9" s="1"/>
  <c r="J56" i="5"/>
  <c r="G56" i="5"/>
  <c r="M56" i="5"/>
  <c r="I56" i="5"/>
  <c r="E367" i="9" s="1"/>
  <c r="F56" i="5"/>
  <c r="B367" i="9" s="1"/>
  <c r="E71" i="4"/>
  <c r="K53" i="7"/>
  <c r="EW73" i="4"/>
  <c r="EX73" i="4" s="1"/>
  <c r="EW71" i="4"/>
  <c r="EX71" i="4" s="1"/>
  <c r="J71" i="4" s="1"/>
  <c r="EW72" i="4"/>
  <c r="EX72" i="4" s="1"/>
  <c r="EW76" i="4"/>
  <c r="EX76" i="4" s="1"/>
  <c r="EW78" i="4"/>
  <c r="EX78" i="4" s="1"/>
  <c r="EW80" i="4"/>
  <c r="EX80" i="4" s="1"/>
  <c r="EW82" i="4"/>
  <c r="EX82" i="4" s="1"/>
  <c r="EW84" i="4"/>
  <c r="EX84" i="4" s="1"/>
  <c r="EW86" i="4"/>
  <c r="EX86" i="4" s="1"/>
  <c r="EW88" i="4"/>
  <c r="EX88" i="4" s="1"/>
  <c r="EW90" i="4"/>
  <c r="EX90" i="4" s="1"/>
  <c r="EW74" i="4"/>
  <c r="EX74" i="4" s="1"/>
  <c r="EW75" i="4"/>
  <c r="EX75" i="4" s="1"/>
  <c r="EW77" i="4"/>
  <c r="EX77" i="4" s="1"/>
  <c r="EW79" i="4"/>
  <c r="EX79" i="4" s="1"/>
  <c r="EW81" i="4"/>
  <c r="EX81" i="4" s="1"/>
  <c r="EW83" i="4"/>
  <c r="EX83" i="4" s="1"/>
  <c r="EW87" i="4"/>
  <c r="EX87" i="4" s="1"/>
  <c r="EW91" i="4"/>
  <c r="EX91" i="4" s="1"/>
  <c r="EW93" i="4"/>
  <c r="EX93" i="4" s="1"/>
  <c r="EW95" i="4"/>
  <c r="EX95" i="4" s="1"/>
  <c r="EW97" i="4"/>
  <c r="EX97" i="4" s="1"/>
  <c r="EW99" i="4"/>
  <c r="EX99" i="4" s="1"/>
  <c r="EW101" i="4"/>
  <c r="EX101" i="4" s="1"/>
  <c r="EW103" i="4"/>
  <c r="EX103" i="4" s="1"/>
  <c r="EW85" i="4"/>
  <c r="EX85" i="4" s="1"/>
  <c r="EW89" i="4"/>
  <c r="EX89" i="4" s="1"/>
  <c r="EW92" i="4"/>
  <c r="EX92" i="4" s="1"/>
  <c r="EW94" i="4"/>
  <c r="EX94" i="4" s="1"/>
  <c r="EW96" i="4"/>
  <c r="EX96" i="4" s="1"/>
  <c r="EW98" i="4"/>
  <c r="EX98" i="4" s="1"/>
  <c r="EW100" i="4"/>
  <c r="EX100" i="4" s="1"/>
  <c r="EW104" i="4"/>
  <c r="EX104" i="4" s="1"/>
  <c r="EW105" i="4"/>
  <c r="EX105" i="4" s="1"/>
  <c r="EW102" i="4"/>
  <c r="EX102" i="4" s="1"/>
  <c r="EW106" i="4"/>
  <c r="EX106" i="4" s="1"/>
  <c r="EW107" i="4"/>
  <c r="EX107" i="4" s="1"/>
  <c r="EW108" i="4"/>
  <c r="EX108" i="4" s="1"/>
  <c r="EW109" i="4"/>
  <c r="EX109" i="4" s="1"/>
  <c r="EW110" i="4"/>
  <c r="EX110" i="4" s="1"/>
  <c r="EW111" i="4"/>
  <c r="EX111" i="4" s="1"/>
  <c r="EW112" i="4"/>
  <c r="EX112" i="4" s="1"/>
  <c r="EW113" i="4"/>
  <c r="EX113" i="4" s="1"/>
  <c r="EW114" i="4"/>
  <c r="EX114" i="4" s="1"/>
  <c r="EW115" i="4"/>
  <c r="EX115" i="4" s="1"/>
  <c r="EW116" i="4"/>
  <c r="EX116" i="4" s="1"/>
  <c r="EW117" i="4"/>
  <c r="EX117" i="4" s="1"/>
  <c r="EW118" i="4"/>
  <c r="EX118" i="4" s="1"/>
  <c r="EW119" i="4"/>
  <c r="EX119" i="4" s="1"/>
  <c r="EW120" i="4"/>
  <c r="EX120" i="4" s="1"/>
  <c r="EW121" i="4"/>
  <c r="EX121" i="4" s="1"/>
  <c r="EW122" i="4"/>
  <c r="EX122" i="4" s="1"/>
  <c r="EW123" i="4"/>
  <c r="EX123" i="4" s="1"/>
  <c r="EW124" i="4"/>
  <c r="EX124" i="4" s="1"/>
  <c r="EW125" i="4"/>
  <c r="EX125" i="4" s="1"/>
  <c r="EW126" i="4"/>
  <c r="EX126" i="4" s="1"/>
  <c r="EW127" i="4"/>
  <c r="EX127" i="4" s="1"/>
  <c r="EW128" i="4"/>
  <c r="EX128" i="4" s="1"/>
  <c r="EW129" i="4"/>
  <c r="EX129" i="4" s="1"/>
  <c r="EW130" i="4"/>
  <c r="EX130" i="4" s="1"/>
  <c r="EW131" i="4"/>
  <c r="EX131" i="4" s="1"/>
  <c r="EW132" i="4"/>
  <c r="EX132" i="4" s="1"/>
  <c r="EW133" i="4"/>
  <c r="EX133" i="4" s="1"/>
  <c r="EW134" i="4"/>
  <c r="EX134" i="4" s="1"/>
  <c r="EW135" i="4"/>
  <c r="EX135" i="4" s="1"/>
  <c r="EW136" i="4"/>
  <c r="EX136" i="4" s="1"/>
  <c r="EW137" i="4"/>
  <c r="EX137" i="4" s="1"/>
  <c r="EW138" i="4"/>
  <c r="EX138" i="4" s="1"/>
  <c r="EW139" i="4"/>
  <c r="EX139" i="4" s="1"/>
  <c r="EW140" i="4"/>
  <c r="EX140" i="4" s="1"/>
  <c r="EW141" i="4"/>
  <c r="EX141" i="4" s="1"/>
  <c r="EW142" i="4"/>
  <c r="EX142" i="4" s="1"/>
  <c r="EW143" i="4"/>
  <c r="EX143" i="4" s="1"/>
  <c r="EW144" i="4"/>
  <c r="EX144" i="4" s="1"/>
  <c r="EW145" i="4"/>
  <c r="EX145" i="4" s="1"/>
  <c r="EW146" i="4"/>
  <c r="EX146" i="4" s="1"/>
  <c r="EW147" i="4"/>
  <c r="EX147" i="4" s="1"/>
  <c r="EW148" i="4"/>
  <c r="EX148" i="4" s="1"/>
  <c r="EW149" i="4"/>
  <c r="EX149" i="4" s="1"/>
  <c r="EW150" i="4"/>
  <c r="EX150" i="4" s="1"/>
  <c r="EW151" i="4"/>
  <c r="EX151" i="4" s="1"/>
  <c r="EW152" i="4"/>
  <c r="EX152" i="4" s="1"/>
  <c r="EW153" i="4"/>
  <c r="EX153" i="4" s="1"/>
  <c r="M52" i="7"/>
  <c r="C142" i="9" s="1"/>
  <c r="EW154" i="4"/>
  <c r="EX154" i="4" s="1"/>
  <c r="EW155" i="4"/>
  <c r="EX155" i="4" s="1"/>
  <c r="EW156" i="4"/>
  <c r="EX156" i="4" s="1"/>
  <c r="EW157" i="4"/>
  <c r="EX157" i="4" s="1"/>
  <c r="EW158" i="4"/>
  <c r="EX158" i="4" s="1"/>
  <c r="EW159" i="4"/>
  <c r="EX159" i="4" s="1"/>
  <c r="EW160" i="4"/>
  <c r="EX160" i="4" s="1"/>
  <c r="EW161" i="4"/>
  <c r="EX161" i="4" s="1"/>
  <c r="EW162" i="4"/>
  <c r="EX162" i="4" s="1"/>
  <c r="EW163" i="4"/>
  <c r="EX163" i="4" s="1"/>
  <c r="L52" i="7"/>
  <c r="B142" i="9" s="1"/>
  <c r="C56" i="5"/>
  <c r="B56" i="5"/>
  <c r="K55" i="5"/>
  <c r="G366" i="9" s="1"/>
  <c r="F366" i="9"/>
  <c r="N55" i="5"/>
  <c r="D525" i="9" s="1"/>
  <c r="C525" i="9"/>
  <c r="Q55" i="5"/>
  <c r="G525" i="9" s="1"/>
  <c r="F525" i="9"/>
  <c r="B72" i="4"/>
  <c r="J58" i="2"/>
  <c r="P148" i="4"/>
  <c r="N149" i="4"/>
  <c r="S151" i="4"/>
  <c r="Q152" i="4"/>
  <c r="M146" i="4"/>
  <c r="K147" i="4"/>
  <c r="C366" i="9"/>
  <c r="H55" i="5"/>
  <c r="D366" i="9" s="1"/>
  <c r="D53" i="5" l="1"/>
  <c r="D139" i="9" s="1"/>
  <c r="F68" i="4"/>
  <c r="E53" i="5"/>
  <c r="E139" i="9" s="1"/>
  <c r="P57" i="5"/>
  <c r="O57" i="5"/>
  <c r="E527" i="9" s="1"/>
  <c r="M57" i="5"/>
  <c r="I57" i="5"/>
  <c r="E368" i="9" s="1"/>
  <c r="F57" i="5"/>
  <c r="B368" i="9" s="1"/>
  <c r="L57" i="5"/>
  <c r="B527" i="9" s="1"/>
  <c r="J57" i="5"/>
  <c r="G57" i="5"/>
  <c r="E72" i="4"/>
  <c r="K54" i="7"/>
  <c r="C526" i="9"/>
  <c r="N56" i="5"/>
  <c r="D526" i="9" s="1"/>
  <c r="K56" i="5"/>
  <c r="G367" i="9" s="1"/>
  <c r="F367" i="9"/>
  <c r="Q56" i="5"/>
  <c r="G526" i="9" s="1"/>
  <c r="F526" i="9"/>
  <c r="M147" i="4"/>
  <c r="K148" i="4"/>
  <c r="S152" i="4"/>
  <c r="Q153" i="4"/>
  <c r="P149" i="4"/>
  <c r="N150" i="4"/>
  <c r="B73" i="4"/>
  <c r="J59" i="2"/>
  <c r="EZ72" i="4"/>
  <c r="FA72" i="4" s="1"/>
  <c r="J72" i="4" s="1"/>
  <c r="EZ73" i="4"/>
  <c r="FA73" i="4" s="1"/>
  <c r="EZ74" i="4"/>
  <c r="FA74" i="4" s="1"/>
  <c r="EZ76" i="4"/>
  <c r="FA76" i="4" s="1"/>
  <c r="EZ78" i="4"/>
  <c r="FA78" i="4" s="1"/>
  <c r="EZ80" i="4"/>
  <c r="FA80" i="4" s="1"/>
  <c r="EZ82" i="4"/>
  <c r="FA82" i="4" s="1"/>
  <c r="EZ84" i="4"/>
  <c r="FA84" i="4" s="1"/>
  <c r="EZ86" i="4"/>
  <c r="FA86" i="4" s="1"/>
  <c r="EZ88" i="4"/>
  <c r="FA88" i="4" s="1"/>
  <c r="EZ90" i="4"/>
  <c r="FA90" i="4" s="1"/>
  <c r="EZ75" i="4"/>
  <c r="FA75" i="4" s="1"/>
  <c r="EZ77" i="4"/>
  <c r="FA77" i="4" s="1"/>
  <c r="EZ79" i="4"/>
  <c r="FA79" i="4" s="1"/>
  <c r="EZ81" i="4"/>
  <c r="FA81" i="4" s="1"/>
  <c r="EZ85" i="4"/>
  <c r="FA85" i="4" s="1"/>
  <c r="EZ89" i="4"/>
  <c r="FA89" i="4" s="1"/>
  <c r="EZ91" i="4"/>
  <c r="FA91" i="4" s="1"/>
  <c r="EZ93" i="4"/>
  <c r="FA93" i="4" s="1"/>
  <c r="EZ95" i="4"/>
  <c r="FA95" i="4" s="1"/>
  <c r="EZ97" i="4"/>
  <c r="FA97" i="4" s="1"/>
  <c r="EZ99" i="4"/>
  <c r="FA99" i="4" s="1"/>
  <c r="EZ101" i="4"/>
  <c r="FA101" i="4" s="1"/>
  <c r="EZ103" i="4"/>
  <c r="FA103" i="4" s="1"/>
  <c r="EZ83" i="4"/>
  <c r="FA83" i="4" s="1"/>
  <c r="EZ87" i="4"/>
  <c r="FA87" i="4" s="1"/>
  <c r="EZ92" i="4"/>
  <c r="FA92" i="4" s="1"/>
  <c r="EZ94" i="4"/>
  <c r="FA94" i="4" s="1"/>
  <c r="EZ96" i="4"/>
  <c r="FA96" i="4" s="1"/>
  <c r="EZ98" i="4"/>
  <c r="FA98" i="4" s="1"/>
  <c r="EZ100" i="4"/>
  <c r="FA100" i="4" s="1"/>
  <c r="EZ102" i="4"/>
  <c r="FA102" i="4" s="1"/>
  <c r="EZ104" i="4"/>
  <c r="FA104" i="4" s="1"/>
  <c r="EZ105" i="4"/>
  <c r="FA105" i="4" s="1"/>
  <c r="EZ106" i="4"/>
  <c r="FA106" i="4" s="1"/>
  <c r="EZ107" i="4"/>
  <c r="FA107" i="4" s="1"/>
  <c r="EZ108" i="4"/>
  <c r="FA108" i="4" s="1"/>
  <c r="EZ109" i="4"/>
  <c r="FA109" i="4" s="1"/>
  <c r="EZ110" i="4"/>
  <c r="FA110" i="4" s="1"/>
  <c r="EZ111" i="4"/>
  <c r="FA111" i="4" s="1"/>
  <c r="EZ112" i="4"/>
  <c r="FA112" i="4" s="1"/>
  <c r="EZ113" i="4"/>
  <c r="FA113" i="4" s="1"/>
  <c r="EZ114" i="4"/>
  <c r="FA114" i="4" s="1"/>
  <c r="EZ115" i="4"/>
  <c r="FA115" i="4" s="1"/>
  <c r="EZ116" i="4"/>
  <c r="FA116" i="4" s="1"/>
  <c r="EZ117" i="4"/>
  <c r="FA117" i="4" s="1"/>
  <c r="EZ118" i="4"/>
  <c r="FA118" i="4" s="1"/>
  <c r="EZ119" i="4"/>
  <c r="FA119" i="4" s="1"/>
  <c r="EZ120" i="4"/>
  <c r="FA120" i="4" s="1"/>
  <c r="EZ121" i="4"/>
  <c r="FA121" i="4" s="1"/>
  <c r="EZ122" i="4"/>
  <c r="FA122" i="4" s="1"/>
  <c r="EZ123" i="4"/>
  <c r="FA123" i="4" s="1"/>
  <c r="EZ124" i="4"/>
  <c r="FA124" i="4" s="1"/>
  <c r="EZ125" i="4"/>
  <c r="FA125" i="4" s="1"/>
  <c r="EZ126" i="4"/>
  <c r="FA126" i="4" s="1"/>
  <c r="EZ127" i="4"/>
  <c r="FA127" i="4" s="1"/>
  <c r="EZ128" i="4"/>
  <c r="FA128" i="4" s="1"/>
  <c r="EZ129" i="4"/>
  <c r="FA129" i="4" s="1"/>
  <c r="EZ130" i="4"/>
  <c r="FA130" i="4" s="1"/>
  <c r="EZ131" i="4"/>
  <c r="FA131" i="4" s="1"/>
  <c r="EZ132" i="4"/>
  <c r="FA132" i="4" s="1"/>
  <c r="EZ133" i="4"/>
  <c r="FA133" i="4" s="1"/>
  <c r="EZ134" i="4"/>
  <c r="FA134" i="4" s="1"/>
  <c r="EZ135" i="4"/>
  <c r="FA135" i="4" s="1"/>
  <c r="EZ136" i="4"/>
  <c r="FA136" i="4" s="1"/>
  <c r="EZ137" i="4"/>
  <c r="FA137" i="4" s="1"/>
  <c r="EZ138" i="4"/>
  <c r="FA138" i="4" s="1"/>
  <c r="EZ139" i="4"/>
  <c r="FA139" i="4" s="1"/>
  <c r="EZ140" i="4"/>
  <c r="FA140" i="4" s="1"/>
  <c r="EZ141" i="4"/>
  <c r="FA141" i="4" s="1"/>
  <c r="EZ142" i="4"/>
  <c r="FA142" i="4" s="1"/>
  <c r="EZ143" i="4"/>
  <c r="FA143" i="4" s="1"/>
  <c r="EZ144" i="4"/>
  <c r="FA144" i="4" s="1"/>
  <c r="EZ145" i="4"/>
  <c r="FA145" i="4" s="1"/>
  <c r="EZ146" i="4"/>
  <c r="FA146" i="4" s="1"/>
  <c r="EZ147" i="4"/>
  <c r="FA147" i="4" s="1"/>
  <c r="EZ148" i="4"/>
  <c r="FA148" i="4" s="1"/>
  <c r="EZ149" i="4"/>
  <c r="FA149" i="4" s="1"/>
  <c r="EZ150" i="4"/>
  <c r="FA150" i="4" s="1"/>
  <c r="EZ151" i="4"/>
  <c r="FA151" i="4" s="1"/>
  <c r="EZ152" i="4"/>
  <c r="FA152" i="4" s="1"/>
  <c r="EZ153" i="4"/>
  <c r="FA153" i="4" s="1"/>
  <c r="M53" i="7"/>
  <c r="C143" i="9" s="1"/>
  <c r="EZ154" i="4"/>
  <c r="FA154" i="4" s="1"/>
  <c r="EZ155" i="4"/>
  <c r="FA155" i="4" s="1"/>
  <c r="EZ156" i="4"/>
  <c r="FA156" i="4" s="1"/>
  <c r="EZ157" i="4"/>
  <c r="FA157" i="4" s="1"/>
  <c r="EZ158" i="4"/>
  <c r="FA158" i="4" s="1"/>
  <c r="EZ159" i="4"/>
  <c r="FA159" i="4" s="1"/>
  <c r="EZ160" i="4"/>
  <c r="FA160" i="4" s="1"/>
  <c r="EZ161" i="4"/>
  <c r="FA161" i="4" s="1"/>
  <c r="EZ162" i="4"/>
  <c r="FA162" i="4" s="1"/>
  <c r="EZ163" i="4"/>
  <c r="FA163" i="4" s="1"/>
  <c r="L53" i="7"/>
  <c r="B143" i="9" s="1"/>
  <c r="C57" i="5"/>
  <c r="B57" i="5"/>
  <c r="H56" i="5"/>
  <c r="D367" i="9" s="1"/>
  <c r="C367" i="9"/>
  <c r="D54" i="5" l="1"/>
  <c r="D140" i="9" s="1"/>
  <c r="E54" i="5"/>
  <c r="E140" i="9" s="1"/>
  <c r="F69" i="4"/>
  <c r="O58" i="5"/>
  <c r="E528" i="9" s="1"/>
  <c r="P58" i="5"/>
  <c r="L58" i="5"/>
  <c r="B528" i="9" s="1"/>
  <c r="J58" i="5"/>
  <c r="G58" i="5"/>
  <c r="M58" i="5"/>
  <c r="I58" i="5"/>
  <c r="E369" i="9" s="1"/>
  <c r="F58" i="5"/>
  <c r="B369" i="9" s="1"/>
  <c r="E73" i="4"/>
  <c r="K55" i="7"/>
  <c r="FC76" i="4"/>
  <c r="FD76" i="4" s="1"/>
  <c r="FC78" i="4"/>
  <c r="FD78" i="4" s="1"/>
  <c r="FC80" i="4"/>
  <c r="FD80" i="4" s="1"/>
  <c r="FC82" i="4"/>
  <c r="FD82" i="4" s="1"/>
  <c r="FC84" i="4"/>
  <c r="FD84" i="4" s="1"/>
  <c r="FC86" i="4"/>
  <c r="FD86" i="4" s="1"/>
  <c r="FC88" i="4"/>
  <c r="FD88" i="4" s="1"/>
  <c r="FC90" i="4"/>
  <c r="FD90" i="4" s="1"/>
  <c r="FC73" i="4"/>
  <c r="FD73" i="4" s="1"/>
  <c r="J73" i="4" s="1"/>
  <c r="FC74" i="4"/>
  <c r="FD74" i="4" s="1"/>
  <c r="FC75" i="4"/>
  <c r="FD75" i="4" s="1"/>
  <c r="FC77" i="4"/>
  <c r="FD77" i="4" s="1"/>
  <c r="FC79" i="4"/>
  <c r="FD79" i="4" s="1"/>
  <c r="FC81" i="4"/>
  <c r="FD81" i="4" s="1"/>
  <c r="FC83" i="4"/>
  <c r="FD83" i="4" s="1"/>
  <c r="FC87" i="4"/>
  <c r="FD87" i="4" s="1"/>
  <c r="FC91" i="4"/>
  <c r="FD91" i="4" s="1"/>
  <c r="FC93" i="4"/>
  <c r="FD93" i="4" s="1"/>
  <c r="FC95" i="4"/>
  <c r="FD95" i="4" s="1"/>
  <c r="FC97" i="4"/>
  <c r="FD97" i="4" s="1"/>
  <c r="FC99" i="4"/>
  <c r="FD99" i="4" s="1"/>
  <c r="FC101" i="4"/>
  <c r="FD101" i="4" s="1"/>
  <c r="FC103" i="4"/>
  <c r="FD103" i="4" s="1"/>
  <c r="FC85" i="4"/>
  <c r="FD85" i="4" s="1"/>
  <c r="FC89" i="4"/>
  <c r="FD89" i="4" s="1"/>
  <c r="FC92" i="4"/>
  <c r="FD92" i="4" s="1"/>
  <c r="FC94" i="4"/>
  <c r="FD94" i="4" s="1"/>
  <c r="FC96" i="4"/>
  <c r="FD96" i="4" s="1"/>
  <c r="FC98" i="4"/>
  <c r="FD98" i="4" s="1"/>
  <c r="FC100" i="4"/>
  <c r="FD100" i="4" s="1"/>
  <c r="FC104" i="4"/>
  <c r="FD104" i="4" s="1"/>
  <c r="FC105" i="4"/>
  <c r="FD105" i="4" s="1"/>
  <c r="FC102" i="4"/>
  <c r="FD102" i="4" s="1"/>
  <c r="FC106" i="4"/>
  <c r="FD106" i="4" s="1"/>
  <c r="FC107" i="4"/>
  <c r="FD107" i="4" s="1"/>
  <c r="FC108" i="4"/>
  <c r="FD108" i="4" s="1"/>
  <c r="FC109" i="4"/>
  <c r="FD109" i="4" s="1"/>
  <c r="FC110" i="4"/>
  <c r="FD110" i="4" s="1"/>
  <c r="FC111" i="4"/>
  <c r="FD111" i="4" s="1"/>
  <c r="FC112" i="4"/>
  <c r="FD112" i="4" s="1"/>
  <c r="FC113" i="4"/>
  <c r="FD113" i="4" s="1"/>
  <c r="FC114" i="4"/>
  <c r="FD114" i="4" s="1"/>
  <c r="FC115" i="4"/>
  <c r="FD115" i="4" s="1"/>
  <c r="FC116" i="4"/>
  <c r="FD116" i="4" s="1"/>
  <c r="FC117" i="4"/>
  <c r="FD117" i="4" s="1"/>
  <c r="FC118" i="4"/>
  <c r="FD118" i="4" s="1"/>
  <c r="FC119" i="4"/>
  <c r="FD119" i="4" s="1"/>
  <c r="FC120" i="4"/>
  <c r="FD120" i="4" s="1"/>
  <c r="FC121" i="4"/>
  <c r="FD121" i="4" s="1"/>
  <c r="FC122" i="4"/>
  <c r="FD122" i="4" s="1"/>
  <c r="FC123" i="4"/>
  <c r="FD123" i="4" s="1"/>
  <c r="FC124" i="4"/>
  <c r="FD124" i="4" s="1"/>
  <c r="FC125" i="4"/>
  <c r="FD125" i="4" s="1"/>
  <c r="FC126" i="4"/>
  <c r="FD126" i="4" s="1"/>
  <c r="FC127" i="4"/>
  <c r="FD127" i="4" s="1"/>
  <c r="FC128" i="4"/>
  <c r="FD128" i="4" s="1"/>
  <c r="FC129" i="4"/>
  <c r="FD129" i="4" s="1"/>
  <c r="FC130" i="4"/>
  <c r="FD130" i="4" s="1"/>
  <c r="FC131" i="4"/>
  <c r="FD131" i="4" s="1"/>
  <c r="FC132" i="4"/>
  <c r="FD132" i="4" s="1"/>
  <c r="FC133" i="4"/>
  <c r="FD133" i="4" s="1"/>
  <c r="FC134" i="4"/>
  <c r="FD134" i="4" s="1"/>
  <c r="FC135" i="4"/>
  <c r="FD135" i="4" s="1"/>
  <c r="FC136" i="4"/>
  <c r="FD136" i="4" s="1"/>
  <c r="FC137" i="4"/>
  <c r="FD137" i="4" s="1"/>
  <c r="FC138" i="4"/>
  <c r="FD138" i="4" s="1"/>
  <c r="FC139" i="4"/>
  <c r="FD139" i="4" s="1"/>
  <c r="FC140" i="4"/>
  <c r="FD140" i="4" s="1"/>
  <c r="FC141" i="4"/>
  <c r="FD141" i="4" s="1"/>
  <c r="FC142" i="4"/>
  <c r="FD142" i="4" s="1"/>
  <c r="FC143" i="4"/>
  <c r="FD143" i="4" s="1"/>
  <c r="FC144" i="4"/>
  <c r="FD144" i="4" s="1"/>
  <c r="FC145" i="4"/>
  <c r="FD145" i="4" s="1"/>
  <c r="FC146" i="4"/>
  <c r="FD146" i="4" s="1"/>
  <c r="FC147" i="4"/>
  <c r="FD147" i="4" s="1"/>
  <c r="FC148" i="4"/>
  <c r="FD148" i="4" s="1"/>
  <c r="FC149" i="4"/>
  <c r="FD149" i="4" s="1"/>
  <c r="FC150" i="4"/>
  <c r="FD150" i="4" s="1"/>
  <c r="FC151" i="4"/>
  <c r="FD151" i="4" s="1"/>
  <c r="FC152" i="4"/>
  <c r="FD152" i="4" s="1"/>
  <c r="FC153" i="4"/>
  <c r="FD153" i="4" s="1"/>
  <c r="M54" i="7"/>
  <c r="C144" i="9" s="1"/>
  <c r="FC154" i="4"/>
  <c r="FD154" i="4" s="1"/>
  <c r="FC155" i="4"/>
  <c r="FD155" i="4" s="1"/>
  <c r="FC156" i="4"/>
  <c r="FD156" i="4" s="1"/>
  <c r="FC157" i="4"/>
  <c r="FD157" i="4" s="1"/>
  <c r="FC158" i="4"/>
  <c r="FD158" i="4" s="1"/>
  <c r="FC159" i="4"/>
  <c r="FD159" i="4" s="1"/>
  <c r="FC160" i="4"/>
  <c r="FD160" i="4" s="1"/>
  <c r="FC161" i="4"/>
  <c r="FD161" i="4" s="1"/>
  <c r="FC162" i="4"/>
  <c r="FD162" i="4" s="1"/>
  <c r="FC163" i="4"/>
  <c r="FD163" i="4" s="1"/>
  <c r="L54" i="7"/>
  <c r="B144" i="9" s="1"/>
  <c r="C58" i="5"/>
  <c r="B58" i="5"/>
  <c r="C368" i="9"/>
  <c r="H57" i="5"/>
  <c r="D368" i="9" s="1"/>
  <c r="B74" i="4"/>
  <c r="J60" i="2"/>
  <c r="P150" i="4"/>
  <c r="N151" i="4"/>
  <c r="S153" i="4"/>
  <c r="Q154" i="4"/>
  <c r="M148" i="4"/>
  <c r="K149" i="4"/>
  <c r="K57" i="5"/>
  <c r="G368" i="9" s="1"/>
  <c r="F368" i="9"/>
  <c r="N57" i="5"/>
  <c r="D527" i="9" s="1"/>
  <c r="C527" i="9"/>
  <c r="Q57" i="5"/>
  <c r="G527" i="9" s="1"/>
  <c r="F527" i="9"/>
  <c r="D55" i="5" l="1"/>
  <c r="D141" i="9" s="1"/>
  <c r="F70" i="4"/>
  <c r="E55" i="5"/>
  <c r="E141" i="9" s="1"/>
  <c r="P59" i="5"/>
  <c r="O59" i="5"/>
  <c r="E535" i="9" s="1"/>
  <c r="M59" i="5"/>
  <c r="I59" i="5"/>
  <c r="E376" i="9" s="1"/>
  <c r="F59" i="5"/>
  <c r="B376" i="9" s="1"/>
  <c r="L59" i="5"/>
  <c r="B535" i="9" s="1"/>
  <c r="J59" i="5"/>
  <c r="G59" i="5"/>
  <c r="E74" i="4"/>
  <c r="K56" i="7"/>
  <c r="C528" i="9"/>
  <c r="N58" i="5"/>
  <c r="D528" i="9" s="1"/>
  <c r="K58" i="5"/>
  <c r="G369" i="9" s="1"/>
  <c r="F369" i="9"/>
  <c r="Q58" i="5"/>
  <c r="G528" i="9" s="1"/>
  <c r="F528" i="9"/>
  <c r="M149" i="4"/>
  <c r="K150" i="4"/>
  <c r="S154" i="4"/>
  <c r="Q155" i="4"/>
  <c r="P151" i="4"/>
  <c r="N152" i="4"/>
  <c r="B75" i="4"/>
  <c r="J61" i="2"/>
  <c r="FF74" i="4"/>
  <c r="FG74" i="4" s="1"/>
  <c r="J74" i="4" s="1"/>
  <c r="FF76" i="4"/>
  <c r="FG76" i="4" s="1"/>
  <c r="FF78" i="4"/>
  <c r="FG78" i="4" s="1"/>
  <c r="FF80" i="4"/>
  <c r="FG80" i="4" s="1"/>
  <c r="FF82" i="4"/>
  <c r="FG82" i="4" s="1"/>
  <c r="FF84" i="4"/>
  <c r="FG84" i="4" s="1"/>
  <c r="FF86" i="4"/>
  <c r="FG86" i="4" s="1"/>
  <c r="FF88" i="4"/>
  <c r="FG88" i="4" s="1"/>
  <c r="FF90" i="4"/>
  <c r="FG90" i="4" s="1"/>
  <c r="FF75" i="4"/>
  <c r="FG75" i="4" s="1"/>
  <c r="FF77" i="4"/>
  <c r="FG77" i="4" s="1"/>
  <c r="FF79" i="4"/>
  <c r="FG79" i="4" s="1"/>
  <c r="FF81" i="4"/>
  <c r="FG81" i="4" s="1"/>
  <c r="FF85" i="4"/>
  <c r="FG85" i="4" s="1"/>
  <c r="FF89" i="4"/>
  <c r="FG89" i="4" s="1"/>
  <c r="FF91" i="4"/>
  <c r="FG91" i="4" s="1"/>
  <c r="FF93" i="4"/>
  <c r="FG93" i="4" s="1"/>
  <c r="FF95" i="4"/>
  <c r="FG95" i="4" s="1"/>
  <c r="FF97" i="4"/>
  <c r="FG97" i="4" s="1"/>
  <c r="FF99" i="4"/>
  <c r="FG99" i="4" s="1"/>
  <c r="FF101" i="4"/>
  <c r="FG101" i="4" s="1"/>
  <c r="FF103" i="4"/>
  <c r="FG103" i="4" s="1"/>
  <c r="FF83" i="4"/>
  <c r="FG83" i="4" s="1"/>
  <c r="FF87" i="4"/>
  <c r="FG87" i="4" s="1"/>
  <c r="FF92" i="4"/>
  <c r="FG92" i="4" s="1"/>
  <c r="FF94" i="4"/>
  <c r="FG94" i="4" s="1"/>
  <c r="FF96" i="4"/>
  <c r="FG96" i="4" s="1"/>
  <c r="FF98" i="4"/>
  <c r="FG98" i="4" s="1"/>
  <c r="FF100" i="4"/>
  <c r="FG100" i="4" s="1"/>
  <c r="FF102" i="4"/>
  <c r="FG102" i="4" s="1"/>
  <c r="FF104" i="4"/>
  <c r="FG104" i="4" s="1"/>
  <c r="FF105" i="4"/>
  <c r="FG105" i="4" s="1"/>
  <c r="FF106" i="4"/>
  <c r="FG106" i="4" s="1"/>
  <c r="FF107" i="4"/>
  <c r="FG107" i="4" s="1"/>
  <c r="FF108" i="4"/>
  <c r="FG108" i="4" s="1"/>
  <c r="FF109" i="4"/>
  <c r="FG109" i="4" s="1"/>
  <c r="FF110" i="4"/>
  <c r="FG110" i="4" s="1"/>
  <c r="FF111" i="4"/>
  <c r="FG111" i="4" s="1"/>
  <c r="FF112" i="4"/>
  <c r="FG112" i="4" s="1"/>
  <c r="FF113" i="4"/>
  <c r="FG113" i="4" s="1"/>
  <c r="FF114" i="4"/>
  <c r="FG114" i="4" s="1"/>
  <c r="FF115" i="4"/>
  <c r="FG115" i="4" s="1"/>
  <c r="FF116" i="4"/>
  <c r="FG116" i="4" s="1"/>
  <c r="FF117" i="4"/>
  <c r="FG117" i="4" s="1"/>
  <c r="FF118" i="4"/>
  <c r="FG118" i="4" s="1"/>
  <c r="FF119" i="4"/>
  <c r="FG119" i="4" s="1"/>
  <c r="FF120" i="4"/>
  <c r="FG120" i="4" s="1"/>
  <c r="FF121" i="4"/>
  <c r="FG121" i="4" s="1"/>
  <c r="FF122" i="4"/>
  <c r="FG122" i="4" s="1"/>
  <c r="FF123" i="4"/>
  <c r="FG123" i="4" s="1"/>
  <c r="FF124" i="4"/>
  <c r="FG124" i="4" s="1"/>
  <c r="FF125" i="4"/>
  <c r="FG125" i="4" s="1"/>
  <c r="FF126" i="4"/>
  <c r="FG126" i="4" s="1"/>
  <c r="FF127" i="4"/>
  <c r="FG127" i="4" s="1"/>
  <c r="FF128" i="4"/>
  <c r="FG128" i="4" s="1"/>
  <c r="FF129" i="4"/>
  <c r="FG129" i="4" s="1"/>
  <c r="FF130" i="4"/>
  <c r="FG130" i="4" s="1"/>
  <c r="FF131" i="4"/>
  <c r="FG131" i="4" s="1"/>
  <c r="FF132" i="4"/>
  <c r="FG132" i="4" s="1"/>
  <c r="FF133" i="4"/>
  <c r="FG133" i="4" s="1"/>
  <c r="FF134" i="4"/>
  <c r="FG134" i="4" s="1"/>
  <c r="FF135" i="4"/>
  <c r="FG135" i="4" s="1"/>
  <c r="FF136" i="4"/>
  <c r="FG136" i="4" s="1"/>
  <c r="FF137" i="4"/>
  <c r="FG137" i="4" s="1"/>
  <c r="FF138" i="4"/>
  <c r="FG138" i="4" s="1"/>
  <c r="FF139" i="4"/>
  <c r="FG139" i="4" s="1"/>
  <c r="FF140" i="4"/>
  <c r="FG140" i="4" s="1"/>
  <c r="FF141" i="4"/>
  <c r="FG141" i="4" s="1"/>
  <c r="FF142" i="4"/>
  <c r="FG142" i="4" s="1"/>
  <c r="FF143" i="4"/>
  <c r="FG143" i="4" s="1"/>
  <c r="FF144" i="4"/>
  <c r="FG144" i="4" s="1"/>
  <c r="FF145" i="4"/>
  <c r="FG145" i="4" s="1"/>
  <c r="FF146" i="4"/>
  <c r="FG146" i="4" s="1"/>
  <c r="FF147" i="4"/>
  <c r="FG147" i="4" s="1"/>
  <c r="FF148" i="4"/>
  <c r="FG148" i="4" s="1"/>
  <c r="FF149" i="4"/>
  <c r="FG149" i="4" s="1"/>
  <c r="FF150" i="4"/>
  <c r="FG150" i="4" s="1"/>
  <c r="FF151" i="4"/>
  <c r="FG151" i="4" s="1"/>
  <c r="FF152" i="4"/>
  <c r="FG152" i="4" s="1"/>
  <c r="FF153" i="4"/>
  <c r="FG153" i="4" s="1"/>
  <c r="M55" i="7"/>
  <c r="C145" i="9" s="1"/>
  <c r="FF154" i="4"/>
  <c r="FG154" i="4" s="1"/>
  <c r="FF155" i="4"/>
  <c r="FG155" i="4" s="1"/>
  <c r="FF156" i="4"/>
  <c r="FG156" i="4" s="1"/>
  <c r="FF157" i="4"/>
  <c r="FG157" i="4" s="1"/>
  <c r="FF158" i="4"/>
  <c r="FG158" i="4" s="1"/>
  <c r="FF159" i="4"/>
  <c r="FG159" i="4" s="1"/>
  <c r="FF160" i="4"/>
  <c r="FG160" i="4" s="1"/>
  <c r="FF161" i="4"/>
  <c r="FG161" i="4" s="1"/>
  <c r="FF162" i="4"/>
  <c r="FG162" i="4" s="1"/>
  <c r="FF163" i="4"/>
  <c r="FG163" i="4" s="1"/>
  <c r="L55" i="7"/>
  <c r="B145" i="9" s="1"/>
  <c r="C59" i="5"/>
  <c r="B59" i="5"/>
  <c r="H58" i="5"/>
  <c r="D369" i="9" s="1"/>
  <c r="C369" i="9"/>
  <c r="D56" i="5" l="1"/>
  <c r="D142" i="9" s="1"/>
  <c r="E56" i="5"/>
  <c r="E142" i="9" s="1"/>
  <c r="F71" i="4"/>
  <c r="O60" i="5"/>
  <c r="E536" i="9" s="1"/>
  <c r="P60" i="5"/>
  <c r="L60" i="5"/>
  <c r="B536" i="9" s="1"/>
  <c r="J60" i="5"/>
  <c r="G60" i="5"/>
  <c r="M60" i="5"/>
  <c r="I60" i="5"/>
  <c r="E377" i="9" s="1"/>
  <c r="F60" i="5"/>
  <c r="B377" i="9" s="1"/>
  <c r="E75" i="4"/>
  <c r="K57" i="7"/>
  <c r="FI75" i="4"/>
  <c r="FJ75" i="4" s="1"/>
  <c r="J75" i="4" s="1"/>
  <c r="FI76" i="4"/>
  <c r="FJ76" i="4" s="1"/>
  <c r="FI78" i="4"/>
  <c r="FJ78" i="4" s="1"/>
  <c r="FI80" i="4"/>
  <c r="FJ80" i="4" s="1"/>
  <c r="FI82" i="4"/>
  <c r="FJ82" i="4" s="1"/>
  <c r="FI84" i="4"/>
  <c r="FJ84" i="4" s="1"/>
  <c r="FI86" i="4"/>
  <c r="FJ86" i="4" s="1"/>
  <c r="FI88" i="4"/>
  <c r="FJ88" i="4" s="1"/>
  <c r="FI90" i="4"/>
  <c r="FJ90" i="4" s="1"/>
  <c r="FI77" i="4"/>
  <c r="FJ77" i="4" s="1"/>
  <c r="FI79" i="4"/>
  <c r="FJ79" i="4" s="1"/>
  <c r="FI81" i="4"/>
  <c r="FJ81" i="4" s="1"/>
  <c r="FI83" i="4"/>
  <c r="FJ83" i="4" s="1"/>
  <c r="FI87" i="4"/>
  <c r="FJ87" i="4" s="1"/>
  <c r="FI91" i="4"/>
  <c r="FJ91" i="4" s="1"/>
  <c r="FI93" i="4"/>
  <c r="FJ93" i="4" s="1"/>
  <c r="FI95" i="4"/>
  <c r="FJ95" i="4" s="1"/>
  <c r="FI97" i="4"/>
  <c r="FJ97" i="4" s="1"/>
  <c r="FI99" i="4"/>
  <c r="FJ99" i="4" s="1"/>
  <c r="FI101" i="4"/>
  <c r="FJ101" i="4" s="1"/>
  <c r="FI103" i="4"/>
  <c r="FJ103" i="4" s="1"/>
  <c r="FI85" i="4"/>
  <c r="FJ85" i="4" s="1"/>
  <c r="FI89" i="4"/>
  <c r="FJ89" i="4" s="1"/>
  <c r="FI92" i="4"/>
  <c r="FJ92" i="4" s="1"/>
  <c r="FI94" i="4"/>
  <c r="FJ94" i="4" s="1"/>
  <c r="FI96" i="4"/>
  <c r="FJ96" i="4" s="1"/>
  <c r="FI98" i="4"/>
  <c r="FJ98" i="4" s="1"/>
  <c r="FI100" i="4"/>
  <c r="FJ100" i="4" s="1"/>
  <c r="FI104" i="4"/>
  <c r="FJ104" i="4" s="1"/>
  <c r="FI105" i="4"/>
  <c r="FJ105" i="4" s="1"/>
  <c r="FI102" i="4"/>
  <c r="FJ102" i="4" s="1"/>
  <c r="FI106" i="4"/>
  <c r="FJ106" i="4" s="1"/>
  <c r="FI107" i="4"/>
  <c r="FJ107" i="4" s="1"/>
  <c r="FI108" i="4"/>
  <c r="FJ108" i="4" s="1"/>
  <c r="FI109" i="4"/>
  <c r="FJ109" i="4" s="1"/>
  <c r="FI110" i="4"/>
  <c r="FJ110" i="4" s="1"/>
  <c r="FI111" i="4"/>
  <c r="FJ111" i="4" s="1"/>
  <c r="FI112" i="4"/>
  <c r="FJ112" i="4" s="1"/>
  <c r="FI113" i="4"/>
  <c r="FJ113" i="4" s="1"/>
  <c r="FI114" i="4"/>
  <c r="FJ114" i="4" s="1"/>
  <c r="FI115" i="4"/>
  <c r="FJ115" i="4" s="1"/>
  <c r="FI116" i="4"/>
  <c r="FJ116" i="4" s="1"/>
  <c r="FI117" i="4"/>
  <c r="FJ117" i="4" s="1"/>
  <c r="FI118" i="4"/>
  <c r="FJ118" i="4" s="1"/>
  <c r="FI119" i="4"/>
  <c r="FJ119" i="4" s="1"/>
  <c r="FI120" i="4"/>
  <c r="FJ120" i="4" s="1"/>
  <c r="FI121" i="4"/>
  <c r="FJ121" i="4" s="1"/>
  <c r="FI122" i="4"/>
  <c r="FJ122" i="4" s="1"/>
  <c r="FI123" i="4"/>
  <c r="FJ123" i="4" s="1"/>
  <c r="FI124" i="4"/>
  <c r="FJ124" i="4" s="1"/>
  <c r="FI125" i="4"/>
  <c r="FJ125" i="4" s="1"/>
  <c r="FI126" i="4"/>
  <c r="FJ126" i="4" s="1"/>
  <c r="FI127" i="4"/>
  <c r="FJ127" i="4" s="1"/>
  <c r="FI128" i="4"/>
  <c r="FJ128" i="4" s="1"/>
  <c r="FI129" i="4"/>
  <c r="FJ129" i="4" s="1"/>
  <c r="FI130" i="4"/>
  <c r="FJ130" i="4" s="1"/>
  <c r="FI131" i="4"/>
  <c r="FJ131" i="4" s="1"/>
  <c r="FI132" i="4"/>
  <c r="FJ132" i="4" s="1"/>
  <c r="FI133" i="4"/>
  <c r="FJ133" i="4" s="1"/>
  <c r="FI134" i="4"/>
  <c r="FJ134" i="4" s="1"/>
  <c r="FI135" i="4"/>
  <c r="FJ135" i="4" s="1"/>
  <c r="FI136" i="4"/>
  <c r="FJ136" i="4" s="1"/>
  <c r="FI137" i="4"/>
  <c r="FJ137" i="4" s="1"/>
  <c r="FI138" i="4"/>
  <c r="FJ138" i="4" s="1"/>
  <c r="FI139" i="4"/>
  <c r="FJ139" i="4" s="1"/>
  <c r="FI140" i="4"/>
  <c r="FJ140" i="4" s="1"/>
  <c r="FI141" i="4"/>
  <c r="FJ141" i="4" s="1"/>
  <c r="FI142" i="4"/>
  <c r="FJ142" i="4" s="1"/>
  <c r="FI143" i="4"/>
  <c r="FJ143" i="4" s="1"/>
  <c r="FI144" i="4"/>
  <c r="FJ144" i="4" s="1"/>
  <c r="FI145" i="4"/>
  <c r="FJ145" i="4" s="1"/>
  <c r="FI146" i="4"/>
  <c r="FJ146" i="4" s="1"/>
  <c r="FI147" i="4"/>
  <c r="FJ147" i="4" s="1"/>
  <c r="FI148" i="4"/>
  <c r="FJ148" i="4" s="1"/>
  <c r="FI149" i="4"/>
  <c r="FJ149" i="4" s="1"/>
  <c r="FI150" i="4"/>
  <c r="FJ150" i="4" s="1"/>
  <c r="FI151" i="4"/>
  <c r="FJ151" i="4" s="1"/>
  <c r="FI152" i="4"/>
  <c r="FJ152" i="4" s="1"/>
  <c r="FI153" i="4"/>
  <c r="FJ153" i="4" s="1"/>
  <c r="M56" i="7"/>
  <c r="C146" i="9" s="1"/>
  <c r="FI154" i="4"/>
  <c r="FJ154" i="4" s="1"/>
  <c r="FI155" i="4"/>
  <c r="FJ155" i="4" s="1"/>
  <c r="FI156" i="4"/>
  <c r="FJ156" i="4" s="1"/>
  <c r="FI157" i="4"/>
  <c r="FJ157" i="4" s="1"/>
  <c r="FI158" i="4"/>
  <c r="FJ158" i="4" s="1"/>
  <c r="FI159" i="4"/>
  <c r="FJ159" i="4" s="1"/>
  <c r="FI160" i="4"/>
  <c r="FJ160" i="4" s="1"/>
  <c r="FI161" i="4"/>
  <c r="FJ161" i="4" s="1"/>
  <c r="FI162" i="4"/>
  <c r="FJ162" i="4" s="1"/>
  <c r="FI163" i="4"/>
  <c r="FJ163" i="4" s="1"/>
  <c r="L56" i="7"/>
  <c r="B146" i="9" s="1"/>
  <c r="C60" i="5"/>
  <c r="B60" i="5"/>
  <c r="C376" i="9"/>
  <c r="H59" i="5"/>
  <c r="D376" i="9" s="1"/>
  <c r="B76" i="4"/>
  <c r="J62" i="2"/>
  <c r="P152" i="4"/>
  <c r="N153" i="4"/>
  <c r="S155" i="4"/>
  <c r="Q156" i="4"/>
  <c r="M150" i="4"/>
  <c r="K151" i="4"/>
  <c r="K59" i="5"/>
  <c r="G376" i="9" s="1"/>
  <c r="F376" i="9"/>
  <c r="N59" i="5"/>
  <c r="D535" i="9" s="1"/>
  <c r="C535" i="9"/>
  <c r="Q59" i="5"/>
  <c r="G535" i="9" s="1"/>
  <c r="F535" i="9"/>
  <c r="D57" i="5" l="1"/>
  <c r="D143" i="9" s="1"/>
  <c r="F72" i="4"/>
  <c r="E57" i="5"/>
  <c r="E143" i="9" s="1"/>
  <c r="O61" i="5"/>
  <c r="E537" i="9" s="1"/>
  <c r="P61" i="5"/>
  <c r="M61" i="5"/>
  <c r="I61" i="5"/>
  <c r="E378" i="9" s="1"/>
  <c r="F61" i="5"/>
  <c r="B378" i="9" s="1"/>
  <c r="L61" i="5"/>
  <c r="B537" i="9" s="1"/>
  <c r="J61" i="5"/>
  <c r="G61" i="5"/>
  <c r="E76" i="4"/>
  <c r="K58" i="7"/>
  <c r="C536" i="9"/>
  <c r="N60" i="5"/>
  <c r="D536" i="9" s="1"/>
  <c r="K60" i="5"/>
  <c r="G377" i="9" s="1"/>
  <c r="F377" i="9"/>
  <c r="Q60" i="5"/>
  <c r="G536" i="9" s="1"/>
  <c r="F536" i="9"/>
  <c r="M151" i="4"/>
  <c r="K152" i="4"/>
  <c r="S156" i="4"/>
  <c r="Q157" i="4"/>
  <c r="P153" i="4"/>
  <c r="N154" i="4"/>
  <c r="B77" i="4"/>
  <c r="J63" i="2"/>
  <c r="FL78" i="4"/>
  <c r="FM78" i="4" s="1"/>
  <c r="FL80" i="4"/>
  <c r="FM80" i="4" s="1"/>
  <c r="FL82" i="4"/>
  <c r="FM82" i="4" s="1"/>
  <c r="FL84" i="4"/>
  <c r="FM84" i="4" s="1"/>
  <c r="FL86" i="4"/>
  <c r="FM86" i="4" s="1"/>
  <c r="FL88" i="4"/>
  <c r="FM88" i="4" s="1"/>
  <c r="FL90" i="4"/>
  <c r="FM90" i="4" s="1"/>
  <c r="FL76" i="4"/>
  <c r="FM76" i="4" s="1"/>
  <c r="J76" i="4" s="1"/>
  <c r="FL77" i="4"/>
  <c r="FM77" i="4" s="1"/>
  <c r="FL79" i="4"/>
  <c r="FM79" i="4" s="1"/>
  <c r="FL81" i="4"/>
  <c r="FM81" i="4" s="1"/>
  <c r="FL85" i="4"/>
  <c r="FM85" i="4" s="1"/>
  <c r="FL89" i="4"/>
  <c r="FM89" i="4" s="1"/>
  <c r="FL91" i="4"/>
  <c r="FM91" i="4" s="1"/>
  <c r="FL93" i="4"/>
  <c r="FM93" i="4" s="1"/>
  <c r="FL95" i="4"/>
  <c r="FM95" i="4" s="1"/>
  <c r="FL97" i="4"/>
  <c r="FM97" i="4" s="1"/>
  <c r="FL99" i="4"/>
  <c r="FM99" i="4" s="1"/>
  <c r="FL101" i="4"/>
  <c r="FM101" i="4" s="1"/>
  <c r="FL103" i="4"/>
  <c r="FM103" i="4" s="1"/>
  <c r="FL83" i="4"/>
  <c r="FM83" i="4" s="1"/>
  <c r="FL87" i="4"/>
  <c r="FM87" i="4" s="1"/>
  <c r="FL92" i="4"/>
  <c r="FM92" i="4" s="1"/>
  <c r="FL94" i="4"/>
  <c r="FM94" i="4" s="1"/>
  <c r="FL96" i="4"/>
  <c r="FM96" i="4" s="1"/>
  <c r="FL98" i="4"/>
  <c r="FM98" i="4" s="1"/>
  <c r="FL100" i="4"/>
  <c r="FM100" i="4" s="1"/>
  <c r="FL102" i="4"/>
  <c r="FM102" i="4" s="1"/>
  <c r="FL104" i="4"/>
  <c r="FM104" i="4" s="1"/>
  <c r="FL105" i="4"/>
  <c r="FM105" i="4" s="1"/>
  <c r="FL106" i="4"/>
  <c r="FM106" i="4" s="1"/>
  <c r="FL107" i="4"/>
  <c r="FM107" i="4" s="1"/>
  <c r="FL108" i="4"/>
  <c r="FM108" i="4" s="1"/>
  <c r="FL109" i="4"/>
  <c r="FM109" i="4" s="1"/>
  <c r="FL110" i="4"/>
  <c r="FM110" i="4" s="1"/>
  <c r="FL111" i="4"/>
  <c r="FM111" i="4" s="1"/>
  <c r="FL112" i="4"/>
  <c r="FM112" i="4" s="1"/>
  <c r="FL113" i="4"/>
  <c r="FM113" i="4" s="1"/>
  <c r="FL114" i="4"/>
  <c r="FM114" i="4" s="1"/>
  <c r="FL115" i="4"/>
  <c r="FM115" i="4" s="1"/>
  <c r="FL116" i="4"/>
  <c r="FM116" i="4" s="1"/>
  <c r="FL117" i="4"/>
  <c r="FM117" i="4" s="1"/>
  <c r="FL118" i="4"/>
  <c r="FM118" i="4" s="1"/>
  <c r="FL119" i="4"/>
  <c r="FM119" i="4" s="1"/>
  <c r="FL120" i="4"/>
  <c r="FM120" i="4" s="1"/>
  <c r="FL121" i="4"/>
  <c r="FM121" i="4" s="1"/>
  <c r="FL122" i="4"/>
  <c r="FM122" i="4" s="1"/>
  <c r="FL123" i="4"/>
  <c r="FM123" i="4" s="1"/>
  <c r="FL124" i="4"/>
  <c r="FM124" i="4" s="1"/>
  <c r="FL125" i="4"/>
  <c r="FM125" i="4" s="1"/>
  <c r="FL126" i="4"/>
  <c r="FM126" i="4" s="1"/>
  <c r="FL127" i="4"/>
  <c r="FM127" i="4" s="1"/>
  <c r="FL128" i="4"/>
  <c r="FM128" i="4" s="1"/>
  <c r="FL129" i="4"/>
  <c r="FM129" i="4" s="1"/>
  <c r="FL130" i="4"/>
  <c r="FM130" i="4" s="1"/>
  <c r="FL131" i="4"/>
  <c r="FM131" i="4" s="1"/>
  <c r="FL132" i="4"/>
  <c r="FM132" i="4" s="1"/>
  <c r="FL133" i="4"/>
  <c r="FM133" i="4" s="1"/>
  <c r="FL134" i="4"/>
  <c r="FM134" i="4" s="1"/>
  <c r="FL135" i="4"/>
  <c r="FM135" i="4" s="1"/>
  <c r="FL136" i="4"/>
  <c r="FM136" i="4" s="1"/>
  <c r="FL137" i="4"/>
  <c r="FM137" i="4" s="1"/>
  <c r="FL138" i="4"/>
  <c r="FM138" i="4" s="1"/>
  <c r="FL139" i="4"/>
  <c r="FM139" i="4" s="1"/>
  <c r="FL140" i="4"/>
  <c r="FM140" i="4" s="1"/>
  <c r="FL141" i="4"/>
  <c r="FM141" i="4" s="1"/>
  <c r="FL142" i="4"/>
  <c r="FM142" i="4" s="1"/>
  <c r="FL143" i="4"/>
  <c r="FM143" i="4" s="1"/>
  <c r="FL144" i="4"/>
  <c r="FM144" i="4" s="1"/>
  <c r="FL145" i="4"/>
  <c r="FM145" i="4" s="1"/>
  <c r="FL146" i="4"/>
  <c r="FM146" i="4" s="1"/>
  <c r="FL147" i="4"/>
  <c r="FM147" i="4" s="1"/>
  <c r="FL148" i="4"/>
  <c r="FM148" i="4" s="1"/>
  <c r="FL149" i="4"/>
  <c r="FM149" i="4" s="1"/>
  <c r="FL150" i="4"/>
  <c r="FM150" i="4" s="1"/>
  <c r="FL151" i="4"/>
  <c r="FM151" i="4" s="1"/>
  <c r="FL152" i="4"/>
  <c r="FM152" i="4" s="1"/>
  <c r="FL153" i="4"/>
  <c r="FM153" i="4" s="1"/>
  <c r="M57" i="7"/>
  <c r="C147" i="9" s="1"/>
  <c r="FL154" i="4"/>
  <c r="FM154" i="4" s="1"/>
  <c r="FL155" i="4"/>
  <c r="FM155" i="4" s="1"/>
  <c r="FL156" i="4"/>
  <c r="FM156" i="4" s="1"/>
  <c r="FL157" i="4"/>
  <c r="FM157" i="4" s="1"/>
  <c r="FL158" i="4"/>
  <c r="FM158" i="4" s="1"/>
  <c r="FL159" i="4"/>
  <c r="FM159" i="4" s="1"/>
  <c r="FL160" i="4"/>
  <c r="FM160" i="4" s="1"/>
  <c r="FL161" i="4"/>
  <c r="FM161" i="4" s="1"/>
  <c r="FL162" i="4"/>
  <c r="FM162" i="4" s="1"/>
  <c r="FL163" i="4"/>
  <c r="FM163" i="4" s="1"/>
  <c r="L57" i="7"/>
  <c r="B147" i="9" s="1"/>
  <c r="C61" i="5"/>
  <c r="B61" i="5"/>
  <c r="H60" i="5"/>
  <c r="D377" i="9" s="1"/>
  <c r="C377" i="9"/>
  <c r="D58" i="5" l="1"/>
  <c r="D144" i="9" s="1"/>
  <c r="E58" i="5"/>
  <c r="E144" i="9" s="1"/>
  <c r="F73" i="4"/>
  <c r="P62" i="5"/>
  <c r="O62" i="5"/>
  <c r="E538" i="9" s="1"/>
  <c r="L62" i="5"/>
  <c r="B538" i="9" s="1"/>
  <c r="J62" i="5"/>
  <c r="G62" i="5"/>
  <c r="M62" i="5"/>
  <c r="I62" i="5"/>
  <c r="E379" i="9" s="1"/>
  <c r="F62" i="5"/>
  <c r="B379" i="9" s="1"/>
  <c r="E77" i="4"/>
  <c r="K59" i="7"/>
  <c r="C378" i="9"/>
  <c r="H61" i="5"/>
  <c r="D378" i="9" s="1"/>
  <c r="Q61" i="5"/>
  <c r="G537" i="9" s="1"/>
  <c r="F537" i="9"/>
  <c r="B78" i="4"/>
  <c r="J64" i="2"/>
  <c r="P154" i="4"/>
  <c r="N155" i="4"/>
  <c r="S157" i="4"/>
  <c r="Q158" i="4"/>
  <c r="M152" i="4"/>
  <c r="K153" i="4"/>
  <c r="FO77" i="4"/>
  <c r="FP77" i="4" s="1"/>
  <c r="J77" i="4" s="1"/>
  <c r="FO78" i="4"/>
  <c r="FP78" i="4" s="1"/>
  <c r="FO80" i="4"/>
  <c r="FP80" i="4" s="1"/>
  <c r="FO82" i="4"/>
  <c r="FP82" i="4" s="1"/>
  <c r="FO84" i="4"/>
  <c r="FP84" i="4" s="1"/>
  <c r="FO86" i="4"/>
  <c r="FP86" i="4" s="1"/>
  <c r="FO88" i="4"/>
  <c r="FP88" i="4" s="1"/>
  <c r="FO90" i="4"/>
  <c r="FP90" i="4" s="1"/>
  <c r="FO79" i="4"/>
  <c r="FP79" i="4" s="1"/>
  <c r="FO81" i="4"/>
  <c r="FP81" i="4" s="1"/>
  <c r="FO83" i="4"/>
  <c r="FP83" i="4" s="1"/>
  <c r="FO87" i="4"/>
  <c r="FP87" i="4" s="1"/>
  <c r="FO91" i="4"/>
  <c r="FP91" i="4" s="1"/>
  <c r="FO93" i="4"/>
  <c r="FP93" i="4" s="1"/>
  <c r="FO95" i="4"/>
  <c r="FP95" i="4" s="1"/>
  <c r="FO97" i="4"/>
  <c r="FP97" i="4" s="1"/>
  <c r="FO99" i="4"/>
  <c r="FP99" i="4" s="1"/>
  <c r="FO101" i="4"/>
  <c r="FP101" i="4" s="1"/>
  <c r="FO103" i="4"/>
  <c r="FP103" i="4" s="1"/>
  <c r="FO85" i="4"/>
  <c r="FP85" i="4" s="1"/>
  <c r="FO89" i="4"/>
  <c r="FP89" i="4" s="1"/>
  <c r="FO92" i="4"/>
  <c r="FP92" i="4" s="1"/>
  <c r="FO94" i="4"/>
  <c r="FP94" i="4" s="1"/>
  <c r="FO96" i="4"/>
  <c r="FP96" i="4" s="1"/>
  <c r="FO98" i="4"/>
  <c r="FP98" i="4" s="1"/>
  <c r="FO100" i="4"/>
  <c r="FP100" i="4" s="1"/>
  <c r="FO104" i="4"/>
  <c r="FP104" i="4" s="1"/>
  <c r="FO105" i="4"/>
  <c r="FP105" i="4" s="1"/>
  <c r="FO102" i="4"/>
  <c r="FP102" i="4" s="1"/>
  <c r="FO106" i="4"/>
  <c r="FP106" i="4" s="1"/>
  <c r="FO107" i="4"/>
  <c r="FP107" i="4" s="1"/>
  <c r="FO108" i="4"/>
  <c r="FP108" i="4" s="1"/>
  <c r="FO109" i="4"/>
  <c r="FP109" i="4" s="1"/>
  <c r="FO110" i="4"/>
  <c r="FP110" i="4" s="1"/>
  <c r="FO111" i="4"/>
  <c r="FP111" i="4" s="1"/>
  <c r="FO112" i="4"/>
  <c r="FP112" i="4" s="1"/>
  <c r="FO113" i="4"/>
  <c r="FP113" i="4" s="1"/>
  <c r="FO114" i="4"/>
  <c r="FP114" i="4" s="1"/>
  <c r="FO115" i="4"/>
  <c r="FP115" i="4" s="1"/>
  <c r="FO116" i="4"/>
  <c r="FP116" i="4" s="1"/>
  <c r="FO117" i="4"/>
  <c r="FP117" i="4" s="1"/>
  <c r="FO118" i="4"/>
  <c r="FP118" i="4" s="1"/>
  <c r="FO119" i="4"/>
  <c r="FP119" i="4" s="1"/>
  <c r="FO120" i="4"/>
  <c r="FP120" i="4" s="1"/>
  <c r="FO121" i="4"/>
  <c r="FP121" i="4" s="1"/>
  <c r="FO122" i="4"/>
  <c r="FP122" i="4" s="1"/>
  <c r="FO123" i="4"/>
  <c r="FP123" i="4" s="1"/>
  <c r="FO124" i="4"/>
  <c r="FP124" i="4" s="1"/>
  <c r="FO125" i="4"/>
  <c r="FP125" i="4" s="1"/>
  <c r="FO126" i="4"/>
  <c r="FP126" i="4" s="1"/>
  <c r="FO127" i="4"/>
  <c r="FP127" i="4" s="1"/>
  <c r="FO128" i="4"/>
  <c r="FP128" i="4" s="1"/>
  <c r="FO129" i="4"/>
  <c r="FP129" i="4" s="1"/>
  <c r="FO130" i="4"/>
  <c r="FP130" i="4" s="1"/>
  <c r="FO131" i="4"/>
  <c r="FP131" i="4" s="1"/>
  <c r="FO132" i="4"/>
  <c r="FP132" i="4" s="1"/>
  <c r="FO133" i="4"/>
  <c r="FP133" i="4" s="1"/>
  <c r="FO134" i="4"/>
  <c r="FP134" i="4" s="1"/>
  <c r="FO135" i="4"/>
  <c r="FP135" i="4" s="1"/>
  <c r="FO136" i="4"/>
  <c r="FP136" i="4" s="1"/>
  <c r="FO137" i="4"/>
  <c r="FP137" i="4" s="1"/>
  <c r="FO138" i="4"/>
  <c r="FP138" i="4" s="1"/>
  <c r="FO139" i="4"/>
  <c r="FP139" i="4" s="1"/>
  <c r="FO140" i="4"/>
  <c r="FP140" i="4" s="1"/>
  <c r="FO141" i="4"/>
  <c r="FP141" i="4" s="1"/>
  <c r="FO142" i="4"/>
  <c r="FP142" i="4" s="1"/>
  <c r="FO143" i="4"/>
  <c r="FP143" i="4" s="1"/>
  <c r="FO144" i="4"/>
  <c r="FP144" i="4" s="1"/>
  <c r="FO145" i="4"/>
  <c r="FP145" i="4" s="1"/>
  <c r="FO146" i="4"/>
  <c r="FP146" i="4" s="1"/>
  <c r="FO147" i="4"/>
  <c r="FP147" i="4" s="1"/>
  <c r="FO148" i="4"/>
  <c r="FP148" i="4" s="1"/>
  <c r="FO149" i="4"/>
  <c r="FP149" i="4" s="1"/>
  <c r="FO150" i="4"/>
  <c r="FP150" i="4" s="1"/>
  <c r="FO151" i="4"/>
  <c r="FP151" i="4" s="1"/>
  <c r="FO152" i="4"/>
  <c r="FP152" i="4" s="1"/>
  <c r="FO153" i="4"/>
  <c r="FP153" i="4" s="1"/>
  <c r="M58" i="7"/>
  <c r="C148" i="9" s="1"/>
  <c r="FO154" i="4"/>
  <c r="FP154" i="4" s="1"/>
  <c r="FO155" i="4"/>
  <c r="FP155" i="4" s="1"/>
  <c r="FO156" i="4"/>
  <c r="FP156" i="4" s="1"/>
  <c r="FO157" i="4"/>
  <c r="FP157" i="4" s="1"/>
  <c r="FO158" i="4"/>
  <c r="FP158" i="4" s="1"/>
  <c r="FO159" i="4"/>
  <c r="FP159" i="4" s="1"/>
  <c r="FO160" i="4"/>
  <c r="FP160" i="4" s="1"/>
  <c r="FO161" i="4"/>
  <c r="FP161" i="4" s="1"/>
  <c r="FO162" i="4"/>
  <c r="FP162" i="4" s="1"/>
  <c r="FO163" i="4"/>
  <c r="FP163" i="4" s="1"/>
  <c r="L58" i="7"/>
  <c r="B148" i="9" s="1"/>
  <c r="C62" i="5"/>
  <c r="B62" i="5"/>
  <c r="K61" i="5"/>
  <c r="G378" i="9" s="1"/>
  <c r="F378" i="9"/>
  <c r="N61" i="5"/>
  <c r="D537" i="9" s="1"/>
  <c r="C537" i="9"/>
  <c r="D59" i="5" l="1"/>
  <c r="D145" i="9" s="1"/>
  <c r="F74" i="4"/>
  <c r="E59" i="5"/>
  <c r="E145" i="9" s="1"/>
  <c r="O63" i="5"/>
  <c r="E539" i="9" s="1"/>
  <c r="P63" i="5"/>
  <c r="M63" i="5"/>
  <c r="I63" i="5"/>
  <c r="E380" i="9" s="1"/>
  <c r="F63" i="5"/>
  <c r="B380" i="9" s="1"/>
  <c r="L63" i="5"/>
  <c r="B539" i="9" s="1"/>
  <c r="J63" i="5"/>
  <c r="G63" i="5"/>
  <c r="E78" i="4"/>
  <c r="K60" i="7"/>
  <c r="H62" i="5"/>
  <c r="D379" i="9" s="1"/>
  <c r="C379" i="9"/>
  <c r="Q62" i="5"/>
  <c r="G538" i="9" s="1"/>
  <c r="F538" i="9"/>
  <c r="M153" i="4"/>
  <c r="K154" i="4"/>
  <c r="S158" i="4"/>
  <c r="Q159" i="4"/>
  <c r="P155" i="4"/>
  <c r="N156" i="4"/>
  <c r="B79" i="4"/>
  <c r="J65" i="2"/>
  <c r="FR80" i="4"/>
  <c r="FS80" i="4" s="1"/>
  <c r="FR82" i="4"/>
  <c r="FS82" i="4" s="1"/>
  <c r="FR84" i="4"/>
  <c r="FS84" i="4" s="1"/>
  <c r="FR86" i="4"/>
  <c r="FS86" i="4" s="1"/>
  <c r="FR88" i="4"/>
  <c r="FS88" i="4" s="1"/>
  <c r="FR90" i="4"/>
  <c r="FS90" i="4" s="1"/>
  <c r="FR78" i="4"/>
  <c r="FS78" i="4" s="1"/>
  <c r="J78" i="4" s="1"/>
  <c r="FR79" i="4"/>
  <c r="FS79" i="4" s="1"/>
  <c r="FR81" i="4"/>
  <c r="FS81" i="4" s="1"/>
  <c r="FR85" i="4"/>
  <c r="FS85" i="4" s="1"/>
  <c r="FR89" i="4"/>
  <c r="FS89" i="4" s="1"/>
  <c r="FR91" i="4"/>
  <c r="FS91" i="4" s="1"/>
  <c r="FR93" i="4"/>
  <c r="FS93" i="4" s="1"/>
  <c r="FR95" i="4"/>
  <c r="FS95" i="4" s="1"/>
  <c r="FR97" i="4"/>
  <c r="FS97" i="4" s="1"/>
  <c r="FR99" i="4"/>
  <c r="FS99" i="4" s="1"/>
  <c r="FR101" i="4"/>
  <c r="FS101" i="4" s="1"/>
  <c r="FR103" i="4"/>
  <c r="FS103" i="4" s="1"/>
  <c r="FR83" i="4"/>
  <c r="FS83" i="4" s="1"/>
  <c r="FR87" i="4"/>
  <c r="FS87" i="4" s="1"/>
  <c r="FR92" i="4"/>
  <c r="FS92" i="4" s="1"/>
  <c r="FR94" i="4"/>
  <c r="FS94" i="4" s="1"/>
  <c r="FR96" i="4"/>
  <c r="FS96" i="4" s="1"/>
  <c r="FR98" i="4"/>
  <c r="FS98" i="4" s="1"/>
  <c r="FR100" i="4"/>
  <c r="FS100" i="4" s="1"/>
  <c r="FR102" i="4"/>
  <c r="FS102" i="4" s="1"/>
  <c r="FR104" i="4"/>
  <c r="FS104" i="4" s="1"/>
  <c r="FR105" i="4"/>
  <c r="FS105" i="4" s="1"/>
  <c r="FR106" i="4"/>
  <c r="FS106" i="4" s="1"/>
  <c r="FR107" i="4"/>
  <c r="FS107" i="4" s="1"/>
  <c r="FR108" i="4"/>
  <c r="FS108" i="4" s="1"/>
  <c r="FR109" i="4"/>
  <c r="FS109" i="4" s="1"/>
  <c r="FR110" i="4"/>
  <c r="FS110" i="4" s="1"/>
  <c r="FR111" i="4"/>
  <c r="FS111" i="4" s="1"/>
  <c r="FR112" i="4"/>
  <c r="FS112" i="4" s="1"/>
  <c r="FR113" i="4"/>
  <c r="FS113" i="4" s="1"/>
  <c r="FR114" i="4"/>
  <c r="FS114" i="4" s="1"/>
  <c r="FR115" i="4"/>
  <c r="FS115" i="4" s="1"/>
  <c r="FR116" i="4"/>
  <c r="FS116" i="4" s="1"/>
  <c r="FR117" i="4"/>
  <c r="FS117" i="4" s="1"/>
  <c r="FR118" i="4"/>
  <c r="FS118" i="4" s="1"/>
  <c r="FR119" i="4"/>
  <c r="FS119" i="4" s="1"/>
  <c r="FR120" i="4"/>
  <c r="FS120" i="4" s="1"/>
  <c r="FR121" i="4"/>
  <c r="FS121" i="4" s="1"/>
  <c r="FR122" i="4"/>
  <c r="FS122" i="4" s="1"/>
  <c r="FR123" i="4"/>
  <c r="FS123" i="4" s="1"/>
  <c r="FR124" i="4"/>
  <c r="FS124" i="4" s="1"/>
  <c r="FR125" i="4"/>
  <c r="FS125" i="4" s="1"/>
  <c r="FR126" i="4"/>
  <c r="FS126" i="4" s="1"/>
  <c r="FR127" i="4"/>
  <c r="FS127" i="4" s="1"/>
  <c r="FR128" i="4"/>
  <c r="FS128" i="4" s="1"/>
  <c r="FR129" i="4"/>
  <c r="FS129" i="4" s="1"/>
  <c r="FR130" i="4"/>
  <c r="FS130" i="4" s="1"/>
  <c r="FR131" i="4"/>
  <c r="FS131" i="4" s="1"/>
  <c r="FR132" i="4"/>
  <c r="FS132" i="4" s="1"/>
  <c r="FR133" i="4"/>
  <c r="FS133" i="4" s="1"/>
  <c r="FR134" i="4"/>
  <c r="FS134" i="4" s="1"/>
  <c r="FR135" i="4"/>
  <c r="FS135" i="4" s="1"/>
  <c r="FR136" i="4"/>
  <c r="FS136" i="4" s="1"/>
  <c r="FR137" i="4"/>
  <c r="FS137" i="4" s="1"/>
  <c r="FR138" i="4"/>
  <c r="FS138" i="4" s="1"/>
  <c r="FR139" i="4"/>
  <c r="FS139" i="4" s="1"/>
  <c r="FR140" i="4"/>
  <c r="FS140" i="4" s="1"/>
  <c r="FR141" i="4"/>
  <c r="FS141" i="4" s="1"/>
  <c r="FR142" i="4"/>
  <c r="FS142" i="4" s="1"/>
  <c r="FR143" i="4"/>
  <c r="FS143" i="4" s="1"/>
  <c r="FR144" i="4"/>
  <c r="FS144" i="4" s="1"/>
  <c r="FR145" i="4"/>
  <c r="FS145" i="4" s="1"/>
  <c r="FR146" i="4"/>
  <c r="FS146" i="4" s="1"/>
  <c r="FR147" i="4"/>
  <c r="FS147" i="4" s="1"/>
  <c r="FR148" i="4"/>
  <c r="FS148" i="4" s="1"/>
  <c r="FR149" i="4"/>
  <c r="FS149" i="4" s="1"/>
  <c r="FR150" i="4"/>
  <c r="FS150" i="4" s="1"/>
  <c r="FR151" i="4"/>
  <c r="FS151" i="4" s="1"/>
  <c r="FR152" i="4"/>
  <c r="FS152" i="4" s="1"/>
  <c r="FR153" i="4"/>
  <c r="FS153" i="4" s="1"/>
  <c r="M59" i="7"/>
  <c r="C149" i="9" s="1"/>
  <c r="FR154" i="4"/>
  <c r="FS154" i="4" s="1"/>
  <c r="FR155" i="4"/>
  <c r="FS155" i="4" s="1"/>
  <c r="FR156" i="4"/>
  <c r="FS156" i="4" s="1"/>
  <c r="FR157" i="4"/>
  <c r="FS157" i="4" s="1"/>
  <c r="FR158" i="4"/>
  <c r="FS158" i="4" s="1"/>
  <c r="FR159" i="4"/>
  <c r="FS159" i="4" s="1"/>
  <c r="FR160" i="4"/>
  <c r="FS160" i="4" s="1"/>
  <c r="FR161" i="4"/>
  <c r="FS161" i="4" s="1"/>
  <c r="FR162" i="4"/>
  <c r="FS162" i="4" s="1"/>
  <c r="FR163" i="4"/>
  <c r="FS163" i="4" s="1"/>
  <c r="L59" i="7"/>
  <c r="B149" i="9" s="1"/>
  <c r="C63" i="5"/>
  <c r="B63" i="5"/>
  <c r="C538" i="9"/>
  <c r="N62" i="5"/>
  <c r="D538" i="9" s="1"/>
  <c r="K62" i="5"/>
  <c r="G379" i="9" s="1"/>
  <c r="F379" i="9"/>
  <c r="D60" i="5" l="1"/>
  <c r="D146" i="9" s="1"/>
  <c r="E60" i="5"/>
  <c r="E146" i="9" s="1"/>
  <c r="F75" i="4"/>
  <c r="P64" i="5"/>
  <c r="O64" i="5"/>
  <c r="E540" i="9" s="1"/>
  <c r="L64" i="5"/>
  <c r="B540" i="9" s="1"/>
  <c r="J64" i="5"/>
  <c r="G64" i="5"/>
  <c r="M64" i="5"/>
  <c r="I64" i="5"/>
  <c r="E381" i="9" s="1"/>
  <c r="F64" i="5"/>
  <c r="B381" i="9" s="1"/>
  <c r="E79" i="4"/>
  <c r="K61" i="7"/>
  <c r="FU79" i="4"/>
  <c r="FV79" i="4" s="1"/>
  <c r="J79" i="4" s="1"/>
  <c r="FU80" i="4"/>
  <c r="FV80" i="4" s="1"/>
  <c r="FU82" i="4"/>
  <c r="FV82" i="4" s="1"/>
  <c r="FU84" i="4"/>
  <c r="FV84" i="4" s="1"/>
  <c r="FU86" i="4"/>
  <c r="FV86" i="4" s="1"/>
  <c r="FU88" i="4"/>
  <c r="FV88" i="4" s="1"/>
  <c r="FU90" i="4"/>
  <c r="FV90" i="4" s="1"/>
  <c r="FU81" i="4"/>
  <c r="FV81" i="4" s="1"/>
  <c r="FU83" i="4"/>
  <c r="FV83" i="4" s="1"/>
  <c r="FU87" i="4"/>
  <c r="FV87" i="4" s="1"/>
  <c r="FU91" i="4"/>
  <c r="FV91" i="4" s="1"/>
  <c r="FU93" i="4"/>
  <c r="FV93" i="4" s="1"/>
  <c r="FU95" i="4"/>
  <c r="FV95" i="4" s="1"/>
  <c r="FU97" i="4"/>
  <c r="FV97" i="4" s="1"/>
  <c r="FU99" i="4"/>
  <c r="FV99" i="4" s="1"/>
  <c r="FU101" i="4"/>
  <c r="FV101" i="4" s="1"/>
  <c r="FU103" i="4"/>
  <c r="FV103" i="4" s="1"/>
  <c r="FU85" i="4"/>
  <c r="FV85" i="4" s="1"/>
  <c r="FU89" i="4"/>
  <c r="FV89" i="4" s="1"/>
  <c r="FU92" i="4"/>
  <c r="FV92" i="4" s="1"/>
  <c r="FU94" i="4"/>
  <c r="FV94" i="4" s="1"/>
  <c r="FU96" i="4"/>
  <c r="FV96" i="4" s="1"/>
  <c r="FU98" i="4"/>
  <c r="FV98" i="4" s="1"/>
  <c r="FU100" i="4"/>
  <c r="FV100" i="4" s="1"/>
  <c r="FU104" i="4"/>
  <c r="FV104" i="4" s="1"/>
  <c r="FU105" i="4"/>
  <c r="FV105" i="4" s="1"/>
  <c r="FU102" i="4"/>
  <c r="FV102" i="4" s="1"/>
  <c r="FU106" i="4"/>
  <c r="FV106" i="4" s="1"/>
  <c r="FU107" i="4"/>
  <c r="FV107" i="4" s="1"/>
  <c r="FU108" i="4"/>
  <c r="FV108" i="4" s="1"/>
  <c r="FU109" i="4"/>
  <c r="FV109" i="4" s="1"/>
  <c r="FU110" i="4"/>
  <c r="FV110" i="4" s="1"/>
  <c r="FU111" i="4"/>
  <c r="FV111" i="4" s="1"/>
  <c r="FU112" i="4"/>
  <c r="FV112" i="4" s="1"/>
  <c r="FU113" i="4"/>
  <c r="FV113" i="4" s="1"/>
  <c r="FU114" i="4"/>
  <c r="FV114" i="4" s="1"/>
  <c r="FU115" i="4"/>
  <c r="FV115" i="4" s="1"/>
  <c r="FU116" i="4"/>
  <c r="FV116" i="4" s="1"/>
  <c r="FU117" i="4"/>
  <c r="FV117" i="4" s="1"/>
  <c r="FU118" i="4"/>
  <c r="FV118" i="4" s="1"/>
  <c r="FU119" i="4"/>
  <c r="FV119" i="4" s="1"/>
  <c r="FU120" i="4"/>
  <c r="FV120" i="4" s="1"/>
  <c r="FU121" i="4"/>
  <c r="FV121" i="4" s="1"/>
  <c r="FU122" i="4"/>
  <c r="FV122" i="4" s="1"/>
  <c r="FU123" i="4"/>
  <c r="FV123" i="4" s="1"/>
  <c r="FU124" i="4"/>
  <c r="FV124" i="4" s="1"/>
  <c r="FU125" i="4"/>
  <c r="FV125" i="4" s="1"/>
  <c r="FU126" i="4"/>
  <c r="FV126" i="4" s="1"/>
  <c r="FU127" i="4"/>
  <c r="FV127" i="4" s="1"/>
  <c r="FU128" i="4"/>
  <c r="FV128" i="4" s="1"/>
  <c r="FU129" i="4"/>
  <c r="FV129" i="4" s="1"/>
  <c r="FU130" i="4"/>
  <c r="FV130" i="4" s="1"/>
  <c r="FU131" i="4"/>
  <c r="FV131" i="4" s="1"/>
  <c r="FU132" i="4"/>
  <c r="FV132" i="4" s="1"/>
  <c r="FU133" i="4"/>
  <c r="FV133" i="4" s="1"/>
  <c r="FU134" i="4"/>
  <c r="FV134" i="4" s="1"/>
  <c r="FU135" i="4"/>
  <c r="FV135" i="4" s="1"/>
  <c r="FU136" i="4"/>
  <c r="FV136" i="4" s="1"/>
  <c r="FU137" i="4"/>
  <c r="FV137" i="4" s="1"/>
  <c r="FU138" i="4"/>
  <c r="FV138" i="4" s="1"/>
  <c r="FU139" i="4"/>
  <c r="FV139" i="4" s="1"/>
  <c r="FU140" i="4"/>
  <c r="FV140" i="4" s="1"/>
  <c r="FU141" i="4"/>
  <c r="FV141" i="4" s="1"/>
  <c r="FU142" i="4"/>
  <c r="FV142" i="4" s="1"/>
  <c r="FU143" i="4"/>
  <c r="FV143" i="4" s="1"/>
  <c r="FU144" i="4"/>
  <c r="FV144" i="4" s="1"/>
  <c r="FU145" i="4"/>
  <c r="FV145" i="4" s="1"/>
  <c r="FU146" i="4"/>
  <c r="FV146" i="4" s="1"/>
  <c r="FU147" i="4"/>
  <c r="FV147" i="4" s="1"/>
  <c r="FU148" i="4"/>
  <c r="FV148" i="4" s="1"/>
  <c r="FU149" i="4"/>
  <c r="FV149" i="4" s="1"/>
  <c r="FU150" i="4"/>
  <c r="FV150" i="4" s="1"/>
  <c r="FU151" i="4"/>
  <c r="FV151" i="4" s="1"/>
  <c r="FU152" i="4"/>
  <c r="FV152" i="4" s="1"/>
  <c r="FU153" i="4"/>
  <c r="FV153" i="4" s="1"/>
  <c r="M60" i="7"/>
  <c r="C150" i="9" s="1"/>
  <c r="FU154" i="4"/>
  <c r="FV154" i="4" s="1"/>
  <c r="FU155" i="4"/>
  <c r="FV155" i="4" s="1"/>
  <c r="FU156" i="4"/>
  <c r="FV156" i="4" s="1"/>
  <c r="FU157" i="4"/>
  <c r="FV157" i="4" s="1"/>
  <c r="FU158" i="4"/>
  <c r="FV158" i="4" s="1"/>
  <c r="FU159" i="4"/>
  <c r="FV159" i="4" s="1"/>
  <c r="FU160" i="4"/>
  <c r="FV160" i="4" s="1"/>
  <c r="FU161" i="4"/>
  <c r="FV161" i="4" s="1"/>
  <c r="FU162" i="4"/>
  <c r="FV162" i="4" s="1"/>
  <c r="FU163" i="4"/>
  <c r="FV163" i="4" s="1"/>
  <c r="L60" i="7"/>
  <c r="B150" i="9" s="1"/>
  <c r="C64" i="5"/>
  <c r="B64" i="5"/>
  <c r="C380" i="9"/>
  <c r="H63" i="5"/>
  <c r="D380" i="9" s="1"/>
  <c r="Q63" i="5"/>
  <c r="G539" i="9" s="1"/>
  <c r="F539" i="9"/>
  <c r="B80" i="4"/>
  <c r="J66" i="2"/>
  <c r="P156" i="4"/>
  <c r="N157" i="4"/>
  <c r="S159" i="4"/>
  <c r="Q160" i="4"/>
  <c r="M154" i="4"/>
  <c r="K155" i="4"/>
  <c r="K63" i="5"/>
  <c r="G380" i="9" s="1"/>
  <c r="F380" i="9"/>
  <c r="N63" i="5"/>
  <c r="D539" i="9" s="1"/>
  <c r="C539" i="9"/>
  <c r="D61" i="5" l="1"/>
  <c r="D147" i="9" s="1"/>
  <c r="E61" i="5"/>
  <c r="E147" i="9" s="1"/>
  <c r="F76" i="4"/>
  <c r="O65" i="5"/>
  <c r="E541" i="9" s="1"/>
  <c r="P65" i="5"/>
  <c r="M65" i="5"/>
  <c r="I65" i="5"/>
  <c r="E382" i="9" s="1"/>
  <c r="F65" i="5"/>
  <c r="B382" i="9" s="1"/>
  <c r="L65" i="5"/>
  <c r="B541" i="9" s="1"/>
  <c r="J65" i="5"/>
  <c r="G65" i="5"/>
  <c r="E80" i="4"/>
  <c r="K62" i="7"/>
  <c r="H64" i="5"/>
  <c r="D381" i="9" s="1"/>
  <c r="C381" i="9"/>
  <c r="Q64" i="5"/>
  <c r="G540" i="9" s="1"/>
  <c r="F540" i="9"/>
  <c r="M155" i="4"/>
  <c r="K156" i="4"/>
  <c r="S160" i="4"/>
  <c r="Q161" i="4"/>
  <c r="P157" i="4"/>
  <c r="N158" i="4"/>
  <c r="B81" i="4"/>
  <c r="J67" i="2"/>
  <c r="FX82" i="4"/>
  <c r="FY82" i="4" s="1"/>
  <c r="FX84" i="4"/>
  <c r="FY84" i="4" s="1"/>
  <c r="FX86" i="4"/>
  <c r="FY86" i="4" s="1"/>
  <c r="FX88" i="4"/>
  <c r="FY88" i="4" s="1"/>
  <c r="FX90" i="4"/>
  <c r="FY90" i="4" s="1"/>
  <c r="FX80" i="4"/>
  <c r="FY80" i="4" s="1"/>
  <c r="J80" i="4" s="1"/>
  <c r="FX81" i="4"/>
  <c r="FY81" i="4" s="1"/>
  <c r="FX85" i="4"/>
  <c r="FY85" i="4" s="1"/>
  <c r="FX89" i="4"/>
  <c r="FY89" i="4" s="1"/>
  <c r="FX91" i="4"/>
  <c r="FY91" i="4" s="1"/>
  <c r="FX93" i="4"/>
  <c r="FY93" i="4" s="1"/>
  <c r="FX95" i="4"/>
  <c r="FY95" i="4" s="1"/>
  <c r="FX97" i="4"/>
  <c r="FY97" i="4" s="1"/>
  <c r="FX99" i="4"/>
  <c r="FY99" i="4" s="1"/>
  <c r="FX101" i="4"/>
  <c r="FY101" i="4" s="1"/>
  <c r="FX103" i="4"/>
  <c r="FY103" i="4" s="1"/>
  <c r="FX83" i="4"/>
  <c r="FY83" i="4" s="1"/>
  <c r="FX87" i="4"/>
  <c r="FY87" i="4" s="1"/>
  <c r="FX92" i="4"/>
  <c r="FY92" i="4" s="1"/>
  <c r="FX94" i="4"/>
  <c r="FY94" i="4" s="1"/>
  <c r="FX96" i="4"/>
  <c r="FY96" i="4" s="1"/>
  <c r="FX98" i="4"/>
  <c r="FY98" i="4" s="1"/>
  <c r="FX100" i="4"/>
  <c r="FY100" i="4" s="1"/>
  <c r="FX102" i="4"/>
  <c r="FY102" i="4" s="1"/>
  <c r="FX104" i="4"/>
  <c r="FY104" i="4" s="1"/>
  <c r="FX105" i="4"/>
  <c r="FY105" i="4" s="1"/>
  <c r="FX106" i="4"/>
  <c r="FY106" i="4" s="1"/>
  <c r="FX107" i="4"/>
  <c r="FY107" i="4" s="1"/>
  <c r="FX108" i="4"/>
  <c r="FY108" i="4" s="1"/>
  <c r="FX109" i="4"/>
  <c r="FY109" i="4" s="1"/>
  <c r="FX110" i="4"/>
  <c r="FY110" i="4" s="1"/>
  <c r="FX111" i="4"/>
  <c r="FY111" i="4" s="1"/>
  <c r="FX112" i="4"/>
  <c r="FY112" i="4" s="1"/>
  <c r="FX113" i="4"/>
  <c r="FY113" i="4" s="1"/>
  <c r="FX114" i="4"/>
  <c r="FY114" i="4" s="1"/>
  <c r="FX115" i="4"/>
  <c r="FY115" i="4" s="1"/>
  <c r="FX116" i="4"/>
  <c r="FY116" i="4" s="1"/>
  <c r="FX117" i="4"/>
  <c r="FY117" i="4" s="1"/>
  <c r="FX118" i="4"/>
  <c r="FY118" i="4" s="1"/>
  <c r="FX119" i="4"/>
  <c r="FY119" i="4" s="1"/>
  <c r="FX120" i="4"/>
  <c r="FY120" i="4" s="1"/>
  <c r="FX121" i="4"/>
  <c r="FY121" i="4" s="1"/>
  <c r="FX122" i="4"/>
  <c r="FY122" i="4" s="1"/>
  <c r="FX123" i="4"/>
  <c r="FY123" i="4" s="1"/>
  <c r="FX124" i="4"/>
  <c r="FY124" i="4" s="1"/>
  <c r="FX125" i="4"/>
  <c r="FY125" i="4" s="1"/>
  <c r="FX126" i="4"/>
  <c r="FY126" i="4" s="1"/>
  <c r="FX127" i="4"/>
  <c r="FY127" i="4" s="1"/>
  <c r="FX128" i="4"/>
  <c r="FY128" i="4" s="1"/>
  <c r="FX129" i="4"/>
  <c r="FY129" i="4" s="1"/>
  <c r="FX130" i="4"/>
  <c r="FY130" i="4" s="1"/>
  <c r="FX131" i="4"/>
  <c r="FY131" i="4" s="1"/>
  <c r="FX132" i="4"/>
  <c r="FY132" i="4" s="1"/>
  <c r="FX133" i="4"/>
  <c r="FY133" i="4" s="1"/>
  <c r="FX134" i="4"/>
  <c r="FY134" i="4" s="1"/>
  <c r="FX135" i="4"/>
  <c r="FY135" i="4" s="1"/>
  <c r="FX136" i="4"/>
  <c r="FY136" i="4" s="1"/>
  <c r="FX137" i="4"/>
  <c r="FY137" i="4" s="1"/>
  <c r="FX138" i="4"/>
  <c r="FY138" i="4" s="1"/>
  <c r="FX139" i="4"/>
  <c r="FY139" i="4" s="1"/>
  <c r="FX140" i="4"/>
  <c r="FY140" i="4" s="1"/>
  <c r="FX141" i="4"/>
  <c r="FY141" i="4" s="1"/>
  <c r="FX142" i="4"/>
  <c r="FY142" i="4" s="1"/>
  <c r="FX143" i="4"/>
  <c r="FY143" i="4" s="1"/>
  <c r="FX144" i="4"/>
  <c r="FY144" i="4" s="1"/>
  <c r="FX145" i="4"/>
  <c r="FY145" i="4" s="1"/>
  <c r="FX146" i="4"/>
  <c r="FY146" i="4" s="1"/>
  <c r="FX147" i="4"/>
  <c r="FY147" i="4" s="1"/>
  <c r="FX148" i="4"/>
  <c r="FY148" i="4" s="1"/>
  <c r="FX149" i="4"/>
  <c r="FY149" i="4" s="1"/>
  <c r="FX150" i="4"/>
  <c r="FY150" i="4" s="1"/>
  <c r="FX151" i="4"/>
  <c r="FY151" i="4" s="1"/>
  <c r="FX152" i="4"/>
  <c r="FY152" i="4" s="1"/>
  <c r="M61" i="7"/>
  <c r="C151" i="9" s="1"/>
  <c r="FX153" i="4"/>
  <c r="FY153" i="4" s="1"/>
  <c r="FX154" i="4"/>
  <c r="FY154" i="4" s="1"/>
  <c r="FX155" i="4"/>
  <c r="FY155" i="4" s="1"/>
  <c r="FX156" i="4"/>
  <c r="FY156" i="4" s="1"/>
  <c r="FX157" i="4"/>
  <c r="FY157" i="4" s="1"/>
  <c r="FX158" i="4"/>
  <c r="FY158" i="4" s="1"/>
  <c r="FX159" i="4"/>
  <c r="FY159" i="4" s="1"/>
  <c r="FX160" i="4"/>
  <c r="FY160" i="4" s="1"/>
  <c r="FX161" i="4"/>
  <c r="FY161" i="4" s="1"/>
  <c r="FX162" i="4"/>
  <c r="FY162" i="4" s="1"/>
  <c r="FX163" i="4"/>
  <c r="FY163" i="4" s="1"/>
  <c r="L61" i="7"/>
  <c r="B151" i="9" s="1"/>
  <c r="C65" i="5"/>
  <c r="B65" i="5"/>
  <c r="C540" i="9"/>
  <c r="N64" i="5"/>
  <c r="D540" i="9" s="1"/>
  <c r="K64" i="5"/>
  <c r="G381" i="9" s="1"/>
  <c r="F381" i="9"/>
  <c r="D62" i="5" l="1"/>
  <c r="D148" i="9" s="1"/>
  <c r="F77" i="4"/>
  <c r="E62" i="5"/>
  <c r="E148" i="9" s="1"/>
  <c r="P66" i="5"/>
  <c r="O66" i="5"/>
  <c r="E542" i="9" s="1"/>
  <c r="L66" i="5"/>
  <c r="B542" i="9" s="1"/>
  <c r="J66" i="5"/>
  <c r="G66" i="5"/>
  <c r="M66" i="5"/>
  <c r="I66" i="5"/>
  <c r="E383" i="9" s="1"/>
  <c r="F66" i="5"/>
  <c r="B383" i="9" s="1"/>
  <c r="E81" i="4"/>
  <c r="K63" i="7"/>
  <c r="GA81" i="4"/>
  <c r="GB81" i="4" s="1"/>
  <c r="J81" i="4" s="1"/>
  <c r="GA82" i="4"/>
  <c r="GB82" i="4" s="1"/>
  <c r="GA84" i="4"/>
  <c r="GB84" i="4" s="1"/>
  <c r="GA86" i="4"/>
  <c r="GB86" i="4" s="1"/>
  <c r="GA88" i="4"/>
  <c r="GB88" i="4" s="1"/>
  <c r="GA90" i="4"/>
  <c r="GB90" i="4" s="1"/>
  <c r="GA83" i="4"/>
  <c r="GB83" i="4" s="1"/>
  <c r="GA87" i="4"/>
  <c r="GB87" i="4" s="1"/>
  <c r="GA91" i="4"/>
  <c r="GB91" i="4" s="1"/>
  <c r="GA93" i="4"/>
  <c r="GB93" i="4" s="1"/>
  <c r="GA95" i="4"/>
  <c r="GB95" i="4" s="1"/>
  <c r="GA97" i="4"/>
  <c r="GB97" i="4" s="1"/>
  <c r="GA99" i="4"/>
  <c r="GB99" i="4" s="1"/>
  <c r="GA101" i="4"/>
  <c r="GB101" i="4" s="1"/>
  <c r="GA103" i="4"/>
  <c r="GB103" i="4" s="1"/>
  <c r="GA85" i="4"/>
  <c r="GB85" i="4" s="1"/>
  <c r="GA89" i="4"/>
  <c r="GB89" i="4" s="1"/>
  <c r="GA92" i="4"/>
  <c r="GB92" i="4" s="1"/>
  <c r="GA94" i="4"/>
  <c r="GB94" i="4" s="1"/>
  <c r="GA96" i="4"/>
  <c r="GB96" i="4" s="1"/>
  <c r="GA98" i="4"/>
  <c r="GB98" i="4" s="1"/>
  <c r="GA100" i="4"/>
  <c r="GB100" i="4" s="1"/>
  <c r="GA104" i="4"/>
  <c r="GB104" i="4" s="1"/>
  <c r="GA105" i="4"/>
  <c r="GB105" i="4" s="1"/>
  <c r="GA102" i="4"/>
  <c r="GB102" i="4" s="1"/>
  <c r="GA106" i="4"/>
  <c r="GB106" i="4" s="1"/>
  <c r="GA107" i="4"/>
  <c r="GB107" i="4" s="1"/>
  <c r="GA108" i="4"/>
  <c r="GB108" i="4" s="1"/>
  <c r="GA109" i="4"/>
  <c r="GB109" i="4" s="1"/>
  <c r="GA110" i="4"/>
  <c r="GB110" i="4" s="1"/>
  <c r="GA111" i="4"/>
  <c r="GB111" i="4" s="1"/>
  <c r="GA112" i="4"/>
  <c r="GB112" i="4" s="1"/>
  <c r="GA113" i="4"/>
  <c r="GB113" i="4" s="1"/>
  <c r="GA114" i="4"/>
  <c r="GB114" i="4" s="1"/>
  <c r="GA115" i="4"/>
  <c r="GB115" i="4" s="1"/>
  <c r="GA116" i="4"/>
  <c r="GB116" i="4" s="1"/>
  <c r="GA117" i="4"/>
  <c r="GB117" i="4" s="1"/>
  <c r="GA118" i="4"/>
  <c r="GB118" i="4" s="1"/>
  <c r="GA119" i="4"/>
  <c r="GB119" i="4" s="1"/>
  <c r="GA120" i="4"/>
  <c r="GB120" i="4" s="1"/>
  <c r="GA121" i="4"/>
  <c r="GB121" i="4" s="1"/>
  <c r="GA122" i="4"/>
  <c r="GB122" i="4" s="1"/>
  <c r="GA123" i="4"/>
  <c r="GB123" i="4" s="1"/>
  <c r="GA124" i="4"/>
  <c r="GB124" i="4" s="1"/>
  <c r="GA125" i="4"/>
  <c r="GB125" i="4" s="1"/>
  <c r="GA126" i="4"/>
  <c r="GB126" i="4" s="1"/>
  <c r="GA127" i="4"/>
  <c r="GB127" i="4" s="1"/>
  <c r="GA128" i="4"/>
  <c r="GB128" i="4" s="1"/>
  <c r="GA129" i="4"/>
  <c r="GB129" i="4" s="1"/>
  <c r="GA130" i="4"/>
  <c r="GB130" i="4" s="1"/>
  <c r="GA131" i="4"/>
  <c r="GB131" i="4" s="1"/>
  <c r="GA132" i="4"/>
  <c r="GB132" i="4" s="1"/>
  <c r="GA133" i="4"/>
  <c r="GB133" i="4" s="1"/>
  <c r="GA134" i="4"/>
  <c r="GB134" i="4" s="1"/>
  <c r="GA135" i="4"/>
  <c r="GB135" i="4" s="1"/>
  <c r="GA136" i="4"/>
  <c r="GB136" i="4" s="1"/>
  <c r="GA137" i="4"/>
  <c r="GB137" i="4" s="1"/>
  <c r="GA138" i="4"/>
  <c r="GB138" i="4" s="1"/>
  <c r="GA139" i="4"/>
  <c r="GB139" i="4" s="1"/>
  <c r="GA140" i="4"/>
  <c r="GB140" i="4" s="1"/>
  <c r="GA141" i="4"/>
  <c r="GB141" i="4" s="1"/>
  <c r="GA142" i="4"/>
  <c r="GB142" i="4" s="1"/>
  <c r="GA143" i="4"/>
  <c r="GB143" i="4" s="1"/>
  <c r="GA144" i="4"/>
  <c r="GB144" i="4" s="1"/>
  <c r="GA145" i="4"/>
  <c r="GB145" i="4" s="1"/>
  <c r="GA146" i="4"/>
  <c r="GB146" i="4" s="1"/>
  <c r="GA147" i="4"/>
  <c r="GB147" i="4" s="1"/>
  <c r="GA148" i="4"/>
  <c r="GB148" i="4" s="1"/>
  <c r="GA149" i="4"/>
  <c r="GB149" i="4" s="1"/>
  <c r="GA150" i="4"/>
  <c r="GB150" i="4" s="1"/>
  <c r="GA151" i="4"/>
  <c r="GB151" i="4" s="1"/>
  <c r="GA152" i="4"/>
  <c r="GB152" i="4" s="1"/>
  <c r="M62" i="7"/>
  <c r="C152" i="9" s="1"/>
  <c r="GA153" i="4"/>
  <c r="GB153" i="4" s="1"/>
  <c r="GA154" i="4"/>
  <c r="GB154" i="4" s="1"/>
  <c r="GA155" i="4"/>
  <c r="GB155" i="4" s="1"/>
  <c r="GA156" i="4"/>
  <c r="GB156" i="4" s="1"/>
  <c r="GA157" i="4"/>
  <c r="GB157" i="4" s="1"/>
  <c r="GA158" i="4"/>
  <c r="GB158" i="4" s="1"/>
  <c r="GA159" i="4"/>
  <c r="GB159" i="4" s="1"/>
  <c r="GA160" i="4"/>
  <c r="GB160" i="4" s="1"/>
  <c r="GA161" i="4"/>
  <c r="GB161" i="4" s="1"/>
  <c r="GA162" i="4"/>
  <c r="GB162" i="4" s="1"/>
  <c r="GA163" i="4"/>
  <c r="GB163" i="4" s="1"/>
  <c r="L62" i="7"/>
  <c r="B152" i="9" s="1"/>
  <c r="C66" i="5"/>
  <c r="B66" i="5"/>
  <c r="C382" i="9"/>
  <c r="H65" i="5"/>
  <c r="D382" i="9" s="1"/>
  <c r="Q65" i="5"/>
  <c r="G541" i="9" s="1"/>
  <c r="F541" i="9"/>
  <c r="B82" i="4"/>
  <c r="J68" i="2"/>
  <c r="P158" i="4"/>
  <c r="N159" i="4"/>
  <c r="S161" i="4"/>
  <c r="Q162" i="4"/>
  <c r="M156" i="4"/>
  <c r="K157" i="4"/>
  <c r="K65" i="5"/>
  <c r="G382" i="9" s="1"/>
  <c r="F382" i="9"/>
  <c r="N65" i="5"/>
  <c r="D541" i="9" s="1"/>
  <c r="C541" i="9"/>
  <c r="D63" i="5" l="1"/>
  <c r="D149" i="9" s="1"/>
  <c r="F78" i="4"/>
  <c r="E63" i="5"/>
  <c r="E149" i="9" s="1"/>
  <c r="O67" i="5"/>
  <c r="E543" i="9" s="1"/>
  <c r="P67" i="5"/>
  <c r="M67" i="5"/>
  <c r="I67" i="5"/>
  <c r="E384" i="9" s="1"/>
  <c r="F67" i="5"/>
  <c r="B384" i="9" s="1"/>
  <c r="L67" i="5"/>
  <c r="B543" i="9" s="1"/>
  <c r="J67" i="5"/>
  <c r="G67" i="5"/>
  <c r="E82" i="4"/>
  <c r="K64" i="7"/>
  <c r="C542" i="9"/>
  <c r="N66" i="5"/>
  <c r="D542" i="9" s="1"/>
  <c r="K66" i="5"/>
  <c r="G383" i="9" s="1"/>
  <c r="F383" i="9"/>
  <c r="M157" i="4"/>
  <c r="K158" i="4"/>
  <c r="S162" i="4"/>
  <c r="Q163" i="4"/>
  <c r="S163" i="4" s="1"/>
  <c r="P159" i="4"/>
  <c r="N160" i="4"/>
  <c r="B83" i="4"/>
  <c r="J69" i="2"/>
  <c r="GD84" i="4"/>
  <c r="GE84" i="4" s="1"/>
  <c r="GD86" i="4"/>
  <c r="GE86" i="4" s="1"/>
  <c r="GD88" i="4"/>
  <c r="GE88" i="4" s="1"/>
  <c r="GD90" i="4"/>
  <c r="GE90" i="4" s="1"/>
  <c r="GD82" i="4"/>
  <c r="GE82" i="4" s="1"/>
  <c r="J82" i="4" s="1"/>
  <c r="GD85" i="4"/>
  <c r="GE85" i="4" s="1"/>
  <c r="GD89" i="4"/>
  <c r="GE89" i="4" s="1"/>
  <c r="GD91" i="4"/>
  <c r="GE91" i="4" s="1"/>
  <c r="GD93" i="4"/>
  <c r="GE93" i="4" s="1"/>
  <c r="GD95" i="4"/>
  <c r="GE95" i="4" s="1"/>
  <c r="GD97" i="4"/>
  <c r="GE97" i="4" s="1"/>
  <c r="GD99" i="4"/>
  <c r="GE99" i="4" s="1"/>
  <c r="GD101" i="4"/>
  <c r="GE101" i="4" s="1"/>
  <c r="GD103" i="4"/>
  <c r="GE103" i="4" s="1"/>
  <c r="GD83" i="4"/>
  <c r="GE83" i="4" s="1"/>
  <c r="GD87" i="4"/>
  <c r="GE87" i="4" s="1"/>
  <c r="GD92" i="4"/>
  <c r="GE92" i="4" s="1"/>
  <c r="GD94" i="4"/>
  <c r="GE94" i="4" s="1"/>
  <c r="GD96" i="4"/>
  <c r="GE96" i="4" s="1"/>
  <c r="GD98" i="4"/>
  <c r="GE98" i="4" s="1"/>
  <c r="GD100" i="4"/>
  <c r="GE100" i="4" s="1"/>
  <c r="GD102" i="4"/>
  <c r="GE102" i="4" s="1"/>
  <c r="GD104" i="4"/>
  <c r="GE104" i="4" s="1"/>
  <c r="GD105" i="4"/>
  <c r="GE105" i="4" s="1"/>
  <c r="GD106" i="4"/>
  <c r="GE106" i="4" s="1"/>
  <c r="GD107" i="4"/>
  <c r="GE107" i="4" s="1"/>
  <c r="GD108" i="4"/>
  <c r="GE108" i="4" s="1"/>
  <c r="GD109" i="4"/>
  <c r="GE109" i="4" s="1"/>
  <c r="GD110" i="4"/>
  <c r="GE110" i="4" s="1"/>
  <c r="GD111" i="4"/>
  <c r="GE111" i="4" s="1"/>
  <c r="GD112" i="4"/>
  <c r="GE112" i="4" s="1"/>
  <c r="GD113" i="4"/>
  <c r="GE113" i="4" s="1"/>
  <c r="GD114" i="4"/>
  <c r="GE114" i="4" s="1"/>
  <c r="GD115" i="4"/>
  <c r="GE115" i="4" s="1"/>
  <c r="GD116" i="4"/>
  <c r="GE116" i="4" s="1"/>
  <c r="GD117" i="4"/>
  <c r="GE117" i="4" s="1"/>
  <c r="GD118" i="4"/>
  <c r="GE118" i="4" s="1"/>
  <c r="GD119" i="4"/>
  <c r="GE119" i="4" s="1"/>
  <c r="GD120" i="4"/>
  <c r="GE120" i="4" s="1"/>
  <c r="GD121" i="4"/>
  <c r="GE121" i="4" s="1"/>
  <c r="GD122" i="4"/>
  <c r="GE122" i="4" s="1"/>
  <c r="GD123" i="4"/>
  <c r="GE123" i="4" s="1"/>
  <c r="GD124" i="4"/>
  <c r="GE124" i="4" s="1"/>
  <c r="GD125" i="4"/>
  <c r="GE125" i="4" s="1"/>
  <c r="GD126" i="4"/>
  <c r="GE126" i="4" s="1"/>
  <c r="GD127" i="4"/>
  <c r="GE127" i="4" s="1"/>
  <c r="GD128" i="4"/>
  <c r="GE128" i="4" s="1"/>
  <c r="GD129" i="4"/>
  <c r="GE129" i="4" s="1"/>
  <c r="GD130" i="4"/>
  <c r="GE130" i="4" s="1"/>
  <c r="GD131" i="4"/>
  <c r="GE131" i="4" s="1"/>
  <c r="GD132" i="4"/>
  <c r="GE132" i="4" s="1"/>
  <c r="GD133" i="4"/>
  <c r="GE133" i="4" s="1"/>
  <c r="GD134" i="4"/>
  <c r="GE134" i="4" s="1"/>
  <c r="GD135" i="4"/>
  <c r="GE135" i="4" s="1"/>
  <c r="GD136" i="4"/>
  <c r="GE136" i="4" s="1"/>
  <c r="GD137" i="4"/>
  <c r="GE137" i="4" s="1"/>
  <c r="GD138" i="4"/>
  <c r="GE138" i="4" s="1"/>
  <c r="GD139" i="4"/>
  <c r="GE139" i="4" s="1"/>
  <c r="GD140" i="4"/>
  <c r="GE140" i="4" s="1"/>
  <c r="GD141" i="4"/>
  <c r="GE141" i="4" s="1"/>
  <c r="GD142" i="4"/>
  <c r="GE142" i="4" s="1"/>
  <c r="GD143" i="4"/>
  <c r="GE143" i="4" s="1"/>
  <c r="GD144" i="4"/>
  <c r="GE144" i="4" s="1"/>
  <c r="GD145" i="4"/>
  <c r="GE145" i="4" s="1"/>
  <c r="GD146" i="4"/>
  <c r="GE146" i="4" s="1"/>
  <c r="GD147" i="4"/>
  <c r="GE147" i="4" s="1"/>
  <c r="GD148" i="4"/>
  <c r="GE148" i="4" s="1"/>
  <c r="GD149" i="4"/>
  <c r="GE149" i="4" s="1"/>
  <c r="GD150" i="4"/>
  <c r="GE150" i="4" s="1"/>
  <c r="GD151" i="4"/>
  <c r="GE151" i="4" s="1"/>
  <c r="GD152" i="4"/>
  <c r="GE152" i="4" s="1"/>
  <c r="M63" i="7"/>
  <c r="C153" i="9" s="1"/>
  <c r="GD153" i="4"/>
  <c r="GE153" i="4" s="1"/>
  <c r="GD154" i="4"/>
  <c r="GE154" i="4" s="1"/>
  <c r="GD155" i="4"/>
  <c r="GE155" i="4" s="1"/>
  <c r="GD156" i="4"/>
  <c r="GE156" i="4" s="1"/>
  <c r="GD157" i="4"/>
  <c r="GE157" i="4" s="1"/>
  <c r="GD158" i="4"/>
  <c r="GE158" i="4" s="1"/>
  <c r="GD159" i="4"/>
  <c r="GE159" i="4" s="1"/>
  <c r="GD160" i="4"/>
  <c r="GE160" i="4" s="1"/>
  <c r="GD161" i="4"/>
  <c r="GE161" i="4" s="1"/>
  <c r="GD162" i="4"/>
  <c r="GE162" i="4" s="1"/>
  <c r="GD163" i="4"/>
  <c r="GE163" i="4" s="1"/>
  <c r="L63" i="7"/>
  <c r="B153" i="9" s="1"/>
  <c r="C67" i="5"/>
  <c r="B67" i="5"/>
  <c r="H66" i="5"/>
  <c r="D383" i="9" s="1"/>
  <c r="C383" i="9"/>
  <c r="Q66" i="5"/>
  <c r="G542" i="9" s="1"/>
  <c r="F542" i="9"/>
  <c r="D64" i="5" l="1"/>
  <c r="D150" i="9" s="1"/>
  <c r="E64" i="5"/>
  <c r="E150" i="9" s="1"/>
  <c r="F79" i="4"/>
  <c r="P68" i="5"/>
  <c r="O68" i="5"/>
  <c r="E544" i="9" s="1"/>
  <c r="L68" i="5"/>
  <c r="B544" i="9" s="1"/>
  <c r="J68" i="5"/>
  <c r="G68" i="5"/>
  <c r="M68" i="5"/>
  <c r="I68" i="5"/>
  <c r="E385" i="9" s="1"/>
  <c r="F68" i="5"/>
  <c r="B385" i="9" s="1"/>
  <c r="E83" i="4"/>
  <c r="K65" i="7"/>
  <c r="GG83" i="4"/>
  <c r="GH83" i="4" s="1"/>
  <c r="J83" i="4" s="1"/>
  <c r="GG84" i="4"/>
  <c r="GH84" i="4" s="1"/>
  <c r="GG86" i="4"/>
  <c r="GH86" i="4" s="1"/>
  <c r="GG88" i="4"/>
  <c r="GH88" i="4" s="1"/>
  <c r="GG90" i="4"/>
  <c r="GH90" i="4" s="1"/>
  <c r="GG87" i="4"/>
  <c r="GH87" i="4" s="1"/>
  <c r="GG91" i="4"/>
  <c r="GH91" i="4" s="1"/>
  <c r="GG93" i="4"/>
  <c r="GH93" i="4" s="1"/>
  <c r="GG95" i="4"/>
  <c r="GH95" i="4" s="1"/>
  <c r="GG97" i="4"/>
  <c r="GH97" i="4" s="1"/>
  <c r="GG99" i="4"/>
  <c r="GH99" i="4" s="1"/>
  <c r="GG101" i="4"/>
  <c r="GH101" i="4" s="1"/>
  <c r="GG103" i="4"/>
  <c r="GH103" i="4" s="1"/>
  <c r="GG85" i="4"/>
  <c r="GH85" i="4" s="1"/>
  <c r="GG89" i="4"/>
  <c r="GH89" i="4" s="1"/>
  <c r="GG92" i="4"/>
  <c r="GH92" i="4" s="1"/>
  <c r="GG94" i="4"/>
  <c r="GH94" i="4" s="1"/>
  <c r="GG96" i="4"/>
  <c r="GH96" i="4" s="1"/>
  <c r="GG98" i="4"/>
  <c r="GH98" i="4" s="1"/>
  <c r="GG100" i="4"/>
  <c r="GH100" i="4" s="1"/>
  <c r="GG104" i="4"/>
  <c r="GH104" i="4" s="1"/>
  <c r="GG102" i="4"/>
  <c r="GH102" i="4" s="1"/>
  <c r="GG105" i="4"/>
  <c r="GH105" i="4" s="1"/>
  <c r="GG106" i="4"/>
  <c r="GH106" i="4" s="1"/>
  <c r="GG107" i="4"/>
  <c r="GH107" i="4" s="1"/>
  <c r="GG108" i="4"/>
  <c r="GH108" i="4" s="1"/>
  <c r="GG109" i="4"/>
  <c r="GH109" i="4" s="1"/>
  <c r="GG110" i="4"/>
  <c r="GH110" i="4" s="1"/>
  <c r="GG111" i="4"/>
  <c r="GH111" i="4" s="1"/>
  <c r="GG112" i="4"/>
  <c r="GH112" i="4" s="1"/>
  <c r="GG113" i="4"/>
  <c r="GH113" i="4" s="1"/>
  <c r="GG114" i="4"/>
  <c r="GH114" i="4" s="1"/>
  <c r="GG115" i="4"/>
  <c r="GH115" i="4" s="1"/>
  <c r="GG116" i="4"/>
  <c r="GH116" i="4" s="1"/>
  <c r="GG117" i="4"/>
  <c r="GH117" i="4" s="1"/>
  <c r="GG118" i="4"/>
  <c r="GH118" i="4" s="1"/>
  <c r="GG119" i="4"/>
  <c r="GH119" i="4" s="1"/>
  <c r="GG120" i="4"/>
  <c r="GH120" i="4" s="1"/>
  <c r="GG121" i="4"/>
  <c r="GH121" i="4" s="1"/>
  <c r="GG122" i="4"/>
  <c r="GH122" i="4" s="1"/>
  <c r="GG123" i="4"/>
  <c r="GH123" i="4" s="1"/>
  <c r="GG124" i="4"/>
  <c r="GH124" i="4" s="1"/>
  <c r="GG125" i="4"/>
  <c r="GH125" i="4" s="1"/>
  <c r="GG126" i="4"/>
  <c r="GH126" i="4" s="1"/>
  <c r="GG127" i="4"/>
  <c r="GH127" i="4" s="1"/>
  <c r="GG128" i="4"/>
  <c r="GH128" i="4" s="1"/>
  <c r="GG129" i="4"/>
  <c r="GH129" i="4" s="1"/>
  <c r="GG130" i="4"/>
  <c r="GH130" i="4" s="1"/>
  <c r="GG131" i="4"/>
  <c r="GH131" i="4" s="1"/>
  <c r="GG132" i="4"/>
  <c r="GH132" i="4" s="1"/>
  <c r="GG133" i="4"/>
  <c r="GH133" i="4" s="1"/>
  <c r="GG134" i="4"/>
  <c r="GH134" i="4" s="1"/>
  <c r="GG135" i="4"/>
  <c r="GH135" i="4" s="1"/>
  <c r="GG136" i="4"/>
  <c r="GH136" i="4" s="1"/>
  <c r="GG137" i="4"/>
  <c r="GH137" i="4" s="1"/>
  <c r="GG138" i="4"/>
  <c r="GH138" i="4" s="1"/>
  <c r="GG139" i="4"/>
  <c r="GH139" i="4" s="1"/>
  <c r="GG140" i="4"/>
  <c r="GH140" i="4" s="1"/>
  <c r="GG141" i="4"/>
  <c r="GH141" i="4" s="1"/>
  <c r="GG142" i="4"/>
  <c r="GH142" i="4" s="1"/>
  <c r="GG143" i="4"/>
  <c r="GH143" i="4" s="1"/>
  <c r="GG144" i="4"/>
  <c r="GH144" i="4" s="1"/>
  <c r="GG145" i="4"/>
  <c r="GH145" i="4" s="1"/>
  <c r="GG146" i="4"/>
  <c r="GH146" i="4" s="1"/>
  <c r="GG147" i="4"/>
  <c r="GH147" i="4" s="1"/>
  <c r="GG148" i="4"/>
  <c r="GH148" i="4" s="1"/>
  <c r="GG149" i="4"/>
  <c r="GH149" i="4" s="1"/>
  <c r="GG150" i="4"/>
  <c r="GH150" i="4" s="1"/>
  <c r="GG151" i="4"/>
  <c r="GH151" i="4" s="1"/>
  <c r="GG152" i="4"/>
  <c r="GH152" i="4" s="1"/>
  <c r="M64" i="7"/>
  <c r="C154" i="9" s="1"/>
  <c r="GG153" i="4"/>
  <c r="GH153" i="4" s="1"/>
  <c r="GG154" i="4"/>
  <c r="GH154" i="4" s="1"/>
  <c r="GG155" i="4"/>
  <c r="GH155" i="4" s="1"/>
  <c r="GG156" i="4"/>
  <c r="GH156" i="4" s="1"/>
  <c r="GG157" i="4"/>
  <c r="GH157" i="4" s="1"/>
  <c r="GG158" i="4"/>
  <c r="GH158" i="4" s="1"/>
  <c r="GG159" i="4"/>
  <c r="GH159" i="4" s="1"/>
  <c r="GG160" i="4"/>
  <c r="GH160" i="4" s="1"/>
  <c r="GG161" i="4"/>
  <c r="GH161" i="4" s="1"/>
  <c r="GG162" i="4"/>
  <c r="GH162" i="4" s="1"/>
  <c r="GG163" i="4"/>
  <c r="GH163" i="4" s="1"/>
  <c r="L64" i="7"/>
  <c r="B154" i="9" s="1"/>
  <c r="C68" i="5"/>
  <c r="B68" i="5"/>
  <c r="C384" i="9"/>
  <c r="H67" i="5"/>
  <c r="D384" i="9" s="1"/>
  <c r="Q67" i="5"/>
  <c r="G543" i="9" s="1"/>
  <c r="F543" i="9"/>
  <c r="B84" i="4"/>
  <c r="J70" i="2"/>
  <c r="P160" i="4"/>
  <c r="N161" i="4"/>
  <c r="M158" i="4"/>
  <c r="K159" i="4"/>
  <c r="K67" i="5"/>
  <c r="G384" i="9" s="1"/>
  <c r="F384" i="9"/>
  <c r="N67" i="5"/>
  <c r="D543" i="9" s="1"/>
  <c r="C543" i="9"/>
  <c r="D65" i="5" l="1"/>
  <c r="D151" i="9" s="1"/>
  <c r="F80" i="4"/>
  <c r="E65" i="5"/>
  <c r="E151" i="9" s="1"/>
  <c r="O69" i="5"/>
  <c r="E545" i="9" s="1"/>
  <c r="P69" i="5"/>
  <c r="M69" i="5"/>
  <c r="I69" i="5"/>
  <c r="E386" i="9" s="1"/>
  <c r="F69" i="5"/>
  <c r="B386" i="9" s="1"/>
  <c r="L69" i="5"/>
  <c r="B545" i="9" s="1"/>
  <c r="J69" i="5"/>
  <c r="G69" i="5"/>
  <c r="E84" i="4"/>
  <c r="K66" i="7"/>
  <c r="C544" i="9"/>
  <c r="N68" i="5"/>
  <c r="D544" i="9" s="1"/>
  <c r="K68" i="5"/>
  <c r="G385" i="9" s="1"/>
  <c r="F385" i="9"/>
  <c r="M159" i="4"/>
  <c r="K160" i="4"/>
  <c r="P161" i="4"/>
  <c r="N162" i="4"/>
  <c r="J71" i="2"/>
  <c r="B85" i="4"/>
  <c r="GJ86" i="4"/>
  <c r="GK86" i="4" s="1"/>
  <c r="GJ88" i="4"/>
  <c r="GK88" i="4" s="1"/>
  <c r="GJ90" i="4"/>
  <c r="GK90" i="4" s="1"/>
  <c r="GJ85" i="4"/>
  <c r="GK85" i="4" s="1"/>
  <c r="GJ89" i="4"/>
  <c r="GK89" i="4" s="1"/>
  <c r="GJ91" i="4"/>
  <c r="GK91" i="4" s="1"/>
  <c r="GJ93" i="4"/>
  <c r="GK93" i="4" s="1"/>
  <c r="GJ95" i="4"/>
  <c r="GK95" i="4" s="1"/>
  <c r="GJ97" i="4"/>
  <c r="GK97" i="4" s="1"/>
  <c r="GJ99" i="4"/>
  <c r="GK99" i="4" s="1"/>
  <c r="GJ101" i="4"/>
  <c r="GK101" i="4" s="1"/>
  <c r="GJ103" i="4"/>
  <c r="GK103" i="4" s="1"/>
  <c r="GJ84" i="4"/>
  <c r="GK84" i="4" s="1"/>
  <c r="J84" i="4" s="1"/>
  <c r="GJ87" i="4"/>
  <c r="GK87" i="4" s="1"/>
  <c r="GJ92" i="4"/>
  <c r="GK92" i="4" s="1"/>
  <c r="GJ94" i="4"/>
  <c r="GK94" i="4" s="1"/>
  <c r="GJ96" i="4"/>
  <c r="GK96" i="4" s="1"/>
  <c r="GJ98" i="4"/>
  <c r="GK98" i="4" s="1"/>
  <c r="GJ102" i="4"/>
  <c r="GK102" i="4" s="1"/>
  <c r="GJ100" i="4"/>
  <c r="GK100" i="4" s="1"/>
  <c r="GJ104" i="4"/>
  <c r="GK104" i="4" s="1"/>
  <c r="GJ105" i="4"/>
  <c r="GK105" i="4" s="1"/>
  <c r="GJ106" i="4"/>
  <c r="GK106" i="4" s="1"/>
  <c r="GJ107" i="4"/>
  <c r="GK107" i="4" s="1"/>
  <c r="GJ108" i="4"/>
  <c r="GK108" i="4" s="1"/>
  <c r="GJ109" i="4"/>
  <c r="GK109" i="4" s="1"/>
  <c r="GJ110" i="4"/>
  <c r="GK110" i="4" s="1"/>
  <c r="GJ111" i="4"/>
  <c r="GK111" i="4" s="1"/>
  <c r="GJ112" i="4"/>
  <c r="GK112" i="4" s="1"/>
  <c r="GJ113" i="4"/>
  <c r="GK113" i="4" s="1"/>
  <c r="GJ114" i="4"/>
  <c r="GK114" i="4" s="1"/>
  <c r="GJ115" i="4"/>
  <c r="GK115" i="4" s="1"/>
  <c r="GJ116" i="4"/>
  <c r="GK116" i="4" s="1"/>
  <c r="GJ117" i="4"/>
  <c r="GK117" i="4" s="1"/>
  <c r="GJ118" i="4"/>
  <c r="GK118" i="4" s="1"/>
  <c r="GJ119" i="4"/>
  <c r="GK119" i="4" s="1"/>
  <c r="GJ120" i="4"/>
  <c r="GK120" i="4" s="1"/>
  <c r="GJ121" i="4"/>
  <c r="GK121" i="4" s="1"/>
  <c r="GJ122" i="4"/>
  <c r="GK122" i="4" s="1"/>
  <c r="GJ123" i="4"/>
  <c r="GK123" i="4" s="1"/>
  <c r="GJ124" i="4"/>
  <c r="GK124" i="4" s="1"/>
  <c r="GJ125" i="4"/>
  <c r="GK125" i="4" s="1"/>
  <c r="GJ126" i="4"/>
  <c r="GK126" i="4" s="1"/>
  <c r="GJ127" i="4"/>
  <c r="GK127" i="4" s="1"/>
  <c r="GJ128" i="4"/>
  <c r="GK128" i="4" s="1"/>
  <c r="GJ129" i="4"/>
  <c r="GK129" i="4" s="1"/>
  <c r="GJ130" i="4"/>
  <c r="GK130" i="4" s="1"/>
  <c r="GJ131" i="4"/>
  <c r="GK131" i="4" s="1"/>
  <c r="GJ132" i="4"/>
  <c r="GK132" i="4" s="1"/>
  <c r="GJ133" i="4"/>
  <c r="GK133" i="4" s="1"/>
  <c r="GJ134" i="4"/>
  <c r="GK134" i="4" s="1"/>
  <c r="GJ135" i="4"/>
  <c r="GK135" i="4" s="1"/>
  <c r="GJ136" i="4"/>
  <c r="GK136" i="4" s="1"/>
  <c r="GJ137" i="4"/>
  <c r="GK137" i="4" s="1"/>
  <c r="GJ138" i="4"/>
  <c r="GK138" i="4" s="1"/>
  <c r="GJ139" i="4"/>
  <c r="GK139" i="4" s="1"/>
  <c r="GJ140" i="4"/>
  <c r="GK140" i="4" s="1"/>
  <c r="GJ141" i="4"/>
  <c r="GK141" i="4" s="1"/>
  <c r="GJ142" i="4"/>
  <c r="GK142" i="4" s="1"/>
  <c r="GJ143" i="4"/>
  <c r="GK143" i="4" s="1"/>
  <c r="GJ144" i="4"/>
  <c r="GK144" i="4" s="1"/>
  <c r="GJ145" i="4"/>
  <c r="GK145" i="4" s="1"/>
  <c r="GJ146" i="4"/>
  <c r="GK146" i="4" s="1"/>
  <c r="GJ147" i="4"/>
  <c r="GK147" i="4" s="1"/>
  <c r="GJ148" i="4"/>
  <c r="GK148" i="4" s="1"/>
  <c r="GJ149" i="4"/>
  <c r="GK149" i="4" s="1"/>
  <c r="GJ150" i="4"/>
  <c r="GK150" i="4" s="1"/>
  <c r="GJ151" i="4"/>
  <c r="GK151" i="4" s="1"/>
  <c r="GJ152" i="4"/>
  <c r="GK152" i="4" s="1"/>
  <c r="M65" i="7"/>
  <c r="C155" i="9" s="1"/>
  <c r="GJ153" i="4"/>
  <c r="GK153" i="4" s="1"/>
  <c r="GJ154" i="4"/>
  <c r="GK154" i="4" s="1"/>
  <c r="GJ155" i="4"/>
  <c r="GK155" i="4" s="1"/>
  <c r="GJ156" i="4"/>
  <c r="GK156" i="4" s="1"/>
  <c r="GJ157" i="4"/>
  <c r="GK157" i="4" s="1"/>
  <c r="GJ158" i="4"/>
  <c r="GK158" i="4" s="1"/>
  <c r="GJ159" i="4"/>
  <c r="GK159" i="4" s="1"/>
  <c r="GJ160" i="4"/>
  <c r="GK160" i="4" s="1"/>
  <c r="GJ161" i="4"/>
  <c r="GK161" i="4" s="1"/>
  <c r="GJ162" i="4"/>
  <c r="GK162" i="4" s="1"/>
  <c r="GJ163" i="4"/>
  <c r="GK163" i="4" s="1"/>
  <c r="L65" i="7"/>
  <c r="B155" i="9" s="1"/>
  <c r="C69" i="5"/>
  <c r="B69" i="5"/>
  <c r="H68" i="5"/>
  <c r="D385" i="9" s="1"/>
  <c r="C385" i="9"/>
  <c r="Q68" i="5"/>
  <c r="G544" i="9" s="1"/>
  <c r="F544" i="9"/>
  <c r="D66" i="5" l="1"/>
  <c r="D152" i="9" s="1"/>
  <c r="F81" i="4"/>
  <c r="E66" i="5"/>
  <c r="E152" i="9" s="1"/>
  <c r="P70" i="5"/>
  <c r="O70" i="5"/>
  <c r="E546" i="9" s="1"/>
  <c r="L70" i="5"/>
  <c r="B546" i="9" s="1"/>
  <c r="J70" i="5"/>
  <c r="G70" i="5"/>
  <c r="M70" i="5"/>
  <c r="I70" i="5"/>
  <c r="E387" i="9" s="1"/>
  <c r="F70" i="5"/>
  <c r="B387" i="9" s="1"/>
  <c r="B86" i="4"/>
  <c r="J72" i="2"/>
  <c r="C386" i="9"/>
  <c r="H69" i="5"/>
  <c r="D386" i="9" s="1"/>
  <c r="Q69" i="5"/>
  <c r="G545" i="9" s="1"/>
  <c r="F545" i="9"/>
  <c r="E85" i="4"/>
  <c r="K67" i="7"/>
  <c r="P162" i="4"/>
  <c r="N163" i="4"/>
  <c r="P163" i="4" s="1"/>
  <c r="M160" i="4"/>
  <c r="K161" i="4"/>
  <c r="GM85" i="4"/>
  <c r="GN85" i="4" s="1"/>
  <c r="J85" i="4" s="1"/>
  <c r="GM86" i="4"/>
  <c r="GN86" i="4" s="1"/>
  <c r="GM88" i="4"/>
  <c r="GN88" i="4" s="1"/>
  <c r="GM90" i="4"/>
  <c r="GN90" i="4" s="1"/>
  <c r="GM87" i="4"/>
  <c r="GN87" i="4" s="1"/>
  <c r="GM91" i="4"/>
  <c r="GN91" i="4" s="1"/>
  <c r="GM93" i="4"/>
  <c r="GN93" i="4" s="1"/>
  <c r="GM95" i="4"/>
  <c r="GN95" i="4" s="1"/>
  <c r="GM97" i="4"/>
  <c r="GN97" i="4" s="1"/>
  <c r="GM99" i="4"/>
  <c r="GN99" i="4" s="1"/>
  <c r="GM101" i="4"/>
  <c r="GN101" i="4" s="1"/>
  <c r="GM103" i="4"/>
  <c r="GN103" i="4" s="1"/>
  <c r="GM89" i="4"/>
  <c r="GN89" i="4" s="1"/>
  <c r="GM92" i="4"/>
  <c r="GN92" i="4" s="1"/>
  <c r="GM94" i="4"/>
  <c r="GN94" i="4" s="1"/>
  <c r="GM96" i="4"/>
  <c r="GN96" i="4" s="1"/>
  <c r="GM98" i="4"/>
  <c r="GN98" i="4" s="1"/>
  <c r="GM100" i="4"/>
  <c r="GN100" i="4" s="1"/>
  <c r="GM104" i="4"/>
  <c r="GN104" i="4" s="1"/>
  <c r="GM102" i="4"/>
  <c r="GN102" i="4" s="1"/>
  <c r="GM105" i="4"/>
  <c r="GN105" i="4" s="1"/>
  <c r="GM106" i="4"/>
  <c r="GN106" i="4" s="1"/>
  <c r="GM107" i="4"/>
  <c r="GN107" i="4" s="1"/>
  <c r="GM108" i="4"/>
  <c r="GN108" i="4" s="1"/>
  <c r="GM109" i="4"/>
  <c r="GN109" i="4" s="1"/>
  <c r="GM110" i="4"/>
  <c r="GN110" i="4" s="1"/>
  <c r="GM111" i="4"/>
  <c r="GN111" i="4" s="1"/>
  <c r="GM112" i="4"/>
  <c r="GN112" i="4" s="1"/>
  <c r="GM113" i="4"/>
  <c r="GN113" i="4" s="1"/>
  <c r="GM114" i="4"/>
  <c r="GN114" i="4" s="1"/>
  <c r="GM115" i="4"/>
  <c r="GN115" i="4" s="1"/>
  <c r="GM116" i="4"/>
  <c r="GN116" i="4" s="1"/>
  <c r="GM117" i="4"/>
  <c r="GN117" i="4" s="1"/>
  <c r="GM118" i="4"/>
  <c r="GN118" i="4" s="1"/>
  <c r="GM119" i="4"/>
  <c r="GN119" i="4" s="1"/>
  <c r="GM120" i="4"/>
  <c r="GN120" i="4" s="1"/>
  <c r="GM121" i="4"/>
  <c r="GN121" i="4" s="1"/>
  <c r="GM122" i="4"/>
  <c r="GN122" i="4" s="1"/>
  <c r="GM123" i="4"/>
  <c r="GN123" i="4" s="1"/>
  <c r="GM124" i="4"/>
  <c r="GN124" i="4" s="1"/>
  <c r="GM125" i="4"/>
  <c r="GN125" i="4" s="1"/>
  <c r="GM126" i="4"/>
  <c r="GN126" i="4" s="1"/>
  <c r="GM127" i="4"/>
  <c r="GN127" i="4" s="1"/>
  <c r="GM128" i="4"/>
  <c r="GN128" i="4" s="1"/>
  <c r="GM129" i="4"/>
  <c r="GN129" i="4" s="1"/>
  <c r="GM130" i="4"/>
  <c r="GN130" i="4" s="1"/>
  <c r="GM131" i="4"/>
  <c r="GN131" i="4" s="1"/>
  <c r="GM132" i="4"/>
  <c r="GN132" i="4" s="1"/>
  <c r="GM133" i="4"/>
  <c r="GN133" i="4" s="1"/>
  <c r="GM134" i="4"/>
  <c r="GN134" i="4" s="1"/>
  <c r="GM135" i="4"/>
  <c r="GN135" i="4" s="1"/>
  <c r="GM136" i="4"/>
  <c r="GN136" i="4" s="1"/>
  <c r="GM137" i="4"/>
  <c r="GN137" i="4" s="1"/>
  <c r="GM138" i="4"/>
  <c r="GN138" i="4" s="1"/>
  <c r="GM139" i="4"/>
  <c r="GN139" i="4" s="1"/>
  <c r="GM140" i="4"/>
  <c r="GN140" i="4" s="1"/>
  <c r="GM141" i="4"/>
  <c r="GN141" i="4" s="1"/>
  <c r="GM142" i="4"/>
  <c r="GN142" i="4" s="1"/>
  <c r="GM143" i="4"/>
  <c r="GN143" i="4" s="1"/>
  <c r="GM144" i="4"/>
  <c r="GN144" i="4" s="1"/>
  <c r="GM145" i="4"/>
  <c r="GN145" i="4" s="1"/>
  <c r="GM146" i="4"/>
  <c r="GN146" i="4" s="1"/>
  <c r="GM147" i="4"/>
  <c r="GN147" i="4" s="1"/>
  <c r="GM148" i="4"/>
  <c r="GN148" i="4" s="1"/>
  <c r="GM149" i="4"/>
  <c r="GN149" i="4" s="1"/>
  <c r="GM150" i="4"/>
  <c r="GN150" i="4" s="1"/>
  <c r="GM151" i="4"/>
  <c r="GN151" i="4" s="1"/>
  <c r="GM152" i="4"/>
  <c r="GN152" i="4" s="1"/>
  <c r="M66" i="7"/>
  <c r="C156" i="9" s="1"/>
  <c r="GM153" i="4"/>
  <c r="GN153" i="4" s="1"/>
  <c r="GM154" i="4"/>
  <c r="GN154" i="4" s="1"/>
  <c r="GM155" i="4"/>
  <c r="GN155" i="4" s="1"/>
  <c r="GM156" i="4"/>
  <c r="GN156" i="4" s="1"/>
  <c r="GM157" i="4"/>
  <c r="GN157" i="4" s="1"/>
  <c r="GM158" i="4"/>
  <c r="GN158" i="4" s="1"/>
  <c r="GM159" i="4"/>
  <c r="GN159" i="4" s="1"/>
  <c r="GM160" i="4"/>
  <c r="GN160" i="4" s="1"/>
  <c r="GM161" i="4"/>
  <c r="GN161" i="4" s="1"/>
  <c r="GM162" i="4"/>
  <c r="GN162" i="4" s="1"/>
  <c r="GM163" i="4"/>
  <c r="GN163" i="4" s="1"/>
  <c r="L66" i="7"/>
  <c r="B156" i="9" s="1"/>
  <c r="C70" i="5"/>
  <c r="B70" i="5"/>
  <c r="K69" i="5"/>
  <c r="G386" i="9" s="1"/>
  <c r="F386" i="9"/>
  <c r="N69" i="5"/>
  <c r="D545" i="9" s="1"/>
  <c r="C545" i="9"/>
  <c r="D67" i="5" l="1"/>
  <c r="D153" i="9" s="1"/>
  <c r="E67" i="5"/>
  <c r="E153" i="9" s="1"/>
  <c r="F82" i="4"/>
  <c r="O71" i="5"/>
  <c r="E547" i="9" s="1"/>
  <c r="P71" i="5"/>
  <c r="M71" i="5"/>
  <c r="I71" i="5"/>
  <c r="E388" i="9" s="1"/>
  <c r="F71" i="5"/>
  <c r="B388" i="9" s="1"/>
  <c r="L71" i="5"/>
  <c r="B547" i="9" s="1"/>
  <c r="J71" i="5"/>
  <c r="G71" i="5"/>
  <c r="GP88" i="4"/>
  <c r="GQ88" i="4" s="1"/>
  <c r="GP90" i="4"/>
  <c r="GQ90" i="4" s="1"/>
  <c r="GP86" i="4"/>
  <c r="GQ86" i="4" s="1"/>
  <c r="J86" i="4" s="1"/>
  <c r="GP89" i="4"/>
  <c r="GQ89" i="4" s="1"/>
  <c r="GP91" i="4"/>
  <c r="GQ91" i="4" s="1"/>
  <c r="GP93" i="4"/>
  <c r="GQ93" i="4" s="1"/>
  <c r="GP95" i="4"/>
  <c r="GQ95" i="4" s="1"/>
  <c r="GP97" i="4"/>
  <c r="GQ97" i="4" s="1"/>
  <c r="GP99" i="4"/>
  <c r="GQ99" i="4" s="1"/>
  <c r="GP101" i="4"/>
  <c r="GQ101" i="4" s="1"/>
  <c r="GP103" i="4"/>
  <c r="GQ103" i="4" s="1"/>
  <c r="GP87" i="4"/>
  <c r="GQ87" i="4" s="1"/>
  <c r="GP92" i="4"/>
  <c r="GQ92" i="4" s="1"/>
  <c r="GP94" i="4"/>
  <c r="GQ94" i="4" s="1"/>
  <c r="GP96" i="4"/>
  <c r="GQ96" i="4" s="1"/>
  <c r="GP98" i="4"/>
  <c r="GQ98" i="4" s="1"/>
  <c r="GP102" i="4"/>
  <c r="GQ102" i="4" s="1"/>
  <c r="GP100" i="4"/>
  <c r="GQ100" i="4" s="1"/>
  <c r="GP104" i="4"/>
  <c r="GQ104" i="4" s="1"/>
  <c r="GP105" i="4"/>
  <c r="GQ105" i="4" s="1"/>
  <c r="GP106" i="4"/>
  <c r="GQ106" i="4" s="1"/>
  <c r="GP107" i="4"/>
  <c r="GQ107" i="4" s="1"/>
  <c r="GP108" i="4"/>
  <c r="GQ108" i="4" s="1"/>
  <c r="GP109" i="4"/>
  <c r="GQ109" i="4" s="1"/>
  <c r="GP110" i="4"/>
  <c r="GQ110" i="4" s="1"/>
  <c r="GP111" i="4"/>
  <c r="GQ111" i="4" s="1"/>
  <c r="GP112" i="4"/>
  <c r="GQ112" i="4" s="1"/>
  <c r="GP113" i="4"/>
  <c r="GQ113" i="4" s="1"/>
  <c r="GP114" i="4"/>
  <c r="GQ114" i="4" s="1"/>
  <c r="GP115" i="4"/>
  <c r="GQ115" i="4" s="1"/>
  <c r="GP116" i="4"/>
  <c r="GQ116" i="4" s="1"/>
  <c r="GP117" i="4"/>
  <c r="GQ117" i="4" s="1"/>
  <c r="GP118" i="4"/>
  <c r="GQ118" i="4" s="1"/>
  <c r="GP119" i="4"/>
  <c r="GQ119" i="4" s="1"/>
  <c r="GP120" i="4"/>
  <c r="GQ120" i="4" s="1"/>
  <c r="GP121" i="4"/>
  <c r="GQ121" i="4" s="1"/>
  <c r="GP122" i="4"/>
  <c r="GQ122" i="4" s="1"/>
  <c r="GP123" i="4"/>
  <c r="GQ123" i="4" s="1"/>
  <c r="GP124" i="4"/>
  <c r="GQ124" i="4" s="1"/>
  <c r="GP125" i="4"/>
  <c r="GQ125" i="4" s="1"/>
  <c r="GP126" i="4"/>
  <c r="GQ126" i="4" s="1"/>
  <c r="GP127" i="4"/>
  <c r="GQ127" i="4" s="1"/>
  <c r="GP128" i="4"/>
  <c r="GQ128" i="4" s="1"/>
  <c r="GP129" i="4"/>
  <c r="GQ129" i="4" s="1"/>
  <c r="GP130" i="4"/>
  <c r="GQ130" i="4" s="1"/>
  <c r="GP131" i="4"/>
  <c r="GQ131" i="4" s="1"/>
  <c r="GP132" i="4"/>
  <c r="GQ132" i="4" s="1"/>
  <c r="GP133" i="4"/>
  <c r="GQ133" i="4" s="1"/>
  <c r="GP134" i="4"/>
  <c r="GQ134" i="4" s="1"/>
  <c r="GP135" i="4"/>
  <c r="GQ135" i="4" s="1"/>
  <c r="GP136" i="4"/>
  <c r="GQ136" i="4" s="1"/>
  <c r="GP137" i="4"/>
  <c r="GQ137" i="4" s="1"/>
  <c r="GP138" i="4"/>
  <c r="GQ138" i="4" s="1"/>
  <c r="GP139" i="4"/>
  <c r="GQ139" i="4" s="1"/>
  <c r="GP140" i="4"/>
  <c r="GQ140" i="4" s="1"/>
  <c r="GP141" i="4"/>
  <c r="GQ141" i="4" s="1"/>
  <c r="GP142" i="4"/>
  <c r="GQ142" i="4" s="1"/>
  <c r="GP143" i="4"/>
  <c r="GQ143" i="4" s="1"/>
  <c r="GP144" i="4"/>
  <c r="GQ144" i="4" s="1"/>
  <c r="GP145" i="4"/>
  <c r="GQ145" i="4" s="1"/>
  <c r="GP146" i="4"/>
  <c r="GQ146" i="4" s="1"/>
  <c r="GP147" i="4"/>
  <c r="GQ147" i="4" s="1"/>
  <c r="GP148" i="4"/>
  <c r="GQ148" i="4" s="1"/>
  <c r="GP149" i="4"/>
  <c r="GQ149" i="4" s="1"/>
  <c r="GP150" i="4"/>
  <c r="GQ150" i="4" s="1"/>
  <c r="GP151" i="4"/>
  <c r="GQ151" i="4" s="1"/>
  <c r="GP152" i="4"/>
  <c r="GQ152" i="4" s="1"/>
  <c r="M67" i="7"/>
  <c r="C157" i="9" s="1"/>
  <c r="GP153" i="4"/>
  <c r="GQ153" i="4" s="1"/>
  <c r="GP154" i="4"/>
  <c r="GQ154" i="4" s="1"/>
  <c r="GP155" i="4"/>
  <c r="GQ155" i="4" s="1"/>
  <c r="GP156" i="4"/>
  <c r="GQ156" i="4" s="1"/>
  <c r="GP157" i="4"/>
  <c r="GQ157" i="4" s="1"/>
  <c r="GP158" i="4"/>
  <c r="GQ158" i="4" s="1"/>
  <c r="GP159" i="4"/>
  <c r="GQ159" i="4" s="1"/>
  <c r="GP160" i="4"/>
  <c r="GQ160" i="4" s="1"/>
  <c r="GP161" i="4"/>
  <c r="GQ161" i="4" s="1"/>
  <c r="GP162" i="4"/>
  <c r="GQ162" i="4" s="1"/>
  <c r="GP163" i="4"/>
  <c r="GQ163" i="4" s="1"/>
  <c r="L67" i="7"/>
  <c r="B157" i="9" s="1"/>
  <c r="C71" i="5"/>
  <c r="B71" i="5"/>
  <c r="B87" i="4"/>
  <c r="J73" i="2"/>
  <c r="C546" i="9"/>
  <c r="N70" i="5"/>
  <c r="D546" i="9" s="1"/>
  <c r="K70" i="5"/>
  <c r="G387" i="9" s="1"/>
  <c r="F387" i="9"/>
  <c r="M161" i="4"/>
  <c r="K162" i="4"/>
  <c r="E86" i="4"/>
  <c r="K68" i="7"/>
  <c r="H70" i="5"/>
  <c r="D387" i="9" s="1"/>
  <c r="C387" i="9"/>
  <c r="Q70" i="5"/>
  <c r="G546" i="9" s="1"/>
  <c r="F546" i="9"/>
  <c r="D68" i="5" l="1"/>
  <c r="D154" i="9" s="1"/>
  <c r="F83" i="4"/>
  <c r="E68" i="5"/>
  <c r="E154" i="9" s="1"/>
  <c r="P72" i="5"/>
  <c r="O72" i="5"/>
  <c r="E548" i="9" s="1"/>
  <c r="L72" i="5"/>
  <c r="B548" i="9" s="1"/>
  <c r="J72" i="5"/>
  <c r="G72" i="5"/>
  <c r="M72" i="5"/>
  <c r="I72" i="5"/>
  <c r="E389" i="9" s="1"/>
  <c r="F72" i="5"/>
  <c r="B389" i="9" s="1"/>
  <c r="M162" i="4"/>
  <c r="K163" i="4"/>
  <c r="M163" i="4" s="1"/>
  <c r="B88" i="4"/>
  <c r="J74" i="2"/>
  <c r="C388" i="9"/>
  <c r="H71" i="5"/>
  <c r="D388" i="9" s="1"/>
  <c r="Q71" i="5"/>
  <c r="G547" i="9" s="1"/>
  <c r="F547" i="9"/>
  <c r="GS87" i="4"/>
  <c r="GT87" i="4" s="1"/>
  <c r="J87" i="4" s="1"/>
  <c r="GS88" i="4"/>
  <c r="GT88" i="4" s="1"/>
  <c r="GS90" i="4"/>
  <c r="GT90" i="4" s="1"/>
  <c r="GS91" i="4"/>
  <c r="GT91" i="4" s="1"/>
  <c r="GS93" i="4"/>
  <c r="GT93" i="4" s="1"/>
  <c r="GS95" i="4"/>
  <c r="GT95" i="4" s="1"/>
  <c r="GS97" i="4"/>
  <c r="GT97" i="4" s="1"/>
  <c r="GS99" i="4"/>
  <c r="GT99" i="4" s="1"/>
  <c r="GS101" i="4"/>
  <c r="GT101" i="4" s="1"/>
  <c r="GS103" i="4"/>
  <c r="GT103" i="4" s="1"/>
  <c r="GS89" i="4"/>
  <c r="GT89" i="4" s="1"/>
  <c r="GS92" i="4"/>
  <c r="GT92" i="4" s="1"/>
  <c r="GS94" i="4"/>
  <c r="GT94" i="4" s="1"/>
  <c r="GS96" i="4"/>
  <c r="GT96" i="4" s="1"/>
  <c r="GS98" i="4"/>
  <c r="GT98" i="4" s="1"/>
  <c r="GS100" i="4"/>
  <c r="GT100" i="4" s="1"/>
  <c r="GS104" i="4"/>
  <c r="GT104" i="4" s="1"/>
  <c r="GS102" i="4"/>
  <c r="GT102" i="4" s="1"/>
  <c r="GS105" i="4"/>
  <c r="GT105" i="4" s="1"/>
  <c r="GS106" i="4"/>
  <c r="GT106" i="4" s="1"/>
  <c r="GS107" i="4"/>
  <c r="GT107" i="4" s="1"/>
  <c r="GS108" i="4"/>
  <c r="GT108" i="4" s="1"/>
  <c r="GS109" i="4"/>
  <c r="GT109" i="4" s="1"/>
  <c r="GS110" i="4"/>
  <c r="GT110" i="4" s="1"/>
  <c r="GS111" i="4"/>
  <c r="GT111" i="4" s="1"/>
  <c r="GS112" i="4"/>
  <c r="GT112" i="4" s="1"/>
  <c r="GS113" i="4"/>
  <c r="GT113" i="4" s="1"/>
  <c r="GS114" i="4"/>
  <c r="GT114" i="4" s="1"/>
  <c r="GS115" i="4"/>
  <c r="GT115" i="4" s="1"/>
  <c r="GS116" i="4"/>
  <c r="GT116" i="4" s="1"/>
  <c r="GS117" i="4"/>
  <c r="GT117" i="4" s="1"/>
  <c r="GS118" i="4"/>
  <c r="GT118" i="4" s="1"/>
  <c r="GS119" i="4"/>
  <c r="GT119" i="4" s="1"/>
  <c r="GS120" i="4"/>
  <c r="GT120" i="4" s="1"/>
  <c r="GS121" i="4"/>
  <c r="GT121" i="4" s="1"/>
  <c r="GS122" i="4"/>
  <c r="GT122" i="4" s="1"/>
  <c r="GS123" i="4"/>
  <c r="GT123" i="4" s="1"/>
  <c r="GS124" i="4"/>
  <c r="GT124" i="4" s="1"/>
  <c r="GS125" i="4"/>
  <c r="GT125" i="4" s="1"/>
  <c r="GS126" i="4"/>
  <c r="GT126" i="4" s="1"/>
  <c r="GS127" i="4"/>
  <c r="GT127" i="4" s="1"/>
  <c r="GS128" i="4"/>
  <c r="GT128" i="4" s="1"/>
  <c r="GS129" i="4"/>
  <c r="GT129" i="4" s="1"/>
  <c r="GS130" i="4"/>
  <c r="GT130" i="4" s="1"/>
  <c r="GS131" i="4"/>
  <c r="GT131" i="4" s="1"/>
  <c r="GS132" i="4"/>
  <c r="GT132" i="4" s="1"/>
  <c r="GS133" i="4"/>
  <c r="GT133" i="4" s="1"/>
  <c r="GS134" i="4"/>
  <c r="GT134" i="4" s="1"/>
  <c r="GS135" i="4"/>
  <c r="GT135" i="4" s="1"/>
  <c r="GS136" i="4"/>
  <c r="GT136" i="4" s="1"/>
  <c r="GS137" i="4"/>
  <c r="GT137" i="4" s="1"/>
  <c r="GS138" i="4"/>
  <c r="GT138" i="4" s="1"/>
  <c r="GS139" i="4"/>
  <c r="GT139" i="4" s="1"/>
  <c r="GS140" i="4"/>
  <c r="GT140" i="4" s="1"/>
  <c r="GS141" i="4"/>
  <c r="GT141" i="4" s="1"/>
  <c r="GS142" i="4"/>
  <c r="GT142" i="4" s="1"/>
  <c r="GS143" i="4"/>
  <c r="GT143" i="4" s="1"/>
  <c r="GS144" i="4"/>
  <c r="GT144" i="4" s="1"/>
  <c r="GS145" i="4"/>
  <c r="GT145" i="4" s="1"/>
  <c r="GS146" i="4"/>
  <c r="GT146" i="4" s="1"/>
  <c r="GS147" i="4"/>
  <c r="GT147" i="4" s="1"/>
  <c r="GS148" i="4"/>
  <c r="GT148" i="4" s="1"/>
  <c r="GS149" i="4"/>
  <c r="GT149" i="4" s="1"/>
  <c r="GS150" i="4"/>
  <c r="GT150" i="4" s="1"/>
  <c r="GS151" i="4"/>
  <c r="GT151" i="4" s="1"/>
  <c r="GS152" i="4"/>
  <c r="GT152" i="4" s="1"/>
  <c r="M68" i="7"/>
  <c r="C158" i="9" s="1"/>
  <c r="GS153" i="4"/>
  <c r="GT153" i="4" s="1"/>
  <c r="GS154" i="4"/>
  <c r="GT154" i="4" s="1"/>
  <c r="GS155" i="4"/>
  <c r="GT155" i="4" s="1"/>
  <c r="GS156" i="4"/>
  <c r="GT156" i="4" s="1"/>
  <c r="GS157" i="4"/>
  <c r="GT157" i="4" s="1"/>
  <c r="GS158" i="4"/>
  <c r="GT158" i="4" s="1"/>
  <c r="GS159" i="4"/>
  <c r="GT159" i="4" s="1"/>
  <c r="GS160" i="4"/>
  <c r="GT160" i="4" s="1"/>
  <c r="GS161" i="4"/>
  <c r="GT161" i="4" s="1"/>
  <c r="GS162" i="4"/>
  <c r="GT162" i="4" s="1"/>
  <c r="GS163" i="4"/>
  <c r="GT163" i="4" s="1"/>
  <c r="L68" i="7"/>
  <c r="B158" i="9" s="1"/>
  <c r="C72" i="5"/>
  <c r="B72" i="5"/>
  <c r="E87" i="4"/>
  <c r="K69" i="7"/>
  <c r="K71" i="5"/>
  <c r="G388" i="9" s="1"/>
  <c r="F388" i="9"/>
  <c r="N71" i="5"/>
  <c r="D547" i="9" s="1"/>
  <c r="C547" i="9"/>
  <c r="D69" i="5" l="1"/>
  <c r="D155" i="9" s="1"/>
  <c r="F84" i="4"/>
  <c r="E69" i="5"/>
  <c r="E155" i="9" s="1"/>
  <c r="O73" i="5"/>
  <c r="E549" i="9" s="1"/>
  <c r="P73" i="5"/>
  <c r="M73" i="5"/>
  <c r="I73" i="5"/>
  <c r="E390" i="9" s="1"/>
  <c r="F73" i="5"/>
  <c r="B390" i="9" s="1"/>
  <c r="L73" i="5"/>
  <c r="B549" i="9" s="1"/>
  <c r="J73" i="5"/>
  <c r="G73" i="5"/>
  <c r="GV90" i="4"/>
  <c r="GW90" i="4" s="1"/>
  <c r="GV89" i="4"/>
  <c r="GW89" i="4" s="1"/>
  <c r="GV91" i="4"/>
  <c r="GW91" i="4" s="1"/>
  <c r="GV93" i="4"/>
  <c r="GW93" i="4" s="1"/>
  <c r="GV95" i="4"/>
  <c r="GW95" i="4" s="1"/>
  <c r="GV97" i="4"/>
  <c r="GW97" i="4" s="1"/>
  <c r="GV99" i="4"/>
  <c r="GW99" i="4" s="1"/>
  <c r="GV101" i="4"/>
  <c r="GW101" i="4" s="1"/>
  <c r="GV103" i="4"/>
  <c r="GW103" i="4" s="1"/>
  <c r="GV88" i="4"/>
  <c r="GW88" i="4" s="1"/>
  <c r="J88" i="4" s="1"/>
  <c r="GV92" i="4"/>
  <c r="GW92" i="4" s="1"/>
  <c r="GV94" i="4"/>
  <c r="GW94" i="4" s="1"/>
  <c r="GV96" i="4"/>
  <c r="GW96" i="4" s="1"/>
  <c r="GV98" i="4"/>
  <c r="GW98" i="4" s="1"/>
  <c r="GV102" i="4"/>
  <c r="GW102" i="4" s="1"/>
  <c r="GV100" i="4"/>
  <c r="GW100" i="4" s="1"/>
  <c r="GV104" i="4"/>
  <c r="GW104" i="4" s="1"/>
  <c r="GV105" i="4"/>
  <c r="GW105" i="4" s="1"/>
  <c r="GV106" i="4"/>
  <c r="GW106" i="4" s="1"/>
  <c r="GV107" i="4"/>
  <c r="GW107" i="4" s="1"/>
  <c r="GV108" i="4"/>
  <c r="GW108" i="4" s="1"/>
  <c r="GV109" i="4"/>
  <c r="GW109" i="4" s="1"/>
  <c r="GV110" i="4"/>
  <c r="GW110" i="4" s="1"/>
  <c r="GV111" i="4"/>
  <c r="GW111" i="4" s="1"/>
  <c r="GV112" i="4"/>
  <c r="GW112" i="4" s="1"/>
  <c r="GV113" i="4"/>
  <c r="GW113" i="4" s="1"/>
  <c r="GV114" i="4"/>
  <c r="GW114" i="4" s="1"/>
  <c r="GV115" i="4"/>
  <c r="GW115" i="4" s="1"/>
  <c r="GV116" i="4"/>
  <c r="GW116" i="4" s="1"/>
  <c r="GV117" i="4"/>
  <c r="GW117" i="4" s="1"/>
  <c r="GV118" i="4"/>
  <c r="GW118" i="4" s="1"/>
  <c r="GV119" i="4"/>
  <c r="GW119" i="4" s="1"/>
  <c r="GV120" i="4"/>
  <c r="GW120" i="4" s="1"/>
  <c r="GV121" i="4"/>
  <c r="GW121" i="4" s="1"/>
  <c r="GV122" i="4"/>
  <c r="GW122" i="4" s="1"/>
  <c r="GV123" i="4"/>
  <c r="GW123" i="4" s="1"/>
  <c r="GV124" i="4"/>
  <c r="GW124" i="4" s="1"/>
  <c r="GV125" i="4"/>
  <c r="GW125" i="4" s="1"/>
  <c r="GV126" i="4"/>
  <c r="GW126" i="4" s="1"/>
  <c r="GV127" i="4"/>
  <c r="GW127" i="4" s="1"/>
  <c r="GV128" i="4"/>
  <c r="GW128" i="4" s="1"/>
  <c r="GV129" i="4"/>
  <c r="GW129" i="4" s="1"/>
  <c r="GV130" i="4"/>
  <c r="GW130" i="4" s="1"/>
  <c r="GV131" i="4"/>
  <c r="GW131" i="4" s="1"/>
  <c r="GV132" i="4"/>
  <c r="GW132" i="4" s="1"/>
  <c r="GV133" i="4"/>
  <c r="GW133" i="4" s="1"/>
  <c r="GV134" i="4"/>
  <c r="GW134" i="4" s="1"/>
  <c r="GV135" i="4"/>
  <c r="GW135" i="4" s="1"/>
  <c r="GV136" i="4"/>
  <c r="GW136" i="4" s="1"/>
  <c r="GV137" i="4"/>
  <c r="GW137" i="4" s="1"/>
  <c r="GV138" i="4"/>
  <c r="GW138" i="4" s="1"/>
  <c r="GV139" i="4"/>
  <c r="GW139" i="4" s="1"/>
  <c r="GV140" i="4"/>
  <c r="GW140" i="4" s="1"/>
  <c r="GV141" i="4"/>
  <c r="GW141" i="4" s="1"/>
  <c r="GV142" i="4"/>
  <c r="GW142" i="4" s="1"/>
  <c r="GV143" i="4"/>
  <c r="GW143" i="4" s="1"/>
  <c r="GV144" i="4"/>
  <c r="GW144" i="4" s="1"/>
  <c r="GV145" i="4"/>
  <c r="GW145" i="4" s="1"/>
  <c r="GV146" i="4"/>
  <c r="GW146" i="4" s="1"/>
  <c r="GV147" i="4"/>
  <c r="GW147" i="4" s="1"/>
  <c r="GV148" i="4"/>
  <c r="GW148" i="4" s="1"/>
  <c r="GV149" i="4"/>
  <c r="GW149" i="4" s="1"/>
  <c r="GV150" i="4"/>
  <c r="GW150" i="4" s="1"/>
  <c r="GV151" i="4"/>
  <c r="GW151" i="4" s="1"/>
  <c r="GV152" i="4"/>
  <c r="GW152" i="4" s="1"/>
  <c r="M69" i="7"/>
  <c r="C159" i="9" s="1"/>
  <c r="GV153" i="4"/>
  <c r="GW153" i="4" s="1"/>
  <c r="GV154" i="4"/>
  <c r="GW154" i="4" s="1"/>
  <c r="GV155" i="4"/>
  <c r="GW155" i="4" s="1"/>
  <c r="GV156" i="4"/>
  <c r="GW156" i="4" s="1"/>
  <c r="GV157" i="4"/>
  <c r="GW157" i="4" s="1"/>
  <c r="GV158" i="4"/>
  <c r="GW158" i="4" s="1"/>
  <c r="GV159" i="4"/>
  <c r="GW159" i="4" s="1"/>
  <c r="GV160" i="4"/>
  <c r="GW160" i="4" s="1"/>
  <c r="GV161" i="4"/>
  <c r="GW161" i="4" s="1"/>
  <c r="GV162" i="4"/>
  <c r="GW162" i="4" s="1"/>
  <c r="GV163" i="4"/>
  <c r="GW163" i="4" s="1"/>
  <c r="L69" i="7"/>
  <c r="B159" i="9" s="1"/>
  <c r="C73" i="5"/>
  <c r="B73" i="5"/>
  <c r="J75" i="2"/>
  <c r="B89" i="4"/>
  <c r="H72" i="5"/>
  <c r="D389" i="9" s="1"/>
  <c r="C389" i="9"/>
  <c r="Q72" i="5"/>
  <c r="G548" i="9" s="1"/>
  <c r="F548" i="9"/>
  <c r="E88" i="4"/>
  <c r="K70" i="7"/>
  <c r="C548" i="9"/>
  <c r="N72" i="5"/>
  <c r="D548" i="9" s="1"/>
  <c r="K72" i="5"/>
  <c r="G389" i="9" s="1"/>
  <c r="F389" i="9"/>
  <c r="D70" i="5" l="1"/>
  <c r="D156" i="9" s="1"/>
  <c r="F85" i="4"/>
  <c r="E70" i="5"/>
  <c r="E156" i="9" s="1"/>
  <c r="P74" i="5"/>
  <c r="O74" i="5"/>
  <c r="E550" i="9" s="1"/>
  <c r="L74" i="5"/>
  <c r="B550" i="9" s="1"/>
  <c r="J74" i="5"/>
  <c r="G74" i="5"/>
  <c r="M74" i="5"/>
  <c r="I74" i="5"/>
  <c r="E391" i="9" s="1"/>
  <c r="F74" i="5"/>
  <c r="B391" i="9" s="1"/>
  <c r="K73" i="5"/>
  <c r="G390" i="9" s="1"/>
  <c r="F390" i="9"/>
  <c r="N73" i="5"/>
  <c r="D549" i="9" s="1"/>
  <c r="C549" i="9"/>
  <c r="GY89" i="4"/>
  <c r="GZ89" i="4" s="1"/>
  <c r="J89" i="4" s="1"/>
  <c r="GY90" i="4"/>
  <c r="GZ90" i="4" s="1"/>
  <c r="GY91" i="4"/>
  <c r="GZ91" i="4" s="1"/>
  <c r="GY93" i="4"/>
  <c r="GZ93" i="4" s="1"/>
  <c r="GY95" i="4"/>
  <c r="GZ95" i="4" s="1"/>
  <c r="GY97" i="4"/>
  <c r="GZ97" i="4" s="1"/>
  <c r="GY99" i="4"/>
  <c r="GZ99" i="4" s="1"/>
  <c r="GY101" i="4"/>
  <c r="GZ101" i="4" s="1"/>
  <c r="GY103" i="4"/>
  <c r="GZ103" i="4" s="1"/>
  <c r="GY92" i="4"/>
  <c r="GZ92" i="4" s="1"/>
  <c r="GY94" i="4"/>
  <c r="GZ94" i="4" s="1"/>
  <c r="GY96" i="4"/>
  <c r="GZ96" i="4" s="1"/>
  <c r="GY98" i="4"/>
  <c r="GZ98" i="4" s="1"/>
  <c r="GY100" i="4"/>
  <c r="GZ100" i="4" s="1"/>
  <c r="GY104" i="4"/>
  <c r="GZ104" i="4" s="1"/>
  <c r="GY102" i="4"/>
  <c r="GZ102" i="4" s="1"/>
  <c r="GY105" i="4"/>
  <c r="GZ105" i="4" s="1"/>
  <c r="GY106" i="4"/>
  <c r="GZ106" i="4" s="1"/>
  <c r="GY107" i="4"/>
  <c r="GZ107" i="4" s="1"/>
  <c r="GY108" i="4"/>
  <c r="GZ108" i="4" s="1"/>
  <c r="GY109" i="4"/>
  <c r="GZ109" i="4" s="1"/>
  <c r="GY110" i="4"/>
  <c r="GZ110" i="4" s="1"/>
  <c r="GY111" i="4"/>
  <c r="GZ111" i="4" s="1"/>
  <c r="GY112" i="4"/>
  <c r="GZ112" i="4" s="1"/>
  <c r="GY113" i="4"/>
  <c r="GZ113" i="4" s="1"/>
  <c r="GY114" i="4"/>
  <c r="GZ114" i="4" s="1"/>
  <c r="GY115" i="4"/>
  <c r="GZ115" i="4" s="1"/>
  <c r="GY116" i="4"/>
  <c r="GZ116" i="4" s="1"/>
  <c r="GY117" i="4"/>
  <c r="GZ117" i="4" s="1"/>
  <c r="GY118" i="4"/>
  <c r="GZ118" i="4" s="1"/>
  <c r="GY119" i="4"/>
  <c r="GZ119" i="4" s="1"/>
  <c r="GY120" i="4"/>
  <c r="GZ120" i="4" s="1"/>
  <c r="GY121" i="4"/>
  <c r="GZ121" i="4" s="1"/>
  <c r="GY122" i="4"/>
  <c r="GZ122" i="4" s="1"/>
  <c r="GY123" i="4"/>
  <c r="GZ123" i="4" s="1"/>
  <c r="GY124" i="4"/>
  <c r="GZ124" i="4" s="1"/>
  <c r="GY125" i="4"/>
  <c r="GZ125" i="4" s="1"/>
  <c r="GY126" i="4"/>
  <c r="GZ126" i="4" s="1"/>
  <c r="GY127" i="4"/>
  <c r="GZ127" i="4" s="1"/>
  <c r="GY128" i="4"/>
  <c r="GZ128" i="4" s="1"/>
  <c r="GY129" i="4"/>
  <c r="GZ129" i="4" s="1"/>
  <c r="GY130" i="4"/>
  <c r="GZ130" i="4" s="1"/>
  <c r="GY131" i="4"/>
  <c r="GZ131" i="4" s="1"/>
  <c r="GY132" i="4"/>
  <c r="GZ132" i="4" s="1"/>
  <c r="GY133" i="4"/>
  <c r="GZ133" i="4" s="1"/>
  <c r="GY134" i="4"/>
  <c r="GZ134" i="4" s="1"/>
  <c r="GY135" i="4"/>
  <c r="GZ135" i="4" s="1"/>
  <c r="GY136" i="4"/>
  <c r="GZ136" i="4" s="1"/>
  <c r="GY137" i="4"/>
  <c r="GZ137" i="4" s="1"/>
  <c r="GY138" i="4"/>
  <c r="GZ138" i="4" s="1"/>
  <c r="GY139" i="4"/>
  <c r="GZ139" i="4" s="1"/>
  <c r="GY140" i="4"/>
  <c r="GZ140" i="4" s="1"/>
  <c r="GY141" i="4"/>
  <c r="GZ141" i="4" s="1"/>
  <c r="GY142" i="4"/>
  <c r="GZ142" i="4" s="1"/>
  <c r="GY143" i="4"/>
  <c r="GZ143" i="4" s="1"/>
  <c r="GY144" i="4"/>
  <c r="GZ144" i="4" s="1"/>
  <c r="GY145" i="4"/>
  <c r="GZ145" i="4" s="1"/>
  <c r="GY146" i="4"/>
  <c r="GZ146" i="4" s="1"/>
  <c r="GY147" i="4"/>
  <c r="GZ147" i="4" s="1"/>
  <c r="GY148" i="4"/>
  <c r="GZ148" i="4" s="1"/>
  <c r="GY149" i="4"/>
  <c r="GZ149" i="4" s="1"/>
  <c r="GY150" i="4"/>
  <c r="GZ150" i="4" s="1"/>
  <c r="GY151" i="4"/>
  <c r="GZ151" i="4" s="1"/>
  <c r="GY152" i="4"/>
  <c r="GZ152" i="4" s="1"/>
  <c r="M70" i="7"/>
  <c r="C160" i="9" s="1"/>
  <c r="GY153" i="4"/>
  <c r="GZ153" i="4" s="1"/>
  <c r="GY154" i="4"/>
  <c r="GZ154" i="4" s="1"/>
  <c r="GY155" i="4"/>
  <c r="GZ155" i="4" s="1"/>
  <c r="GY156" i="4"/>
  <c r="GZ156" i="4" s="1"/>
  <c r="GY157" i="4"/>
  <c r="GZ157" i="4" s="1"/>
  <c r="GY158" i="4"/>
  <c r="GZ158" i="4" s="1"/>
  <c r="GY159" i="4"/>
  <c r="GZ159" i="4" s="1"/>
  <c r="GY160" i="4"/>
  <c r="GZ160" i="4" s="1"/>
  <c r="GY161" i="4"/>
  <c r="GZ161" i="4" s="1"/>
  <c r="GY162" i="4"/>
  <c r="GZ162" i="4" s="1"/>
  <c r="GY163" i="4"/>
  <c r="GZ163" i="4" s="1"/>
  <c r="L70" i="7"/>
  <c r="B160" i="9" s="1"/>
  <c r="C74" i="5"/>
  <c r="B74" i="5"/>
  <c r="E89" i="4"/>
  <c r="K71" i="7"/>
  <c r="B90" i="4"/>
  <c r="J76" i="2"/>
  <c r="C390" i="9"/>
  <c r="H73" i="5"/>
  <c r="D390" i="9" s="1"/>
  <c r="Q73" i="5"/>
  <c r="G549" i="9" s="1"/>
  <c r="F549" i="9"/>
  <c r="E71" i="5" l="1"/>
  <c r="E157" i="9" s="1"/>
  <c r="D71" i="5"/>
  <c r="D157" i="9" s="1"/>
  <c r="F86" i="4"/>
  <c r="O75" i="5"/>
  <c r="E551" i="9" s="1"/>
  <c r="P75" i="5"/>
  <c r="M75" i="5"/>
  <c r="I75" i="5"/>
  <c r="E392" i="9" s="1"/>
  <c r="F75" i="5"/>
  <c r="B392" i="9" s="1"/>
  <c r="L75" i="5"/>
  <c r="B551" i="9" s="1"/>
  <c r="J75" i="5"/>
  <c r="G75" i="5"/>
  <c r="HB90" i="4"/>
  <c r="HC90" i="4" s="1"/>
  <c r="J90" i="4" s="1"/>
  <c r="HB91" i="4"/>
  <c r="HC91" i="4" s="1"/>
  <c r="HB93" i="4"/>
  <c r="HC93" i="4" s="1"/>
  <c r="HB95" i="4"/>
  <c r="HC95" i="4" s="1"/>
  <c r="HB97" i="4"/>
  <c r="HC97" i="4" s="1"/>
  <c r="HB99" i="4"/>
  <c r="HC99" i="4" s="1"/>
  <c r="HB101" i="4"/>
  <c r="HC101" i="4" s="1"/>
  <c r="HB103" i="4"/>
  <c r="HC103" i="4" s="1"/>
  <c r="HB92" i="4"/>
  <c r="HC92" i="4" s="1"/>
  <c r="HB94" i="4"/>
  <c r="HC94" i="4" s="1"/>
  <c r="HB96" i="4"/>
  <c r="HC96" i="4" s="1"/>
  <c r="HB98" i="4"/>
  <c r="HC98" i="4" s="1"/>
  <c r="HB102" i="4"/>
  <c r="HC102" i="4" s="1"/>
  <c r="HB100" i="4"/>
  <c r="HC100" i="4" s="1"/>
  <c r="HB104" i="4"/>
  <c r="HC104" i="4" s="1"/>
  <c r="HB105" i="4"/>
  <c r="HC105" i="4" s="1"/>
  <c r="HB106" i="4"/>
  <c r="HC106" i="4" s="1"/>
  <c r="HB107" i="4"/>
  <c r="HC107" i="4" s="1"/>
  <c r="HB108" i="4"/>
  <c r="HC108" i="4" s="1"/>
  <c r="HB109" i="4"/>
  <c r="HC109" i="4" s="1"/>
  <c r="HB110" i="4"/>
  <c r="HC110" i="4" s="1"/>
  <c r="HB111" i="4"/>
  <c r="HC111" i="4" s="1"/>
  <c r="HB112" i="4"/>
  <c r="HC112" i="4" s="1"/>
  <c r="HB113" i="4"/>
  <c r="HC113" i="4" s="1"/>
  <c r="HB114" i="4"/>
  <c r="HC114" i="4" s="1"/>
  <c r="HB115" i="4"/>
  <c r="HC115" i="4" s="1"/>
  <c r="HB116" i="4"/>
  <c r="HC116" i="4" s="1"/>
  <c r="HB117" i="4"/>
  <c r="HC117" i="4" s="1"/>
  <c r="HB118" i="4"/>
  <c r="HC118" i="4" s="1"/>
  <c r="HB119" i="4"/>
  <c r="HC119" i="4" s="1"/>
  <c r="HB120" i="4"/>
  <c r="HC120" i="4" s="1"/>
  <c r="HB121" i="4"/>
  <c r="HC121" i="4" s="1"/>
  <c r="HB122" i="4"/>
  <c r="HC122" i="4" s="1"/>
  <c r="HB123" i="4"/>
  <c r="HC123" i="4" s="1"/>
  <c r="HB124" i="4"/>
  <c r="HC124" i="4" s="1"/>
  <c r="HB125" i="4"/>
  <c r="HC125" i="4" s="1"/>
  <c r="HB126" i="4"/>
  <c r="HC126" i="4" s="1"/>
  <c r="HB127" i="4"/>
  <c r="HC127" i="4" s="1"/>
  <c r="HB128" i="4"/>
  <c r="HC128" i="4" s="1"/>
  <c r="HB129" i="4"/>
  <c r="HC129" i="4" s="1"/>
  <c r="HB130" i="4"/>
  <c r="HC130" i="4" s="1"/>
  <c r="HB131" i="4"/>
  <c r="HC131" i="4" s="1"/>
  <c r="HB132" i="4"/>
  <c r="HC132" i="4" s="1"/>
  <c r="HB133" i="4"/>
  <c r="HC133" i="4" s="1"/>
  <c r="HB134" i="4"/>
  <c r="HC134" i="4" s="1"/>
  <c r="HB135" i="4"/>
  <c r="HC135" i="4" s="1"/>
  <c r="HB136" i="4"/>
  <c r="HC136" i="4" s="1"/>
  <c r="HB137" i="4"/>
  <c r="HC137" i="4" s="1"/>
  <c r="HB138" i="4"/>
  <c r="HC138" i="4" s="1"/>
  <c r="HB139" i="4"/>
  <c r="HC139" i="4" s="1"/>
  <c r="HB140" i="4"/>
  <c r="HC140" i="4" s="1"/>
  <c r="HB141" i="4"/>
  <c r="HC141" i="4" s="1"/>
  <c r="HB142" i="4"/>
  <c r="HC142" i="4" s="1"/>
  <c r="HB143" i="4"/>
  <c r="HC143" i="4" s="1"/>
  <c r="HB144" i="4"/>
  <c r="HC144" i="4" s="1"/>
  <c r="HB145" i="4"/>
  <c r="HC145" i="4" s="1"/>
  <c r="HB146" i="4"/>
  <c r="HC146" i="4" s="1"/>
  <c r="HB147" i="4"/>
  <c r="HC147" i="4" s="1"/>
  <c r="HB148" i="4"/>
  <c r="HC148" i="4" s="1"/>
  <c r="HB149" i="4"/>
  <c r="HC149" i="4" s="1"/>
  <c r="HB150" i="4"/>
  <c r="HC150" i="4" s="1"/>
  <c r="HB151" i="4"/>
  <c r="HC151" i="4" s="1"/>
  <c r="HB152" i="4"/>
  <c r="HC152" i="4" s="1"/>
  <c r="M71" i="7"/>
  <c r="C161" i="9" s="1"/>
  <c r="HB153" i="4"/>
  <c r="HC153" i="4" s="1"/>
  <c r="HB154" i="4"/>
  <c r="HC154" i="4" s="1"/>
  <c r="HB155" i="4"/>
  <c r="HC155" i="4" s="1"/>
  <c r="HB156" i="4"/>
  <c r="HC156" i="4" s="1"/>
  <c r="HB157" i="4"/>
  <c r="HC157" i="4" s="1"/>
  <c r="HB158" i="4"/>
  <c r="HC158" i="4" s="1"/>
  <c r="HB159" i="4"/>
  <c r="HC159" i="4" s="1"/>
  <c r="HB160" i="4"/>
  <c r="HC160" i="4" s="1"/>
  <c r="HB161" i="4"/>
  <c r="HC161" i="4" s="1"/>
  <c r="HB162" i="4"/>
  <c r="HC162" i="4" s="1"/>
  <c r="HB163" i="4"/>
  <c r="HC163" i="4" s="1"/>
  <c r="L71" i="7"/>
  <c r="B161" i="9" s="1"/>
  <c r="C75" i="5"/>
  <c r="B75" i="5"/>
  <c r="B91" i="4"/>
  <c r="J77" i="2"/>
  <c r="C550" i="9"/>
  <c r="N74" i="5"/>
  <c r="D550" i="9" s="1"/>
  <c r="K74" i="5"/>
  <c r="G391" i="9" s="1"/>
  <c r="F391" i="9"/>
  <c r="E90" i="4"/>
  <c r="K72" i="7"/>
  <c r="H74" i="5"/>
  <c r="D391" i="9" s="1"/>
  <c r="C391" i="9"/>
  <c r="Q74" i="5"/>
  <c r="G550" i="9" s="1"/>
  <c r="F550" i="9"/>
  <c r="D72" i="5" l="1"/>
  <c r="D158" i="9" s="1"/>
  <c r="F87" i="4"/>
  <c r="E72" i="5"/>
  <c r="E158" i="9" s="1"/>
  <c r="O76" i="5"/>
  <c r="E552" i="9" s="1"/>
  <c r="P76" i="5"/>
  <c r="L76" i="5"/>
  <c r="B552" i="9" s="1"/>
  <c r="J76" i="5"/>
  <c r="G76" i="5"/>
  <c r="M76" i="5"/>
  <c r="I76" i="5"/>
  <c r="E393" i="9" s="1"/>
  <c r="F76" i="5"/>
  <c r="B393" i="9" s="1"/>
  <c r="HE93" i="4"/>
  <c r="HF93" i="4" s="1"/>
  <c r="HE95" i="4"/>
  <c r="HF95" i="4" s="1"/>
  <c r="HE97" i="4"/>
  <c r="HF97" i="4" s="1"/>
  <c r="HE99" i="4"/>
  <c r="HF99" i="4" s="1"/>
  <c r="HE101" i="4"/>
  <c r="HF101" i="4" s="1"/>
  <c r="HE103" i="4"/>
  <c r="HF103" i="4" s="1"/>
  <c r="HE91" i="4"/>
  <c r="HF91" i="4" s="1"/>
  <c r="J91" i="4" s="1"/>
  <c r="HE92" i="4"/>
  <c r="HF92" i="4" s="1"/>
  <c r="HE94" i="4"/>
  <c r="HF94" i="4" s="1"/>
  <c r="HE96" i="4"/>
  <c r="HF96" i="4" s="1"/>
  <c r="HE98" i="4"/>
  <c r="HF98" i="4" s="1"/>
  <c r="HE100" i="4"/>
  <c r="HF100" i="4" s="1"/>
  <c r="HE104" i="4"/>
  <c r="HF104" i="4" s="1"/>
  <c r="HE102" i="4"/>
  <c r="HF102" i="4" s="1"/>
  <c r="HE105" i="4"/>
  <c r="HF105" i="4" s="1"/>
  <c r="HE106" i="4"/>
  <c r="HF106" i="4" s="1"/>
  <c r="HE107" i="4"/>
  <c r="HF107" i="4" s="1"/>
  <c r="HE108" i="4"/>
  <c r="HF108" i="4" s="1"/>
  <c r="HE109" i="4"/>
  <c r="HF109" i="4" s="1"/>
  <c r="HE110" i="4"/>
  <c r="HF110" i="4" s="1"/>
  <c r="HE111" i="4"/>
  <c r="HF111" i="4" s="1"/>
  <c r="HE112" i="4"/>
  <c r="HF112" i="4" s="1"/>
  <c r="HE113" i="4"/>
  <c r="HF113" i="4" s="1"/>
  <c r="HE114" i="4"/>
  <c r="HF114" i="4" s="1"/>
  <c r="HE115" i="4"/>
  <c r="HF115" i="4" s="1"/>
  <c r="HE116" i="4"/>
  <c r="HF116" i="4" s="1"/>
  <c r="HE117" i="4"/>
  <c r="HF117" i="4" s="1"/>
  <c r="HE118" i="4"/>
  <c r="HF118" i="4" s="1"/>
  <c r="HE119" i="4"/>
  <c r="HF119" i="4" s="1"/>
  <c r="HE120" i="4"/>
  <c r="HF120" i="4" s="1"/>
  <c r="HE121" i="4"/>
  <c r="HF121" i="4" s="1"/>
  <c r="HE122" i="4"/>
  <c r="HF122" i="4" s="1"/>
  <c r="HE123" i="4"/>
  <c r="HF123" i="4" s="1"/>
  <c r="HE124" i="4"/>
  <c r="HF124" i="4" s="1"/>
  <c r="HE125" i="4"/>
  <c r="HF125" i="4" s="1"/>
  <c r="HE126" i="4"/>
  <c r="HF126" i="4" s="1"/>
  <c r="HE127" i="4"/>
  <c r="HF127" i="4" s="1"/>
  <c r="HE128" i="4"/>
  <c r="HF128" i="4" s="1"/>
  <c r="HE129" i="4"/>
  <c r="HF129" i="4" s="1"/>
  <c r="HE130" i="4"/>
  <c r="HF130" i="4" s="1"/>
  <c r="HE131" i="4"/>
  <c r="HF131" i="4" s="1"/>
  <c r="HE132" i="4"/>
  <c r="HF132" i="4" s="1"/>
  <c r="HE133" i="4"/>
  <c r="HF133" i="4" s="1"/>
  <c r="HE134" i="4"/>
  <c r="HF134" i="4" s="1"/>
  <c r="HE135" i="4"/>
  <c r="HF135" i="4" s="1"/>
  <c r="HE136" i="4"/>
  <c r="HF136" i="4" s="1"/>
  <c r="HE137" i="4"/>
  <c r="HF137" i="4" s="1"/>
  <c r="HE138" i="4"/>
  <c r="HF138" i="4" s="1"/>
  <c r="HE139" i="4"/>
  <c r="HF139" i="4" s="1"/>
  <c r="HE140" i="4"/>
  <c r="HF140" i="4" s="1"/>
  <c r="HE141" i="4"/>
  <c r="HF141" i="4" s="1"/>
  <c r="HE142" i="4"/>
  <c r="HF142" i="4" s="1"/>
  <c r="HE143" i="4"/>
  <c r="HF143" i="4" s="1"/>
  <c r="HE144" i="4"/>
  <c r="HF144" i="4" s="1"/>
  <c r="HE145" i="4"/>
  <c r="HF145" i="4" s="1"/>
  <c r="HE146" i="4"/>
  <c r="HF146" i="4" s="1"/>
  <c r="HE147" i="4"/>
  <c r="HF147" i="4" s="1"/>
  <c r="HE148" i="4"/>
  <c r="HF148" i="4" s="1"/>
  <c r="HE149" i="4"/>
  <c r="HF149" i="4" s="1"/>
  <c r="HE150" i="4"/>
  <c r="HF150" i="4" s="1"/>
  <c r="HE151" i="4"/>
  <c r="HF151" i="4" s="1"/>
  <c r="HE152" i="4"/>
  <c r="HF152" i="4" s="1"/>
  <c r="M72" i="7"/>
  <c r="C162" i="9" s="1"/>
  <c r="HE153" i="4"/>
  <c r="HF153" i="4" s="1"/>
  <c r="HE154" i="4"/>
  <c r="HF154" i="4" s="1"/>
  <c r="HE155" i="4"/>
  <c r="HF155" i="4" s="1"/>
  <c r="HE156" i="4"/>
  <c r="HF156" i="4" s="1"/>
  <c r="HE157" i="4"/>
  <c r="HF157" i="4" s="1"/>
  <c r="HE158" i="4"/>
  <c r="HF158" i="4" s="1"/>
  <c r="HE159" i="4"/>
  <c r="HF159" i="4" s="1"/>
  <c r="HE160" i="4"/>
  <c r="HF160" i="4" s="1"/>
  <c r="HE161" i="4"/>
  <c r="HF161" i="4" s="1"/>
  <c r="HE162" i="4"/>
  <c r="HF162" i="4" s="1"/>
  <c r="HE163" i="4"/>
  <c r="HF163" i="4" s="1"/>
  <c r="L72" i="7"/>
  <c r="B162" i="9" s="1"/>
  <c r="C76" i="5"/>
  <c r="B76" i="5"/>
  <c r="B92" i="4"/>
  <c r="J78" i="2"/>
  <c r="K75" i="5"/>
  <c r="G392" i="9" s="1"/>
  <c r="F392" i="9"/>
  <c r="N75" i="5"/>
  <c r="D551" i="9" s="1"/>
  <c r="C551" i="9"/>
  <c r="E91" i="4"/>
  <c r="K73" i="7"/>
  <c r="C392" i="9"/>
  <c r="H75" i="5"/>
  <c r="D392" i="9" s="1"/>
  <c r="Q75" i="5"/>
  <c r="G551" i="9" s="1"/>
  <c r="F551" i="9"/>
  <c r="E73" i="5" l="1"/>
  <c r="E159" i="9" s="1"/>
  <c r="F88" i="4"/>
  <c r="D73" i="5"/>
  <c r="D159" i="9" s="1"/>
  <c r="P77" i="5"/>
  <c r="O77" i="5"/>
  <c r="E553" i="9" s="1"/>
  <c r="M77" i="5"/>
  <c r="I77" i="5"/>
  <c r="E394" i="9" s="1"/>
  <c r="F77" i="5"/>
  <c r="B394" i="9" s="1"/>
  <c r="L77" i="5"/>
  <c r="B553" i="9" s="1"/>
  <c r="J77" i="5"/>
  <c r="G77" i="5"/>
  <c r="HH92" i="4"/>
  <c r="HI92" i="4" s="1"/>
  <c r="J92" i="4" s="1"/>
  <c r="HH93" i="4"/>
  <c r="HI93" i="4" s="1"/>
  <c r="HH95" i="4"/>
  <c r="HI95" i="4" s="1"/>
  <c r="HH97" i="4"/>
  <c r="HI97" i="4" s="1"/>
  <c r="HH99" i="4"/>
  <c r="HI99" i="4" s="1"/>
  <c r="HH101" i="4"/>
  <c r="HI101" i="4" s="1"/>
  <c r="HH103" i="4"/>
  <c r="HI103" i="4" s="1"/>
  <c r="HH94" i="4"/>
  <c r="HI94" i="4" s="1"/>
  <c r="HH96" i="4"/>
  <c r="HI96" i="4" s="1"/>
  <c r="HH98" i="4"/>
  <c r="HI98" i="4" s="1"/>
  <c r="HH102" i="4"/>
  <c r="HI102" i="4" s="1"/>
  <c r="HH100" i="4"/>
  <c r="HI100" i="4" s="1"/>
  <c r="HH104" i="4"/>
  <c r="HI104" i="4" s="1"/>
  <c r="HH105" i="4"/>
  <c r="HI105" i="4" s="1"/>
  <c r="HH106" i="4"/>
  <c r="HI106" i="4" s="1"/>
  <c r="HH107" i="4"/>
  <c r="HI107" i="4" s="1"/>
  <c r="HH108" i="4"/>
  <c r="HI108" i="4" s="1"/>
  <c r="HH109" i="4"/>
  <c r="HI109" i="4" s="1"/>
  <c r="HH110" i="4"/>
  <c r="HI110" i="4" s="1"/>
  <c r="HH111" i="4"/>
  <c r="HI111" i="4" s="1"/>
  <c r="HH112" i="4"/>
  <c r="HI112" i="4" s="1"/>
  <c r="HH113" i="4"/>
  <c r="HI113" i="4" s="1"/>
  <c r="HH114" i="4"/>
  <c r="HI114" i="4" s="1"/>
  <c r="HH115" i="4"/>
  <c r="HI115" i="4" s="1"/>
  <c r="HH116" i="4"/>
  <c r="HI116" i="4" s="1"/>
  <c r="HH117" i="4"/>
  <c r="HI117" i="4" s="1"/>
  <c r="HH118" i="4"/>
  <c r="HI118" i="4" s="1"/>
  <c r="HH119" i="4"/>
  <c r="HI119" i="4" s="1"/>
  <c r="HH120" i="4"/>
  <c r="HI120" i="4" s="1"/>
  <c r="HH121" i="4"/>
  <c r="HI121" i="4" s="1"/>
  <c r="HH122" i="4"/>
  <c r="HI122" i="4" s="1"/>
  <c r="HH123" i="4"/>
  <c r="HI123" i="4" s="1"/>
  <c r="HH124" i="4"/>
  <c r="HI124" i="4" s="1"/>
  <c r="HH125" i="4"/>
  <c r="HI125" i="4" s="1"/>
  <c r="HH126" i="4"/>
  <c r="HI126" i="4" s="1"/>
  <c r="HH127" i="4"/>
  <c r="HI127" i="4" s="1"/>
  <c r="HH128" i="4"/>
  <c r="HI128" i="4" s="1"/>
  <c r="HH129" i="4"/>
  <c r="HI129" i="4" s="1"/>
  <c r="HH130" i="4"/>
  <c r="HI130" i="4" s="1"/>
  <c r="HH131" i="4"/>
  <c r="HI131" i="4" s="1"/>
  <c r="HH132" i="4"/>
  <c r="HI132" i="4" s="1"/>
  <c r="HH133" i="4"/>
  <c r="HI133" i="4" s="1"/>
  <c r="HH134" i="4"/>
  <c r="HI134" i="4" s="1"/>
  <c r="HH135" i="4"/>
  <c r="HI135" i="4" s="1"/>
  <c r="HH136" i="4"/>
  <c r="HI136" i="4" s="1"/>
  <c r="HH137" i="4"/>
  <c r="HI137" i="4" s="1"/>
  <c r="HH138" i="4"/>
  <c r="HI138" i="4" s="1"/>
  <c r="HH139" i="4"/>
  <c r="HI139" i="4" s="1"/>
  <c r="HH140" i="4"/>
  <c r="HI140" i="4" s="1"/>
  <c r="HH141" i="4"/>
  <c r="HI141" i="4" s="1"/>
  <c r="HH142" i="4"/>
  <c r="HI142" i="4" s="1"/>
  <c r="HH143" i="4"/>
  <c r="HI143" i="4" s="1"/>
  <c r="HH144" i="4"/>
  <c r="HI144" i="4" s="1"/>
  <c r="HH145" i="4"/>
  <c r="HI145" i="4" s="1"/>
  <c r="HH146" i="4"/>
  <c r="HI146" i="4" s="1"/>
  <c r="HH147" i="4"/>
  <c r="HI147" i="4" s="1"/>
  <c r="HH148" i="4"/>
  <c r="HI148" i="4" s="1"/>
  <c r="HH149" i="4"/>
  <c r="HI149" i="4" s="1"/>
  <c r="HH150" i="4"/>
  <c r="HI150" i="4" s="1"/>
  <c r="HH151" i="4"/>
  <c r="HI151" i="4" s="1"/>
  <c r="HH152" i="4"/>
  <c r="HI152" i="4" s="1"/>
  <c r="M73" i="7"/>
  <c r="C163" i="9" s="1"/>
  <c r="HH153" i="4"/>
  <c r="HI153" i="4" s="1"/>
  <c r="HH154" i="4"/>
  <c r="HI154" i="4" s="1"/>
  <c r="HH155" i="4"/>
  <c r="HI155" i="4" s="1"/>
  <c r="HH156" i="4"/>
  <c r="HI156" i="4" s="1"/>
  <c r="HH157" i="4"/>
  <c r="HI157" i="4" s="1"/>
  <c r="HH158" i="4"/>
  <c r="HI158" i="4" s="1"/>
  <c r="HH159" i="4"/>
  <c r="HI159" i="4" s="1"/>
  <c r="HH160" i="4"/>
  <c r="HI160" i="4" s="1"/>
  <c r="HH161" i="4"/>
  <c r="HI161" i="4" s="1"/>
  <c r="HH162" i="4"/>
  <c r="HI162" i="4" s="1"/>
  <c r="HH163" i="4"/>
  <c r="HI163" i="4" s="1"/>
  <c r="L73" i="7"/>
  <c r="B163" i="9" s="1"/>
  <c r="C77" i="5"/>
  <c r="B77" i="5"/>
  <c r="E92" i="4"/>
  <c r="K74" i="7"/>
  <c r="H76" i="5"/>
  <c r="D393" i="9" s="1"/>
  <c r="C393" i="9"/>
  <c r="B93" i="4"/>
  <c r="J79" i="2"/>
  <c r="C552" i="9"/>
  <c r="N76" i="5"/>
  <c r="D552" i="9" s="1"/>
  <c r="K76" i="5"/>
  <c r="G393" i="9" s="1"/>
  <c r="F393" i="9"/>
  <c r="Q76" i="5"/>
  <c r="G552" i="9" s="1"/>
  <c r="F552" i="9"/>
  <c r="F89" i="4" l="1"/>
  <c r="D74" i="5"/>
  <c r="D160" i="9" s="1"/>
  <c r="E74" i="5"/>
  <c r="E160" i="9" s="1"/>
  <c r="O78" i="5"/>
  <c r="E554" i="9" s="1"/>
  <c r="P78" i="5"/>
  <c r="L78" i="5"/>
  <c r="B554" i="9" s="1"/>
  <c r="J78" i="5"/>
  <c r="G78" i="5"/>
  <c r="M78" i="5"/>
  <c r="I78" i="5"/>
  <c r="E395" i="9" s="1"/>
  <c r="F78" i="5"/>
  <c r="B395" i="9" s="1"/>
  <c r="B94" i="4"/>
  <c r="J80" i="2"/>
  <c r="HK95" i="4"/>
  <c r="HL95" i="4" s="1"/>
  <c r="HK97" i="4"/>
  <c r="HL97" i="4" s="1"/>
  <c r="HK99" i="4"/>
  <c r="HL99" i="4" s="1"/>
  <c r="HK101" i="4"/>
  <c r="HL101" i="4" s="1"/>
  <c r="HK103" i="4"/>
  <c r="HL103" i="4" s="1"/>
  <c r="HK93" i="4"/>
  <c r="HL93" i="4" s="1"/>
  <c r="J93" i="4" s="1"/>
  <c r="HK94" i="4"/>
  <c r="HL94" i="4" s="1"/>
  <c r="HK96" i="4"/>
  <c r="HL96" i="4" s="1"/>
  <c r="HK98" i="4"/>
  <c r="HL98" i="4" s="1"/>
  <c r="HK100" i="4"/>
  <c r="HL100" i="4" s="1"/>
  <c r="HK104" i="4"/>
  <c r="HL104" i="4" s="1"/>
  <c r="HK102" i="4"/>
  <c r="HL102" i="4" s="1"/>
  <c r="HK105" i="4"/>
  <c r="HL105" i="4" s="1"/>
  <c r="HK106" i="4"/>
  <c r="HL106" i="4" s="1"/>
  <c r="HK107" i="4"/>
  <c r="HL107" i="4" s="1"/>
  <c r="HK108" i="4"/>
  <c r="HL108" i="4" s="1"/>
  <c r="HK109" i="4"/>
  <c r="HL109" i="4" s="1"/>
  <c r="HK110" i="4"/>
  <c r="HL110" i="4" s="1"/>
  <c r="HK111" i="4"/>
  <c r="HL111" i="4" s="1"/>
  <c r="HK112" i="4"/>
  <c r="HL112" i="4" s="1"/>
  <c r="HK113" i="4"/>
  <c r="HL113" i="4" s="1"/>
  <c r="HK114" i="4"/>
  <c r="HL114" i="4" s="1"/>
  <c r="HK115" i="4"/>
  <c r="HL115" i="4" s="1"/>
  <c r="HK116" i="4"/>
  <c r="HL116" i="4" s="1"/>
  <c r="HK117" i="4"/>
  <c r="HL117" i="4" s="1"/>
  <c r="HK118" i="4"/>
  <c r="HL118" i="4" s="1"/>
  <c r="HK119" i="4"/>
  <c r="HL119" i="4" s="1"/>
  <c r="HK120" i="4"/>
  <c r="HL120" i="4" s="1"/>
  <c r="HK121" i="4"/>
  <c r="HL121" i="4" s="1"/>
  <c r="HK122" i="4"/>
  <c r="HL122" i="4" s="1"/>
  <c r="HK123" i="4"/>
  <c r="HL123" i="4" s="1"/>
  <c r="HK124" i="4"/>
  <c r="HL124" i="4" s="1"/>
  <c r="HK125" i="4"/>
  <c r="HL125" i="4" s="1"/>
  <c r="HK126" i="4"/>
  <c r="HL126" i="4" s="1"/>
  <c r="HK127" i="4"/>
  <c r="HL127" i="4" s="1"/>
  <c r="HK128" i="4"/>
  <c r="HL128" i="4" s="1"/>
  <c r="HK129" i="4"/>
  <c r="HL129" i="4" s="1"/>
  <c r="HK130" i="4"/>
  <c r="HL130" i="4" s="1"/>
  <c r="HK131" i="4"/>
  <c r="HL131" i="4" s="1"/>
  <c r="HK132" i="4"/>
  <c r="HL132" i="4" s="1"/>
  <c r="HK133" i="4"/>
  <c r="HL133" i="4" s="1"/>
  <c r="HK134" i="4"/>
  <c r="HL134" i="4" s="1"/>
  <c r="HK135" i="4"/>
  <c r="HL135" i="4" s="1"/>
  <c r="HK136" i="4"/>
  <c r="HL136" i="4" s="1"/>
  <c r="HK137" i="4"/>
  <c r="HL137" i="4" s="1"/>
  <c r="HK138" i="4"/>
  <c r="HL138" i="4" s="1"/>
  <c r="HK139" i="4"/>
  <c r="HL139" i="4" s="1"/>
  <c r="HK140" i="4"/>
  <c r="HL140" i="4" s="1"/>
  <c r="HK141" i="4"/>
  <c r="HL141" i="4" s="1"/>
  <c r="HK142" i="4"/>
  <c r="HL142" i="4" s="1"/>
  <c r="HK143" i="4"/>
  <c r="HL143" i="4" s="1"/>
  <c r="HK144" i="4"/>
  <c r="HL144" i="4" s="1"/>
  <c r="HK145" i="4"/>
  <c r="HL145" i="4" s="1"/>
  <c r="HK146" i="4"/>
  <c r="HL146" i="4" s="1"/>
  <c r="HK147" i="4"/>
  <c r="HL147" i="4" s="1"/>
  <c r="HK148" i="4"/>
  <c r="HL148" i="4" s="1"/>
  <c r="HK149" i="4"/>
  <c r="HL149" i="4" s="1"/>
  <c r="HK150" i="4"/>
  <c r="HL150" i="4" s="1"/>
  <c r="HK151" i="4"/>
  <c r="HL151" i="4" s="1"/>
  <c r="HK152" i="4"/>
  <c r="HL152" i="4" s="1"/>
  <c r="M74" i="7"/>
  <c r="C164" i="9" s="1"/>
  <c r="HK153" i="4"/>
  <c r="HL153" i="4" s="1"/>
  <c r="HK154" i="4"/>
  <c r="HL154" i="4" s="1"/>
  <c r="HK155" i="4"/>
  <c r="HL155" i="4" s="1"/>
  <c r="HK156" i="4"/>
  <c r="HL156" i="4" s="1"/>
  <c r="HK157" i="4"/>
  <c r="HL157" i="4" s="1"/>
  <c r="HK158" i="4"/>
  <c r="HL158" i="4" s="1"/>
  <c r="HK159" i="4"/>
  <c r="HL159" i="4" s="1"/>
  <c r="HK160" i="4"/>
  <c r="HL160" i="4" s="1"/>
  <c r="HK161" i="4"/>
  <c r="HL161" i="4" s="1"/>
  <c r="HK162" i="4"/>
  <c r="HL162" i="4" s="1"/>
  <c r="HK163" i="4"/>
  <c r="HL163" i="4" s="1"/>
  <c r="L74" i="7"/>
  <c r="B164" i="9" s="1"/>
  <c r="C78" i="5"/>
  <c r="B78" i="5"/>
  <c r="K77" i="5"/>
  <c r="G394" i="9" s="1"/>
  <c r="F394" i="9"/>
  <c r="N77" i="5"/>
  <c r="D553" i="9" s="1"/>
  <c r="C553" i="9"/>
  <c r="Q77" i="5"/>
  <c r="G553" i="9" s="1"/>
  <c r="F553" i="9"/>
  <c r="E93" i="4"/>
  <c r="K75" i="7"/>
  <c r="C394" i="9"/>
  <c r="H77" i="5"/>
  <c r="D394" i="9" s="1"/>
  <c r="E75" i="5" l="1"/>
  <c r="E161" i="9" s="1"/>
  <c r="F90" i="4"/>
  <c r="D75" i="5"/>
  <c r="D161" i="9" s="1"/>
  <c r="P79" i="5"/>
  <c r="O79" i="5"/>
  <c r="E555" i="9" s="1"/>
  <c r="M79" i="5"/>
  <c r="I79" i="5"/>
  <c r="E396" i="9" s="1"/>
  <c r="F79" i="5"/>
  <c r="B396" i="9" s="1"/>
  <c r="L79" i="5"/>
  <c r="B555" i="9" s="1"/>
  <c r="J79" i="5"/>
  <c r="G79" i="5"/>
  <c r="HN94" i="4"/>
  <c r="HO94" i="4" s="1"/>
  <c r="J94" i="4" s="1"/>
  <c r="HN95" i="4"/>
  <c r="HO95" i="4" s="1"/>
  <c r="HN97" i="4"/>
  <c r="HO97" i="4" s="1"/>
  <c r="HN99" i="4"/>
  <c r="HO99" i="4" s="1"/>
  <c r="HN101" i="4"/>
  <c r="HO101" i="4" s="1"/>
  <c r="HN103" i="4"/>
  <c r="HO103" i="4" s="1"/>
  <c r="HN96" i="4"/>
  <c r="HO96" i="4" s="1"/>
  <c r="HN98" i="4"/>
  <c r="HO98" i="4" s="1"/>
  <c r="HN102" i="4"/>
  <c r="HO102" i="4" s="1"/>
  <c r="HN100" i="4"/>
  <c r="HO100" i="4" s="1"/>
  <c r="HN104" i="4"/>
  <c r="HO104" i="4" s="1"/>
  <c r="HN105" i="4"/>
  <c r="HO105" i="4" s="1"/>
  <c r="HN106" i="4"/>
  <c r="HO106" i="4" s="1"/>
  <c r="HN107" i="4"/>
  <c r="HO107" i="4" s="1"/>
  <c r="HN108" i="4"/>
  <c r="HO108" i="4" s="1"/>
  <c r="HN109" i="4"/>
  <c r="HO109" i="4" s="1"/>
  <c r="HN110" i="4"/>
  <c r="HO110" i="4" s="1"/>
  <c r="HN111" i="4"/>
  <c r="HO111" i="4" s="1"/>
  <c r="HN112" i="4"/>
  <c r="HO112" i="4" s="1"/>
  <c r="HN113" i="4"/>
  <c r="HO113" i="4" s="1"/>
  <c r="HN114" i="4"/>
  <c r="HO114" i="4" s="1"/>
  <c r="HN115" i="4"/>
  <c r="HO115" i="4" s="1"/>
  <c r="HN116" i="4"/>
  <c r="HO116" i="4" s="1"/>
  <c r="HN117" i="4"/>
  <c r="HO117" i="4" s="1"/>
  <c r="HN118" i="4"/>
  <c r="HO118" i="4" s="1"/>
  <c r="HN119" i="4"/>
  <c r="HO119" i="4" s="1"/>
  <c r="HN120" i="4"/>
  <c r="HO120" i="4" s="1"/>
  <c r="HN121" i="4"/>
  <c r="HO121" i="4" s="1"/>
  <c r="HN122" i="4"/>
  <c r="HO122" i="4" s="1"/>
  <c r="HN123" i="4"/>
  <c r="HO123" i="4" s="1"/>
  <c r="HN124" i="4"/>
  <c r="HO124" i="4" s="1"/>
  <c r="HN125" i="4"/>
  <c r="HO125" i="4" s="1"/>
  <c r="HN126" i="4"/>
  <c r="HO126" i="4" s="1"/>
  <c r="HN127" i="4"/>
  <c r="HO127" i="4" s="1"/>
  <c r="HN128" i="4"/>
  <c r="HO128" i="4" s="1"/>
  <c r="HN129" i="4"/>
  <c r="HO129" i="4" s="1"/>
  <c r="HN130" i="4"/>
  <c r="HO130" i="4" s="1"/>
  <c r="HN131" i="4"/>
  <c r="HO131" i="4" s="1"/>
  <c r="HN132" i="4"/>
  <c r="HO132" i="4" s="1"/>
  <c r="HN133" i="4"/>
  <c r="HO133" i="4" s="1"/>
  <c r="HN134" i="4"/>
  <c r="HO134" i="4" s="1"/>
  <c r="HN135" i="4"/>
  <c r="HO135" i="4" s="1"/>
  <c r="HN136" i="4"/>
  <c r="HO136" i="4" s="1"/>
  <c r="HN137" i="4"/>
  <c r="HO137" i="4" s="1"/>
  <c r="HN138" i="4"/>
  <c r="HO138" i="4" s="1"/>
  <c r="HN139" i="4"/>
  <c r="HO139" i="4" s="1"/>
  <c r="HN140" i="4"/>
  <c r="HO140" i="4" s="1"/>
  <c r="HN141" i="4"/>
  <c r="HO141" i="4" s="1"/>
  <c r="HN142" i="4"/>
  <c r="HO142" i="4" s="1"/>
  <c r="HN143" i="4"/>
  <c r="HO143" i="4" s="1"/>
  <c r="HN144" i="4"/>
  <c r="HO144" i="4" s="1"/>
  <c r="HN145" i="4"/>
  <c r="HO145" i="4" s="1"/>
  <c r="HN146" i="4"/>
  <c r="HO146" i="4" s="1"/>
  <c r="HN147" i="4"/>
  <c r="HO147" i="4" s="1"/>
  <c r="HN148" i="4"/>
  <c r="HO148" i="4" s="1"/>
  <c r="HN149" i="4"/>
  <c r="HO149" i="4" s="1"/>
  <c r="HN150" i="4"/>
  <c r="HO150" i="4" s="1"/>
  <c r="HN151" i="4"/>
  <c r="HO151" i="4" s="1"/>
  <c r="HN152" i="4"/>
  <c r="HO152" i="4" s="1"/>
  <c r="M75" i="7"/>
  <c r="C165" i="9" s="1"/>
  <c r="HN153" i="4"/>
  <c r="HO153" i="4" s="1"/>
  <c r="HN154" i="4"/>
  <c r="HO154" i="4" s="1"/>
  <c r="HN155" i="4"/>
  <c r="HO155" i="4" s="1"/>
  <c r="HN156" i="4"/>
  <c r="HO156" i="4" s="1"/>
  <c r="HN157" i="4"/>
  <c r="HO157" i="4" s="1"/>
  <c r="HN158" i="4"/>
  <c r="HO158" i="4" s="1"/>
  <c r="HN159" i="4"/>
  <c r="HO159" i="4" s="1"/>
  <c r="HN160" i="4"/>
  <c r="HO160" i="4" s="1"/>
  <c r="HN161" i="4"/>
  <c r="HO161" i="4" s="1"/>
  <c r="HN162" i="4"/>
  <c r="HO162" i="4" s="1"/>
  <c r="HN163" i="4"/>
  <c r="HO163" i="4" s="1"/>
  <c r="L75" i="7"/>
  <c r="B165" i="9" s="1"/>
  <c r="C79" i="5"/>
  <c r="B79" i="5"/>
  <c r="E94" i="4"/>
  <c r="K76" i="7"/>
  <c r="H78" i="5"/>
  <c r="D395" i="9" s="1"/>
  <c r="C395" i="9"/>
  <c r="B95" i="4"/>
  <c r="J81" i="2"/>
  <c r="C554" i="9"/>
  <c r="N78" i="5"/>
  <c r="D554" i="9" s="1"/>
  <c r="K78" i="5"/>
  <c r="G395" i="9" s="1"/>
  <c r="F395" i="9"/>
  <c r="Q78" i="5"/>
  <c r="G554" i="9" s="1"/>
  <c r="F554" i="9"/>
  <c r="F91" i="4" l="1"/>
  <c r="D76" i="5"/>
  <c r="D162" i="9" s="1"/>
  <c r="E76" i="5"/>
  <c r="E162" i="9" s="1"/>
  <c r="O80" i="5"/>
  <c r="E556" i="9" s="1"/>
  <c r="P80" i="5"/>
  <c r="L80" i="5"/>
  <c r="B556" i="9" s="1"/>
  <c r="J80" i="5"/>
  <c r="G80" i="5"/>
  <c r="M80" i="5"/>
  <c r="I80" i="5"/>
  <c r="E397" i="9" s="1"/>
  <c r="F80" i="5"/>
  <c r="B397" i="9" s="1"/>
  <c r="E95" i="4"/>
  <c r="K77" i="7"/>
  <c r="HQ97" i="4"/>
  <c r="HR97" i="4" s="1"/>
  <c r="HQ99" i="4"/>
  <c r="HR99" i="4" s="1"/>
  <c r="HQ101" i="4"/>
  <c r="HR101" i="4" s="1"/>
  <c r="HQ103" i="4"/>
  <c r="HR103" i="4" s="1"/>
  <c r="HQ95" i="4"/>
  <c r="HR95" i="4" s="1"/>
  <c r="J95" i="4" s="1"/>
  <c r="HQ96" i="4"/>
  <c r="HR96" i="4" s="1"/>
  <c r="HQ98" i="4"/>
  <c r="HR98" i="4" s="1"/>
  <c r="HQ100" i="4"/>
  <c r="HR100" i="4" s="1"/>
  <c r="HQ104" i="4"/>
  <c r="HR104" i="4" s="1"/>
  <c r="HQ102" i="4"/>
  <c r="HR102" i="4" s="1"/>
  <c r="HQ105" i="4"/>
  <c r="HR105" i="4" s="1"/>
  <c r="HQ106" i="4"/>
  <c r="HR106" i="4" s="1"/>
  <c r="HQ107" i="4"/>
  <c r="HR107" i="4" s="1"/>
  <c r="HQ108" i="4"/>
  <c r="HR108" i="4" s="1"/>
  <c r="HQ109" i="4"/>
  <c r="HR109" i="4" s="1"/>
  <c r="HQ110" i="4"/>
  <c r="HR110" i="4" s="1"/>
  <c r="HQ111" i="4"/>
  <c r="HR111" i="4" s="1"/>
  <c r="HQ112" i="4"/>
  <c r="HR112" i="4" s="1"/>
  <c r="HQ113" i="4"/>
  <c r="HR113" i="4" s="1"/>
  <c r="HQ114" i="4"/>
  <c r="HR114" i="4" s="1"/>
  <c r="HQ115" i="4"/>
  <c r="HR115" i="4" s="1"/>
  <c r="HQ116" i="4"/>
  <c r="HR116" i="4" s="1"/>
  <c r="HQ117" i="4"/>
  <c r="HR117" i="4" s="1"/>
  <c r="HQ118" i="4"/>
  <c r="HR118" i="4" s="1"/>
  <c r="HQ119" i="4"/>
  <c r="HR119" i="4" s="1"/>
  <c r="HQ120" i="4"/>
  <c r="HR120" i="4" s="1"/>
  <c r="HQ121" i="4"/>
  <c r="HR121" i="4" s="1"/>
  <c r="HQ122" i="4"/>
  <c r="HR122" i="4" s="1"/>
  <c r="HQ123" i="4"/>
  <c r="HR123" i="4" s="1"/>
  <c r="HQ124" i="4"/>
  <c r="HR124" i="4" s="1"/>
  <c r="HQ125" i="4"/>
  <c r="HR125" i="4" s="1"/>
  <c r="HQ126" i="4"/>
  <c r="HR126" i="4" s="1"/>
  <c r="HQ127" i="4"/>
  <c r="HR127" i="4" s="1"/>
  <c r="HQ128" i="4"/>
  <c r="HR128" i="4" s="1"/>
  <c r="HQ129" i="4"/>
  <c r="HR129" i="4" s="1"/>
  <c r="HQ130" i="4"/>
  <c r="HR130" i="4" s="1"/>
  <c r="HQ131" i="4"/>
  <c r="HR131" i="4" s="1"/>
  <c r="HQ132" i="4"/>
  <c r="HR132" i="4" s="1"/>
  <c r="HQ133" i="4"/>
  <c r="HR133" i="4" s="1"/>
  <c r="HQ134" i="4"/>
  <c r="HR134" i="4" s="1"/>
  <c r="HQ135" i="4"/>
  <c r="HR135" i="4" s="1"/>
  <c r="HQ136" i="4"/>
  <c r="HR136" i="4" s="1"/>
  <c r="HQ137" i="4"/>
  <c r="HR137" i="4" s="1"/>
  <c r="HQ138" i="4"/>
  <c r="HR138" i="4" s="1"/>
  <c r="HQ139" i="4"/>
  <c r="HR139" i="4" s="1"/>
  <c r="HQ140" i="4"/>
  <c r="HR140" i="4" s="1"/>
  <c r="HQ141" i="4"/>
  <c r="HR141" i="4" s="1"/>
  <c r="HQ142" i="4"/>
  <c r="HR142" i="4" s="1"/>
  <c r="HQ143" i="4"/>
  <c r="HR143" i="4" s="1"/>
  <c r="HQ144" i="4"/>
  <c r="HR144" i="4" s="1"/>
  <c r="HQ145" i="4"/>
  <c r="HR145" i="4" s="1"/>
  <c r="HQ146" i="4"/>
  <c r="HR146" i="4" s="1"/>
  <c r="HQ147" i="4"/>
  <c r="HR147" i="4" s="1"/>
  <c r="HQ148" i="4"/>
  <c r="HR148" i="4" s="1"/>
  <c r="HQ149" i="4"/>
  <c r="HR149" i="4" s="1"/>
  <c r="HQ150" i="4"/>
  <c r="HR150" i="4" s="1"/>
  <c r="HQ151" i="4"/>
  <c r="HR151" i="4" s="1"/>
  <c r="HQ152" i="4"/>
  <c r="HR152" i="4" s="1"/>
  <c r="M76" i="7"/>
  <c r="C166" i="9" s="1"/>
  <c r="HQ153" i="4"/>
  <c r="HR153" i="4" s="1"/>
  <c r="HQ154" i="4"/>
  <c r="HR154" i="4" s="1"/>
  <c r="HQ155" i="4"/>
  <c r="HR155" i="4" s="1"/>
  <c r="HQ156" i="4"/>
  <c r="HR156" i="4" s="1"/>
  <c r="HQ157" i="4"/>
  <c r="HR157" i="4" s="1"/>
  <c r="HQ158" i="4"/>
  <c r="HR158" i="4" s="1"/>
  <c r="HQ159" i="4"/>
  <c r="HR159" i="4" s="1"/>
  <c r="HQ160" i="4"/>
  <c r="HR160" i="4" s="1"/>
  <c r="HQ161" i="4"/>
  <c r="HR161" i="4" s="1"/>
  <c r="HQ162" i="4"/>
  <c r="HR162" i="4" s="1"/>
  <c r="HQ163" i="4"/>
  <c r="HR163" i="4" s="1"/>
  <c r="L76" i="7"/>
  <c r="B166" i="9" s="1"/>
  <c r="C80" i="5"/>
  <c r="B80" i="5"/>
  <c r="C396" i="9"/>
  <c r="H79" i="5"/>
  <c r="D396" i="9" s="1"/>
  <c r="B96" i="4"/>
  <c r="J82" i="2"/>
  <c r="K79" i="5"/>
  <c r="G396" i="9" s="1"/>
  <c r="F396" i="9"/>
  <c r="N79" i="5"/>
  <c r="D555" i="9" s="1"/>
  <c r="C555" i="9"/>
  <c r="Q79" i="5"/>
  <c r="G555" i="9" s="1"/>
  <c r="F555" i="9"/>
  <c r="F92" i="4" l="1"/>
  <c r="E77" i="5"/>
  <c r="E163" i="9" s="1"/>
  <c r="D77" i="5"/>
  <c r="D163" i="9" s="1"/>
  <c r="P81" i="5"/>
  <c r="O81" i="5"/>
  <c r="E557" i="9" s="1"/>
  <c r="M81" i="5"/>
  <c r="I81" i="5"/>
  <c r="E398" i="9" s="1"/>
  <c r="F81" i="5"/>
  <c r="B398" i="9" s="1"/>
  <c r="L81" i="5"/>
  <c r="B557" i="9" s="1"/>
  <c r="J81" i="5"/>
  <c r="G81" i="5"/>
  <c r="HT96" i="4"/>
  <c r="HU96" i="4" s="1"/>
  <c r="J96" i="4" s="1"/>
  <c r="HT97" i="4"/>
  <c r="HU97" i="4" s="1"/>
  <c r="HT99" i="4"/>
  <c r="HU99" i="4" s="1"/>
  <c r="HT101" i="4"/>
  <c r="HU101" i="4" s="1"/>
  <c r="HT103" i="4"/>
  <c r="HU103" i="4" s="1"/>
  <c r="HT98" i="4"/>
  <c r="HU98" i="4" s="1"/>
  <c r="HT102" i="4"/>
  <c r="HU102" i="4" s="1"/>
  <c r="HT100" i="4"/>
  <c r="HU100" i="4" s="1"/>
  <c r="HT104" i="4"/>
  <c r="HU104" i="4" s="1"/>
  <c r="HT105" i="4"/>
  <c r="HU105" i="4" s="1"/>
  <c r="HT106" i="4"/>
  <c r="HU106" i="4" s="1"/>
  <c r="HT107" i="4"/>
  <c r="HU107" i="4" s="1"/>
  <c r="HT108" i="4"/>
  <c r="HU108" i="4" s="1"/>
  <c r="HT109" i="4"/>
  <c r="HU109" i="4" s="1"/>
  <c r="HT110" i="4"/>
  <c r="HU110" i="4" s="1"/>
  <c r="HT111" i="4"/>
  <c r="HU111" i="4" s="1"/>
  <c r="HT112" i="4"/>
  <c r="HU112" i="4" s="1"/>
  <c r="HT113" i="4"/>
  <c r="HU113" i="4" s="1"/>
  <c r="HT114" i="4"/>
  <c r="HU114" i="4" s="1"/>
  <c r="HT115" i="4"/>
  <c r="HU115" i="4" s="1"/>
  <c r="HT116" i="4"/>
  <c r="HU116" i="4" s="1"/>
  <c r="HT117" i="4"/>
  <c r="HU117" i="4" s="1"/>
  <c r="HT118" i="4"/>
  <c r="HU118" i="4" s="1"/>
  <c r="HT119" i="4"/>
  <c r="HU119" i="4" s="1"/>
  <c r="HT120" i="4"/>
  <c r="HU120" i="4" s="1"/>
  <c r="HT121" i="4"/>
  <c r="HU121" i="4" s="1"/>
  <c r="HT122" i="4"/>
  <c r="HU122" i="4" s="1"/>
  <c r="HT123" i="4"/>
  <c r="HU123" i="4" s="1"/>
  <c r="HT124" i="4"/>
  <c r="HU124" i="4" s="1"/>
  <c r="HT125" i="4"/>
  <c r="HU125" i="4" s="1"/>
  <c r="HT126" i="4"/>
  <c r="HU126" i="4" s="1"/>
  <c r="HT127" i="4"/>
  <c r="HU127" i="4" s="1"/>
  <c r="HT128" i="4"/>
  <c r="HU128" i="4" s="1"/>
  <c r="HT129" i="4"/>
  <c r="HU129" i="4" s="1"/>
  <c r="HT130" i="4"/>
  <c r="HU130" i="4" s="1"/>
  <c r="HT131" i="4"/>
  <c r="HU131" i="4" s="1"/>
  <c r="HT132" i="4"/>
  <c r="HU132" i="4" s="1"/>
  <c r="HT133" i="4"/>
  <c r="HU133" i="4" s="1"/>
  <c r="HT134" i="4"/>
  <c r="HU134" i="4" s="1"/>
  <c r="HT135" i="4"/>
  <c r="HU135" i="4" s="1"/>
  <c r="HT136" i="4"/>
  <c r="HU136" i="4" s="1"/>
  <c r="HT137" i="4"/>
  <c r="HU137" i="4" s="1"/>
  <c r="HT138" i="4"/>
  <c r="HU138" i="4" s="1"/>
  <c r="HT139" i="4"/>
  <c r="HU139" i="4" s="1"/>
  <c r="HT140" i="4"/>
  <c r="HU140" i="4" s="1"/>
  <c r="HT141" i="4"/>
  <c r="HU141" i="4" s="1"/>
  <c r="HT142" i="4"/>
  <c r="HU142" i="4" s="1"/>
  <c r="HT143" i="4"/>
  <c r="HU143" i="4" s="1"/>
  <c r="HT144" i="4"/>
  <c r="HU144" i="4" s="1"/>
  <c r="HT145" i="4"/>
  <c r="HU145" i="4" s="1"/>
  <c r="HT146" i="4"/>
  <c r="HU146" i="4" s="1"/>
  <c r="HT147" i="4"/>
  <c r="HU147" i="4" s="1"/>
  <c r="HT148" i="4"/>
  <c r="HU148" i="4" s="1"/>
  <c r="HT149" i="4"/>
  <c r="HU149" i="4" s="1"/>
  <c r="HT150" i="4"/>
  <c r="HU150" i="4" s="1"/>
  <c r="HT151" i="4"/>
  <c r="HU151" i="4" s="1"/>
  <c r="HT152" i="4"/>
  <c r="HU152" i="4" s="1"/>
  <c r="M77" i="7"/>
  <c r="C167" i="9" s="1"/>
  <c r="HT153" i="4"/>
  <c r="HU153" i="4" s="1"/>
  <c r="HT154" i="4"/>
  <c r="HU154" i="4" s="1"/>
  <c r="HT155" i="4"/>
  <c r="HU155" i="4" s="1"/>
  <c r="HT156" i="4"/>
  <c r="HU156" i="4" s="1"/>
  <c r="HT157" i="4"/>
  <c r="HU157" i="4" s="1"/>
  <c r="HT158" i="4"/>
  <c r="HU158" i="4" s="1"/>
  <c r="HT159" i="4"/>
  <c r="HU159" i="4" s="1"/>
  <c r="HT160" i="4"/>
  <c r="HU160" i="4" s="1"/>
  <c r="HT161" i="4"/>
  <c r="HU161" i="4" s="1"/>
  <c r="HT162" i="4"/>
  <c r="HU162" i="4" s="1"/>
  <c r="HT163" i="4"/>
  <c r="HU163" i="4" s="1"/>
  <c r="L77" i="7"/>
  <c r="B167" i="9" s="1"/>
  <c r="C81" i="5"/>
  <c r="B81" i="5"/>
  <c r="H80" i="5"/>
  <c r="D397" i="9" s="1"/>
  <c r="C397" i="9"/>
  <c r="E96" i="4"/>
  <c r="K78" i="7"/>
  <c r="B97" i="4"/>
  <c r="J83" i="2"/>
  <c r="C556" i="9"/>
  <c r="N80" i="5"/>
  <c r="D556" i="9" s="1"/>
  <c r="K80" i="5"/>
  <c r="G397" i="9" s="1"/>
  <c r="F397" i="9"/>
  <c r="Q80" i="5"/>
  <c r="G556" i="9" s="1"/>
  <c r="F556" i="9"/>
  <c r="F93" i="4" l="1"/>
  <c r="D78" i="5"/>
  <c r="D164" i="9" s="1"/>
  <c r="E78" i="5"/>
  <c r="E164" i="9" s="1"/>
  <c r="O82" i="5"/>
  <c r="E558" i="9" s="1"/>
  <c r="P82" i="5"/>
  <c r="L82" i="5"/>
  <c r="B558" i="9" s="1"/>
  <c r="J82" i="5"/>
  <c r="G82" i="5"/>
  <c r="M82" i="5"/>
  <c r="I82" i="5"/>
  <c r="E399" i="9" s="1"/>
  <c r="F82" i="5"/>
  <c r="B399" i="9" s="1"/>
  <c r="K81" i="5"/>
  <c r="G398" i="9" s="1"/>
  <c r="F398" i="9"/>
  <c r="N81" i="5"/>
  <c r="D557" i="9" s="1"/>
  <c r="C557" i="9"/>
  <c r="Q81" i="5"/>
  <c r="G557" i="9" s="1"/>
  <c r="F557" i="9"/>
  <c r="B98" i="4"/>
  <c r="J84" i="2"/>
  <c r="E97" i="4"/>
  <c r="K79" i="7"/>
  <c r="HW99" i="4"/>
  <c r="HX99" i="4" s="1"/>
  <c r="HW101" i="4"/>
  <c r="HX101" i="4" s="1"/>
  <c r="HW103" i="4"/>
  <c r="HX103" i="4" s="1"/>
  <c r="HW97" i="4"/>
  <c r="HX97" i="4" s="1"/>
  <c r="J97" i="4" s="1"/>
  <c r="HW98" i="4"/>
  <c r="HX98" i="4" s="1"/>
  <c r="HW100" i="4"/>
  <c r="HX100" i="4" s="1"/>
  <c r="HW104" i="4"/>
  <c r="HX104" i="4" s="1"/>
  <c r="HW102" i="4"/>
  <c r="HX102" i="4" s="1"/>
  <c r="HW105" i="4"/>
  <c r="HX105" i="4" s="1"/>
  <c r="HW106" i="4"/>
  <c r="HX106" i="4" s="1"/>
  <c r="HW107" i="4"/>
  <c r="HX107" i="4" s="1"/>
  <c r="HW108" i="4"/>
  <c r="HX108" i="4" s="1"/>
  <c r="HW109" i="4"/>
  <c r="HX109" i="4" s="1"/>
  <c r="HW110" i="4"/>
  <c r="HX110" i="4" s="1"/>
  <c r="HW111" i="4"/>
  <c r="HX111" i="4" s="1"/>
  <c r="HW112" i="4"/>
  <c r="HX112" i="4" s="1"/>
  <c r="HW113" i="4"/>
  <c r="HX113" i="4" s="1"/>
  <c r="HW114" i="4"/>
  <c r="HX114" i="4" s="1"/>
  <c r="HW115" i="4"/>
  <c r="HX115" i="4" s="1"/>
  <c r="HW116" i="4"/>
  <c r="HX116" i="4" s="1"/>
  <c r="HW117" i="4"/>
  <c r="HX117" i="4" s="1"/>
  <c r="HW118" i="4"/>
  <c r="HX118" i="4" s="1"/>
  <c r="HW119" i="4"/>
  <c r="HX119" i="4" s="1"/>
  <c r="HW120" i="4"/>
  <c r="HX120" i="4" s="1"/>
  <c r="HW121" i="4"/>
  <c r="HX121" i="4" s="1"/>
  <c r="HW122" i="4"/>
  <c r="HX122" i="4" s="1"/>
  <c r="HW123" i="4"/>
  <c r="HX123" i="4" s="1"/>
  <c r="HW124" i="4"/>
  <c r="HX124" i="4" s="1"/>
  <c r="HW125" i="4"/>
  <c r="HX125" i="4" s="1"/>
  <c r="HW126" i="4"/>
  <c r="HX126" i="4" s="1"/>
  <c r="HW127" i="4"/>
  <c r="HX127" i="4" s="1"/>
  <c r="HW128" i="4"/>
  <c r="HX128" i="4" s="1"/>
  <c r="HW129" i="4"/>
  <c r="HX129" i="4" s="1"/>
  <c r="HW130" i="4"/>
  <c r="HX130" i="4" s="1"/>
  <c r="HW131" i="4"/>
  <c r="HX131" i="4" s="1"/>
  <c r="HW132" i="4"/>
  <c r="HX132" i="4" s="1"/>
  <c r="HW133" i="4"/>
  <c r="HX133" i="4" s="1"/>
  <c r="HW134" i="4"/>
  <c r="HX134" i="4" s="1"/>
  <c r="HW135" i="4"/>
  <c r="HX135" i="4" s="1"/>
  <c r="HW136" i="4"/>
  <c r="HX136" i="4" s="1"/>
  <c r="HW137" i="4"/>
  <c r="HX137" i="4" s="1"/>
  <c r="HW138" i="4"/>
  <c r="HX138" i="4" s="1"/>
  <c r="HW139" i="4"/>
  <c r="HX139" i="4" s="1"/>
  <c r="HW140" i="4"/>
  <c r="HX140" i="4" s="1"/>
  <c r="HW141" i="4"/>
  <c r="HX141" i="4" s="1"/>
  <c r="HW142" i="4"/>
  <c r="HX142" i="4" s="1"/>
  <c r="HW143" i="4"/>
  <c r="HX143" i="4" s="1"/>
  <c r="HW144" i="4"/>
  <c r="HX144" i="4" s="1"/>
  <c r="HW145" i="4"/>
  <c r="HX145" i="4" s="1"/>
  <c r="HW146" i="4"/>
  <c r="HX146" i="4" s="1"/>
  <c r="HW147" i="4"/>
  <c r="HX147" i="4" s="1"/>
  <c r="HW148" i="4"/>
  <c r="HX148" i="4" s="1"/>
  <c r="HW149" i="4"/>
  <c r="HX149" i="4" s="1"/>
  <c r="HW150" i="4"/>
  <c r="HX150" i="4" s="1"/>
  <c r="HW151" i="4"/>
  <c r="HX151" i="4" s="1"/>
  <c r="HW152" i="4"/>
  <c r="HX152" i="4" s="1"/>
  <c r="M78" i="7"/>
  <c r="C168" i="9" s="1"/>
  <c r="HW153" i="4"/>
  <c r="HX153" i="4" s="1"/>
  <c r="HW154" i="4"/>
  <c r="HX154" i="4" s="1"/>
  <c r="HW155" i="4"/>
  <c r="HX155" i="4" s="1"/>
  <c r="HW156" i="4"/>
  <c r="HX156" i="4" s="1"/>
  <c r="HW157" i="4"/>
  <c r="HX157" i="4" s="1"/>
  <c r="HW158" i="4"/>
  <c r="HX158" i="4" s="1"/>
  <c r="HW159" i="4"/>
  <c r="HX159" i="4" s="1"/>
  <c r="HW160" i="4"/>
  <c r="HX160" i="4" s="1"/>
  <c r="HW161" i="4"/>
  <c r="HX161" i="4" s="1"/>
  <c r="HW162" i="4"/>
  <c r="HX162" i="4" s="1"/>
  <c r="HW163" i="4"/>
  <c r="HX163" i="4" s="1"/>
  <c r="L78" i="7"/>
  <c r="B168" i="9" s="1"/>
  <c r="C82" i="5"/>
  <c r="B82" i="5"/>
  <c r="C398" i="9"/>
  <c r="H81" i="5"/>
  <c r="D398" i="9" s="1"/>
  <c r="E79" i="5" l="1"/>
  <c r="E165" i="9" s="1"/>
  <c r="F94" i="4"/>
  <c r="D79" i="5"/>
  <c r="D165" i="9" s="1"/>
  <c r="P83" i="5"/>
  <c r="O83" i="5"/>
  <c r="E559" i="9" s="1"/>
  <c r="M83" i="5"/>
  <c r="I83" i="5"/>
  <c r="E400" i="9" s="1"/>
  <c r="F83" i="5"/>
  <c r="B400" i="9" s="1"/>
  <c r="L83" i="5"/>
  <c r="B559" i="9" s="1"/>
  <c r="J83" i="5"/>
  <c r="G83" i="5"/>
  <c r="B99" i="4"/>
  <c r="J85" i="2"/>
  <c r="C558" i="9"/>
  <c r="N82" i="5"/>
  <c r="D558" i="9" s="1"/>
  <c r="K82" i="5"/>
  <c r="G399" i="9" s="1"/>
  <c r="F399" i="9"/>
  <c r="Q82" i="5"/>
  <c r="G558" i="9" s="1"/>
  <c r="F558" i="9"/>
  <c r="HZ98" i="4"/>
  <c r="IA98" i="4" s="1"/>
  <c r="J98" i="4" s="1"/>
  <c r="HZ99" i="4"/>
  <c r="IA99" i="4" s="1"/>
  <c r="HZ101" i="4"/>
  <c r="IA101" i="4" s="1"/>
  <c r="HZ103" i="4"/>
  <c r="IA103" i="4" s="1"/>
  <c r="HZ102" i="4"/>
  <c r="IA102" i="4" s="1"/>
  <c r="HZ100" i="4"/>
  <c r="IA100" i="4" s="1"/>
  <c r="HZ104" i="4"/>
  <c r="IA104" i="4" s="1"/>
  <c r="HZ105" i="4"/>
  <c r="IA105" i="4" s="1"/>
  <c r="HZ106" i="4"/>
  <c r="IA106" i="4" s="1"/>
  <c r="HZ107" i="4"/>
  <c r="IA107" i="4" s="1"/>
  <c r="HZ108" i="4"/>
  <c r="IA108" i="4" s="1"/>
  <c r="HZ109" i="4"/>
  <c r="IA109" i="4" s="1"/>
  <c r="HZ110" i="4"/>
  <c r="IA110" i="4" s="1"/>
  <c r="HZ111" i="4"/>
  <c r="IA111" i="4" s="1"/>
  <c r="HZ112" i="4"/>
  <c r="IA112" i="4" s="1"/>
  <c r="HZ113" i="4"/>
  <c r="IA113" i="4" s="1"/>
  <c r="HZ114" i="4"/>
  <c r="IA114" i="4" s="1"/>
  <c r="HZ115" i="4"/>
  <c r="IA115" i="4" s="1"/>
  <c r="HZ116" i="4"/>
  <c r="IA116" i="4" s="1"/>
  <c r="HZ117" i="4"/>
  <c r="IA117" i="4" s="1"/>
  <c r="HZ118" i="4"/>
  <c r="IA118" i="4" s="1"/>
  <c r="HZ119" i="4"/>
  <c r="IA119" i="4" s="1"/>
  <c r="HZ120" i="4"/>
  <c r="IA120" i="4" s="1"/>
  <c r="HZ121" i="4"/>
  <c r="IA121" i="4" s="1"/>
  <c r="HZ122" i="4"/>
  <c r="IA122" i="4" s="1"/>
  <c r="HZ123" i="4"/>
  <c r="IA123" i="4" s="1"/>
  <c r="HZ124" i="4"/>
  <c r="IA124" i="4" s="1"/>
  <c r="HZ125" i="4"/>
  <c r="IA125" i="4" s="1"/>
  <c r="HZ126" i="4"/>
  <c r="IA126" i="4" s="1"/>
  <c r="HZ127" i="4"/>
  <c r="IA127" i="4" s="1"/>
  <c r="HZ128" i="4"/>
  <c r="IA128" i="4" s="1"/>
  <c r="HZ129" i="4"/>
  <c r="IA129" i="4" s="1"/>
  <c r="HZ130" i="4"/>
  <c r="IA130" i="4" s="1"/>
  <c r="HZ131" i="4"/>
  <c r="IA131" i="4" s="1"/>
  <c r="HZ132" i="4"/>
  <c r="IA132" i="4" s="1"/>
  <c r="HZ133" i="4"/>
  <c r="IA133" i="4" s="1"/>
  <c r="HZ134" i="4"/>
  <c r="IA134" i="4" s="1"/>
  <c r="HZ135" i="4"/>
  <c r="IA135" i="4" s="1"/>
  <c r="HZ136" i="4"/>
  <c r="IA136" i="4" s="1"/>
  <c r="HZ137" i="4"/>
  <c r="IA137" i="4" s="1"/>
  <c r="HZ138" i="4"/>
  <c r="IA138" i="4" s="1"/>
  <c r="HZ139" i="4"/>
  <c r="IA139" i="4" s="1"/>
  <c r="HZ140" i="4"/>
  <c r="IA140" i="4" s="1"/>
  <c r="HZ141" i="4"/>
  <c r="IA141" i="4" s="1"/>
  <c r="HZ142" i="4"/>
  <c r="IA142" i="4" s="1"/>
  <c r="HZ143" i="4"/>
  <c r="IA143" i="4" s="1"/>
  <c r="HZ144" i="4"/>
  <c r="IA144" i="4" s="1"/>
  <c r="HZ145" i="4"/>
  <c r="IA145" i="4" s="1"/>
  <c r="HZ146" i="4"/>
  <c r="IA146" i="4" s="1"/>
  <c r="HZ147" i="4"/>
  <c r="IA147" i="4" s="1"/>
  <c r="HZ148" i="4"/>
  <c r="IA148" i="4" s="1"/>
  <c r="HZ149" i="4"/>
  <c r="IA149" i="4" s="1"/>
  <c r="HZ150" i="4"/>
  <c r="IA150" i="4" s="1"/>
  <c r="HZ151" i="4"/>
  <c r="IA151" i="4" s="1"/>
  <c r="HZ152" i="4"/>
  <c r="IA152" i="4" s="1"/>
  <c r="M79" i="7"/>
  <c r="C169" i="9" s="1"/>
  <c r="HZ153" i="4"/>
  <c r="IA153" i="4" s="1"/>
  <c r="HZ154" i="4"/>
  <c r="IA154" i="4" s="1"/>
  <c r="HZ155" i="4"/>
  <c r="IA155" i="4" s="1"/>
  <c r="HZ156" i="4"/>
  <c r="IA156" i="4" s="1"/>
  <c r="HZ157" i="4"/>
  <c r="IA157" i="4" s="1"/>
  <c r="HZ158" i="4"/>
  <c r="IA158" i="4" s="1"/>
  <c r="HZ159" i="4"/>
  <c r="IA159" i="4" s="1"/>
  <c r="HZ160" i="4"/>
  <c r="IA160" i="4" s="1"/>
  <c r="HZ161" i="4"/>
  <c r="IA161" i="4" s="1"/>
  <c r="HZ162" i="4"/>
  <c r="IA162" i="4" s="1"/>
  <c r="HZ163" i="4"/>
  <c r="IA163" i="4" s="1"/>
  <c r="L79" i="7"/>
  <c r="B169" i="9" s="1"/>
  <c r="C83" i="5"/>
  <c r="B83" i="5"/>
  <c r="E98" i="4"/>
  <c r="K80" i="7"/>
  <c r="H82" i="5"/>
  <c r="D399" i="9" s="1"/>
  <c r="C399" i="9"/>
  <c r="F95" i="4" l="1"/>
  <c r="E80" i="5"/>
  <c r="E166" i="9" s="1"/>
  <c r="D80" i="5"/>
  <c r="D166" i="9" s="1"/>
  <c r="O84" i="5"/>
  <c r="E560" i="9" s="1"/>
  <c r="P84" i="5"/>
  <c r="L84" i="5"/>
  <c r="B560" i="9" s="1"/>
  <c r="J84" i="5"/>
  <c r="G84" i="5"/>
  <c r="M84" i="5"/>
  <c r="I84" i="5"/>
  <c r="E401" i="9" s="1"/>
  <c r="F84" i="5"/>
  <c r="B401" i="9" s="1"/>
  <c r="IC101" i="4"/>
  <c r="ID101" i="4" s="1"/>
  <c r="IC103" i="4"/>
  <c r="ID103" i="4" s="1"/>
  <c r="IC99" i="4"/>
  <c r="ID99" i="4" s="1"/>
  <c r="J99" i="4" s="1"/>
  <c r="IC100" i="4"/>
  <c r="ID100" i="4" s="1"/>
  <c r="IC104" i="4"/>
  <c r="ID104" i="4" s="1"/>
  <c r="IC102" i="4"/>
  <c r="ID102" i="4" s="1"/>
  <c r="IC105" i="4"/>
  <c r="ID105" i="4" s="1"/>
  <c r="IC106" i="4"/>
  <c r="ID106" i="4" s="1"/>
  <c r="IC107" i="4"/>
  <c r="ID107" i="4" s="1"/>
  <c r="IC108" i="4"/>
  <c r="ID108" i="4" s="1"/>
  <c r="IC109" i="4"/>
  <c r="ID109" i="4" s="1"/>
  <c r="IC110" i="4"/>
  <c r="ID110" i="4" s="1"/>
  <c r="IC111" i="4"/>
  <c r="ID111" i="4" s="1"/>
  <c r="IC112" i="4"/>
  <c r="ID112" i="4" s="1"/>
  <c r="IC113" i="4"/>
  <c r="ID113" i="4" s="1"/>
  <c r="IC114" i="4"/>
  <c r="ID114" i="4" s="1"/>
  <c r="IC115" i="4"/>
  <c r="ID115" i="4" s="1"/>
  <c r="IC116" i="4"/>
  <c r="ID116" i="4" s="1"/>
  <c r="IC117" i="4"/>
  <c r="ID117" i="4" s="1"/>
  <c r="IC118" i="4"/>
  <c r="ID118" i="4" s="1"/>
  <c r="IC119" i="4"/>
  <c r="ID119" i="4" s="1"/>
  <c r="IC120" i="4"/>
  <c r="ID120" i="4" s="1"/>
  <c r="IC121" i="4"/>
  <c r="ID121" i="4" s="1"/>
  <c r="IC122" i="4"/>
  <c r="ID122" i="4" s="1"/>
  <c r="IC123" i="4"/>
  <c r="ID123" i="4" s="1"/>
  <c r="IC124" i="4"/>
  <c r="ID124" i="4" s="1"/>
  <c r="IC125" i="4"/>
  <c r="ID125" i="4" s="1"/>
  <c r="IC126" i="4"/>
  <c r="ID126" i="4" s="1"/>
  <c r="IC127" i="4"/>
  <c r="ID127" i="4" s="1"/>
  <c r="IC128" i="4"/>
  <c r="ID128" i="4" s="1"/>
  <c r="IC129" i="4"/>
  <c r="ID129" i="4" s="1"/>
  <c r="IC130" i="4"/>
  <c r="ID130" i="4" s="1"/>
  <c r="IC131" i="4"/>
  <c r="ID131" i="4" s="1"/>
  <c r="IC132" i="4"/>
  <c r="ID132" i="4" s="1"/>
  <c r="IC133" i="4"/>
  <c r="ID133" i="4" s="1"/>
  <c r="IC134" i="4"/>
  <c r="ID134" i="4" s="1"/>
  <c r="IC135" i="4"/>
  <c r="ID135" i="4" s="1"/>
  <c r="IC136" i="4"/>
  <c r="ID136" i="4" s="1"/>
  <c r="IC137" i="4"/>
  <c r="ID137" i="4" s="1"/>
  <c r="IC138" i="4"/>
  <c r="ID138" i="4" s="1"/>
  <c r="IC139" i="4"/>
  <c r="ID139" i="4" s="1"/>
  <c r="IC140" i="4"/>
  <c r="ID140" i="4" s="1"/>
  <c r="IC141" i="4"/>
  <c r="ID141" i="4" s="1"/>
  <c r="IC142" i="4"/>
  <c r="ID142" i="4" s="1"/>
  <c r="IC143" i="4"/>
  <c r="ID143" i="4" s="1"/>
  <c r="IC144" i="4"/>
  <c r="ID144" i="4" s="1"/>
  <c r="IC145" i="4"/>
  <c r="ID145" i="4" s="1"/>
  <c r="IC146" i="4"/>
  <c r="ID146" i="4" s="1"/>
  <c r="IC147" i="4"/>
  <c r="ID147" i="4" s="1"/>
  <c r="IC148" i="4"/>
  <c r="ID148" i="4" s="1"/>
  <c r="IC149" i="4"/>
  <c r="ID149" i="4" s="1"/>
  <c r="IC150" i="4"/>
  <c r="ID150" i="4" s="1"/>
  <c r="IC151" i="4"/>
  <c r="ID151" i="4" s="1"/>
  <c r="IC152" i="4"/>
  <c r="ID152" i="4" s="1"/>
  <c r="M80" i="7"/>
  <c r="C170" i="9" s="1"/>
  <c r="IC153" i="4"/>
  <c r="ID153" i="4" s="1"/>
  <c r="IC154" i="4"/>
  <c r="ID154" i="4" s="1"/>
  <c r="IC155" i="4"/>
  <c r="ID155" i="4" s="1"/>
  <c r="IC156" i="4"/>
  <c r="ID156" i="4" s="1"/>
  <c r="IC157" i="4"/>
  <c r="ID157" i="4" s="1"/>
  <c r="IC158" i="4"/>
  <c r="ID158" i="4" s="1"/>
  <c r="IC159" i="4"/>
  <c r="ID159" i="4" s="1"/>
  <c r="IC160" i="4"/>
  <c r="ID160" i="4" s="1"/>
  <c r="IC161" i="4"/>
  <c r="ID161" i="4" s="1"/>
  <c r="IC162" i="4"/>
  <c r="ID162" i="4" s="1"/>
  <c r="IC163" i="4"/>
  <c r="ID163" i="4" s="1"/>
  <c r="L80" i="7"/>
  <c r="B170" i="9" s="1"/>
  <c r="C84" i="5"/>
  <c r="B84" i="5"/>
  <c r="E99" i="4"/>
  <c r="K81" i="7"/>
  <c r="K83" i="5"/>
  <c r="G400" i="9" s="1"/>
  <c r="F400" i="9"/>
  <c r="N83" i="5"/>
  <c r="D559" i="9" s="1"/>
  <c r="C559" i="9"/>
  <c r="Q83" i="5"/>
  <c r="G559" i="9" s="1"/>
  <c r="F559" i="9"/>
  <c r="B100" i="4"/>
  <c r="J86" i="2"/>
  <c r="C400" i="9"/>
  <c r="H83" i="5"/>
  <c r="D400" i="9" s="1"/>
  <c r="F96" i="4" l="1"/>
  <c r="E81" i="5"/>
  <c r="E167" i="9" s="1"/>
  <c r="D81" i="5"/>
  <c r="D167" i="9" s="1"/>
  <c r="P85" i="5"/>
  <c r="O85" i="5"/>
  <c r="E561" i="9" s="1"/>
  <c r="M85" i="5"/>
  <c r="I85" i="5"/>
  <c r="E402" i="9" s="1"/>
  <c r="F85" i="5"/>
  <c r="B402" i="9" s="1"/>
  <c r="L85" i="5"/>
  <c r="B561" i="9" s="1"/>
  <c r="J85" i="5"/>
  <c r="G85" i="5"/>
  <c r="E100" i="4"/>
  <c r="K82" i="7"/>
  <c r="IF100" i="4"/>
  <c r="IG100" i="4" s="1"/>
  <c r="J100" i="4" s="1"/>
  <c r="IF101" i="4"/>
  <c r="IG101" i="4" s="1"/>
  <c r="IF103" i="4"/>
  <c r="IG103" i="4" s="1"/>
  <c r="IF102" i="4"/>
  <c r="IG102" i="4" s="1"/>
  <c r="IF104" i="4"/>
  <c r="IG104" i="4" s="1"/>
  <c r="IF105" i="4"/>
  <c r="IG105" i="4" s="1"/>
  <c r="IF106" i="4"/>
  <c r="IG106" i="4" s="1"/>
  <c r="IF107" i="4"/>
  <c r="IG107" i="4" s="1"/>
  <c r="IF108" i="4"/>
  <c r="IG108" i="4" s="1"/>
  <c r="IF109" i="4"/>
  <c r="IG109" i="4" s="1"/>
  <c r="IF110" i="4"/>
  <c r="IG110" i="4" s="1"/>
  <c r="IF111" i="4"/>
  <c r="IG111" i="4" s="1"/>
  <c r="IF112" i="4"/>
  <c r="IG112" i="4" s="1"/>
  <c r="IF113" i="4"/>
  <c r="IG113" i="4" s="1"/>
  <c r="IF114" i="4"/>
  <c r="IG114" i="4" s="1"/>
  <c r="IF115" i="4"/>
  <c r="IG115" i="4" s="1"/>
  <c r="IF116" i="4"/>
  <c r="IG116" i="4" s="1"/>
  <c r="IF117" i="4"/>
  <c r="IG117" i="4" s="1"/>
  <c r="IF118" i="4"/>
  <c r="IG118" i="4" s="1"/>
  <c r="IF119" i="4"/>
  <c r="IG119" i="4" s="1"/>
  <c r="IF120" i="4"/>
  <c r="IG120" i="4" s="1"/>
  <c r="IF121" i="4"/>
  <c r="IG121" i="4" s="1"/>
  <c r="IF122" i="4"/>
  <c r="IG122" i="4" s="1"/>
  <c r="IF123" i="4"/>
  <c r="IG123" i="4" s="1"/>
  <c r="IF124" i="4"/>
  <c r="IG124" i="4" s="1"/>
  <c r="IF125" i="4"/>
  <c r="IG125" i="4" s="1"/>
  <c r="IF126" i="4"/>
  <c r="IG126" i="4" s="1"/>
  <c r="IF127" i="4"/>
  <c r="IG127" i="4" s="1"/>
  <c r="IF128" i="4"/>
  <c r="IG128" i="4" s="1"/>
  <c r="IF129" i="4"/>
  <c r="IG129" i="4" s="1"/>
  <c r="IF130" i="4"/>
  <c r="IG130" i="4" s="1"/>
  <c r="IF131" i="4"/>
  <c r="IG131" i="4" s="1"/>
  <c r="IF132" i="4"/>
  <c r="IG132" i="4" s="1"/>
  <c r="IF133" i="4"/>
  <c r="IG133" i="4" s="1"/>
  <c r="IF134" i="4"/>
  <c r="IG134" i="4" s="1"/>
  <c r="IF135" i="4"/>
  <c r="IG135" i="4" s="1"/>
  <c r="IF136" i="4"/>
  <c r="IG136" i="4" s="1"/>
  <c r="IF137" i="4"/>
  <c r="IG137" i="4" s="1"/>
  <c r="IF138" i="4"/>
  <c r="IG138" i="4" s="1"/>
  <c r="IF139" i="4"/>
  <c r="IG139" i="4" s="1"/>
  <c r="IF140" i="4"/>
  <c r="IG140" i="4" s="1"/>
  <c r="IF141" i="4"/>
  <c r="IG141" i="4" s="1"/>
  <c r="IF142" i="4"/>
  <c r="IG142" i="4" s="1"/>
  <c r="IF143" i="4"/>
  <c r="IG143" i="4" s="1"/>
  <c r="IF144" i="4"/>
  <c r="IG144" i="4" s="1"/>
  <c r="IF145" i="4"/>
  <c r="IG145" i="4" s="1"/>
  <c r="IF146" i="4"/>
  <c r="IG146" i="4" s="1"/>
  <c r="IF147" i="4"/>
  <c r="IG147" i="4" s="1"/>
  <c r="IF148" i="4"/>
  <c r="IG148" i="4" s="1"/>
  <c r="IF149" i="4"/>
  <c r="IG149" i="4" s="1"/>
  <c r="IF150" i="4"/>
  <c r="IG150" i="4" s="1"/>
  <c r="IF151" i="4"/>
  <c r="IG151" i="4" s="1"/>
  <c r="IF152" i="4"/>
  <c r="IG152" i="4" s="1"/>
  <c r="M81" i="7"/>
  <c r="C171" i="9" s="1"/>
  <c r="IF153" i="4"/>
  <c r="IG153" i="4" s="1"/>
  <c r="IF154" i="4"/>
  <c r="IG154" i="4" s="1"/>
  <c r="IF155" i="4"/>
  <c r="IG155" i="4" s="1"/>
  <c r="IF156" i="4"/>
  <c r="IG156" i="4" s="1"/>
  <c r="IF157" i="4"/>
  <c r="IG157" i="4" s="1"/>
  <c r="IF158" i="4"/>
  <c r="IG158" i="4" s="1"/>
  <c r="IF159" i="4"/>
  <c r="IG159" i="4" s="1"/>
  <c r="IF160" i="4"/>
  <c r="IG160" i="4" s="1"/>
  <c r="IF161" i="4"/>
  <c r="IG161" i="4" s="1"/>
  <c r="IF162" i="4"/>
  <c r="IG162" i="4" s="1"/>
  <c r="IF163" i="4"/>
  <c r="IG163" i="4" s="1"/>
  <c r="L81" i="7"/>
  <c r="B171" i="9" s="1"/>
  <c r="C85" i="5"/>
  <c r="B85" i="5"/>
  <c r="H84" i="5"/>
  <c r="D401" i="9" s="1"/>
  <c r="C401" i="9"/>
  <c r="B101" i="4"/>
  <c r="J87" i="2"/>
  <c r="B102" i="4" s="1"/>
  <c r="C560" i="9"/>
  <c r="N84" i="5"/>
  <c r="D560" i="9" s="1"/>
  <c r="K84" i="5"/>
  <c r="G401" i="9" s="1"/>
  <c r="F401" i="9"/>
  <c r="Q84" i="5"/>
  <c r="G560" i="9" s="1"/>
  <c r="F560" i="9"/>
  <c r="F97" i="4" l="1"/>
  <c r="D82" i="5"/>
  <c r="D168" i="9" s="1"/>
  <c r="E82" i="5"/>
  <c r="E168" i="9" s="1"/>
  <c r="O86" i="5"/>
  <c r="E562" i="9" s="1"/>
  <c r="P86" i="5"/>
  <c r="L86" i="5"/>
  <c r="B562" i="9" s="1"/>
  <c r="J86" i="5"/>
  <c r="G86" i="5"/>
  <c r="M86" i="5"/>
  <c r="I86" i="5"/>
  <c r="E403" i="9" s="1"/>
  <c r="F86" i="5"/>
  <c r="B403" i="9" s="1"/>
  <c r="E101" i="4"/>
  <c r="K83" i="7"/>
  <c r="K85" i="5"/>
  <c r="G402" i="9" s="1"/>
  <c r="F402" i="9"/>
  <c r="N85" i="5"/>
  <c r="D561" i="9" s="1"/>
  <c r="C561" i="9"/>
  <c r="Q85" i="5"/>
  <c r="G561" i="9" s="1"/>
  <c r="F561" i="9"/>
  <c r="E102" i="4"/>
  <c r="K84" i="7"/>
  <c r="II103" i="4"/>
  <c r="IJ103" i="4" s="1"/>
  <c r="II104" i="4"/>
  <c r="IJ104" i="4" s="1"/>
  <c r="II101" i="4"/>
  <c r="IJ101" i="4" s="1"/>
  <c r="J101" i="4" s="1"/>
  <c r="II102" i="4"/>
  <c r="IJ102" i="4" s="1"/>
  <c r="II105" i="4"/>
  <c r="IJ105" i="4" s="1"/>
  <c r="II106" i="4"/>
  <c r="IJ106" i="4" s="1"/>
  <c r="II107" i="4"/>
  <c r="IJ107" i="4" s="1"/>
  <c r="II108" i="4"/>
  <c r="IJ108" i="4" s="1"/>
  <c r="II109" i="4"/>
  <c r="IJ109" i="4" s="1"/>
  <c r="II110" i="4"/>
  <c r="IJ110" i="4" s="1"/>
  <c r="II111" i="4"/>
  <c r="IJ111" i="4" s="1"/>
  <c r="II112" i="4"/>
  <c r="IJ112" i="4" s="1"/>
  <c r="II113" i="4"/>
  <c r="IJ113" i="4" s="1"/>
  <c r="II114" i="4"/>
  <c r="IJ114" i="4" s="1"/>
  <c r="II115" i="4"/>
  <c r="IJ115" i="4" s="1"/>
  <c r="II116" i="4"/>
  <c r="IJ116" i="4" s="1"/>
  <c r="II117" i="4"/>
  <c r="IJ117" i="4" s="1"/>
  <c r="II118" i="4"/>
  <c r="IJ118" i="4" s="1"/>
  <c r="II119" i="4"/>
  <c r="IJ119" i="4" s="1"/>
  <c r="II120" i="4"/>
  <c r="IJ120" i="4" s="1"/>
  <c r="II121" i="4"/>
  <c r="IJ121" i="4" s="1"/>
  <c r="II122" i="4"/>
  <c r="IJ122" i="4" s="1"/>
  <c r="II123" i="4"/>
  <c r="IJ123" i="4" s="1"/>
  <c r="II124" i="4"/>
  <c r="IJ124" i="4" s="1"/>
  <c r="II125" i="4"/>
  <c r="IJ125" i="4" s="1"/>
  <c r="II126" i="4"/>
  <c r="IJ126" i="4" s="1"/>
  <c r="II127" i="4"/>
  <c r="IJ127" i="4" s="1"/>
  <c r="II128" i="4"/>
  <c r="IJ128" i="4" s="1"/>
  <c r="II129" i="4"/>
  <c r="IJ129" i="4" s="1"/>
  <c r="II130" i="4"/>
  <c r="IJ130" i="4" s="1"/>
  <c r="II131" i="4"/>
  <c r="IJ131" i="4" s="1"/>
  <c r="II132" i="4"/>
  <c r="IJ132" i="4" s="1"/>
  <c r="II133" i="4"/>
  <c r="IJ133" i="4" s="1"/>
  <c r="II134" i="4"/>
  <c r="IJ134" i="4" s="1"/>
  <c r="II135" i="4"/>
  <c r="IJ135" i="4" s="1"/>
  <c r="II136" i="4"/>
  <c r="IJ136" i="4" s="1"/>
  <c r="II137" i="4"/>
  <c r="IJ137" i="4" s="1"/>
  <c r="II138" i="4"/>
  <c r="IJ138" i="4" s="1"/>
  <c r="II139" i="4"/>
  <c r="IJ139" i="4" s="1"/>
  <c r="II140" i="4"/>
  <c r="IJ140" i="4" s="1"/>
  <c r="II141" i="4"/>
  <c r="IJ141" i="4" s="1"/>
  <c r="II142" i="4"/>
  <c r="IJ142" i="4" s="1"/>
  <c r="II143" i="4"/>
  <c r="IJ143" i="4" s="1"/>
  <c r="II144" i="4"/>
  <c r="IJ144" i="4" s="1"/>
  <c r="II145" i="4"/>
  <c r="IJ145" i="4" s="1"/>
  <c r="II146" i="4"/>
  <c r="IJ146" i="4" s="1"/>
  <c r="II147" i="4"/>
  <c r="IJ147" i="4" s="1"/>
  <c r="II148" i="4"/>
  <c r="IJ148" i="4" s="1"/>
  <c r="II149" i="4"/>
  <c r="IJ149" i="4" s="1"/>
  <c r="II150" i="4"/>
  <c r="IJ150" i="4" s="1"/>
  <c r="II151" i="4"/>
  <c r="IJ151" i="4" s="1"/>
  <c r="II152" i="4"/>
  <c r="IJ152" i="4" s="1"/>
  <c r="M82" i="7"/>
  <c r="C172" i="9" s="1"/>
  <c r="II153" i="4"/>
  <c r="IJ153" i="4" s="1"/>
  <c r="II154" i="4"/>
  <c r="IJ154" i="4" s="1"/>
  <c r="II155" i="4"/>
  <c r="IJ155" i="4" s="1"/>
  <c r="II156" i="4"/>
  <c r="IJ156" i="4" s="1"/>
  <c r="II157" i="4"/>
  <c r="IJ157" i="4" s="1"/>
  <c r="II158" i="4"/>
  <c r="IJ158" i="4" s="1"/>
  <c r="II159" i="4"/>
  <c r="IJ159" i="4" s="1"/>
  <c r="II160" i="4"/>
  <c r="IJ160" i="4" s="1"/>
  <c r="II161" i="4"/>
  <c r="IJ161" i="4" s="1"/>
  <c r="II162" i="4"/>
  <c r="IJ162" i="4" s="1"/>
  <c r="II163" i="4"/>
  <c r="IJ163" i="4" s="1"/>
  <c r="L82" i="7"/>
  <c r="B172" i="9" s="1"/>
  <c r="C86" i="5"/>
  <c r="B86" i="5"/>
  <c r="C402" i="9"/>
  <c r="H85" i="5"/>
  <c r="D402" i="9" s="1"/>
  <c r="D83" i="5" l="1"/>
  <c r="D169" i="9" s="1"/>
  <c r="F98" i="4"/>
  <c r="E83" i="5"/>
  <c r="E169" i="9" s="1"/>
  <c r="P87" i="5"/>
  <c r="O87" i="5"/>
  <c r="E563" i="9" s="1"/>
  <c r="M87" i="5"/>
  <c r="I87" i="5"/>
  <c r="E404" i="9" s="1"/>
  <c r="F87" i="5"/>
  <c r="B404" i="9" s="1"/>
  <c r="L87" i="5"/>
  <c r="B563" i="9" s="1"/>
  <c r="J87" i="5"/>
  <c r="G87" i="5"/>
  <c r="IO103" i="4"/>
  <c r="IP103" i="4" s="1"/>
  <c r="IO104" i="4"/>
  <c r="IP104" i="4" s="1"/>
  <c r="IO105" i="4"/>
  <c r="IP105" i="4" s="1"/>
  <c r="IO106" i="4"/>
  <c r="IP106" i="4" s="1"/>
  <c r="IO107" i="4"/>
  <c r="IP107" i="4" s="1"/>
  <c r="IO108" i="4"/>
  <c r="IP108" i="4" s="1"/>
  <c r="IO109" i="4"/>
  <c r="IP109" i="4" s="1"/>
  <c r="IO110" i="4"/>
  <c r="IP110" i="4" s="1"/>
  <c r="IO111" i="4"/>
  <c r="IP111" i="4" s="1"/>
  <c r="IO112" i="4"/>
  <c r="IP112" i="4" s="1"/>
  <c r="IO113" i="4"/>
  <c r="IP113" i="4" s="1"/>
  <c r="IO114" i="4"/>
  <c r="IP114" i="4" s="1"/>
  <c r="IO115" i="4"/>
  <c r="IP115" i="4" s="1"/>
  <c r="IO116" i="4"/>
  <c r="IP116" i="4" s="1"/>
  <c r="IO117" i="4"/>
  <c r="IP117" i="4" s="1"/>
  <c r="IO118" i="4"/>
  <c r="IP118" i="4" s="1"/>
  <c r="IO119" i="4"/>
  <c r="IP119" i="4" s="1"/>
  <c r="IO120" i="4"/>
  <c r="IP120" i="4" s="1"/>
  <c r="IO121" i="4"/>
  <c r="IP121" i="4" s="1"/>
  <c r="IO122" i="4"/>
  <c r="IP122" i="4" s="1"/>
  <c r="IO123" i="4"/>
  <c r="IP123" i="4" s="1"/>
  <c r="IO124" i="4"/>
  <c r="IP124" i="4" s="1"/>
  <c r="IO125" i="4"/>
  <c r="IP125" i="4" s="1"/>
  <c r="IO126" i="4"/>
  <c r="IP126" i="4" s="1"/>
  <c r="IO127" i="4"/>
  <c r="IP127" i="4" s="1"/>
  <c r="IO128" i="4"/>
  <c r="IP128" i="4" s="1"/>
  <c r="IO129" i="4"/>
  <c r="IP129" i="4" s="1"/>
  <c r="IO130" i="4"/>
  <c r="IP130" i="4" s="1"/>
  <c r="IO131" i="4"/>
  <c r="IP131" i="4" s="1"/>
  <c r="IO132" i="4"/>
  <c r="IP132" i="4" s="1"/>
  <c r="IO133" i="4"/>
  <c r="IP133" i="4" s="1"/>
  <c r="IO134" i="4"/>
  <c r="IP134" i="4" s="1"/>
  <c r="IO135" i="4"/>
  <c r="IP135" i="4" s="1"/>
  <c r="IO136" i="4"/>
  <c r="IP136" i="4" s="1"/>
  <c r="IO137" i="4"/>
  <c r="IP137" i="4" s="1"/>
  <c r="IO138" i="4"/>
  <c r="IP138" i="4" s="1"/>
  <c r="IO139" i="4"/>
  <c r="IP139" i="4" s="1"/>
  <c r="IO140" i="4"/>
  <c r="IP140" i="4" s="1"/>
  <c r="IO141" i="4"/>
  <c r="IP141" i="4" s="1"/>
  <c r="IO142" i="4"/>
  <c r="IP142" i="4" s="1"/>
  <c r="IO143" i="4"/>
  <c r="IP143" i="4" s="1"/>
  <c r="IO144" i="4"/>
  <c r="IP144" i="4" s="1"/>
  <c r="IO145" i="4"/>
  <c r="IP145" i="4" s="1"/>
  <c r="IO146" i="4"/>
  <c r="IP146" i="4" s="1"/>
  <c r="IO147" i="4"/>
  <c r="IP147" i="4" s="1"/>
  <c r="IO148" i="4"/>
  <c r="IP148" i="4" s="1"/>
  <c r="IO149" i="4"/>
  <c r="IP149" i="4" s="1"/>
  <c r="IO150" i="4"/>
  <c r="IP150" i="4" s="1"/>
  <c r="IO151" i="4"/>
  <c r="IP151" i="4" s="1"/>
  <c r="IO152" i="4"/>
  <c r="IP152" i="4" s="1"/>
  <c r="M84" i="7"/>
  <c r="C174" i="9" s="1"/>
  <c r="IO153" i="4"/>
  <c r="IP153" i="4" s="1"/>
  <c r="IO154" i="4"/>
  <c r="IP154" i="4" s="1"/>
  <c r="IO155" i="4"/>
  <c r="IP155" i="4" s="1"/>
  <c r="IO156" i="4"/>
  <c r="IP156" i="4" s="1"/>
  <c r="IO157" i="4"/>
  <c r="IP157" i="4" s="1"/>
  <c r="IO158" i="4"/>
  <c r="IP158" i="4" s="1"/>
  <c r="IO159" i="4"/>
  <c r="IP159" i="4" s="1"/>
  <c r="IO160" i="4"/>
  <c r="IP160" i="4" s="1"/>
  <c r="IO161" i="4"/>
  <c r="IP161" i="4" s="1"/>
  <c r="IO162" i="4"/>
  <c r="IP162" i="4" s="1"/>
  <c r="IO163" i="4"/>
  <c r="IP163" i="4" s="1"/>
  <c r="L84" i="7"/>
  <c r="B174" i="9" s="1"/>
  <c r="C88" i="5"/>
  <c r="B88" i="5"/>
  <c r="IL102" i="4"/>
  <c r="IM102" i="4" s="1"/>
  <c r="J102" i="4" s="1"/>
  <c r="IL103" i="4"/>
  <c r="IM103" i="4" s="1"/>
  <c r="J103" i="4" s="1"/>
  <c r="IL104" i="4"/>
  <c r="IM104" i="4" s="1"/>
  <c r="J104" i="4" s="1"/>
  <c r="IL105" i="4"/>
  <c r="IM105" i="4" s="1"/>
  <c r="J105" i="4" s="1"/>
  <c r="IL106" i="4"/>
  <c r="IM106" i="4" s="1"/>
  <c r="J106" i="4" s="1"/>
  <c r="IL107" i="4"/>
  <c r="IM107" i="4" s="1"/>
  <c r="J107" i="4" s="1"/>
  <c r="IL108" i="4"/>
  <c r="IM108" i="4" s="1"/>
  <c r="J108" i="4" s="1"/>
  <c r="IL109" i="4"/>
  <c r="IM109" i="4" s="1"/>
  <c r="J109" i="4" s="1"/>
  <c r="IL110" i="4"/>
  <c r="IM110" i="4" s="1"/>
  <c r="J110" i="4" s="1"/>
  <c r="IL111" i="4"/>
  <c r="IM111" i="4" s="1"/>
  <c r="J111" i="4" s="1"/>
  <c r="IL112" i="4"/>
  <c r="IM112" i="4" s="1"/>
  <c r="J112" i="4" s="1"/>
  <c r="IL113" i="4"/>
  <c r="IM113" i="4" s="1"/>
  <c r="J113" i="4" s="1"/>
  <c r="IL114" i="4"/>
  <c r="IM114" i="4" s="1"/>
  <c r="J114" i="4" s="1"/>
  <c r="IL115" i="4"/>
  <c r="IM115" i="4" s="1"/>
  <c r="J115" i="4" s="1"/>
  <c r="IL116" i="4"/>
  <c r="IM116" i="4" s="1"/>
  <c r="J116" i="4" s="1"/>
  <c r="IL117" i="4"/>
  <c r="IM117" i="4" s="1"/>
  <c r="J117" i="4" s="1"/>
  <c r="IL118" i="4"/>
  <c r="IM118" i="4" s="1"/>
  <c r="J118" i="4" s="1"/>
  <c r="IL119" i="4"/>
  <c r="IM119" i="4" s="1"/>
  <c r="J119" i="4" s="1"/>
  <c r="IL120" i="4"/>
  <c r="IM120" i="4" s="1"/>
  <c r="J120" i="4" s="1"/>
  <c r="IL121" i="4"/>
  <c r="IM121" i="4" s="1"/>
  <c r="J121" i="4" s="1"/>
  <c r="IL122" i="4"/>
  <c r="IM122" i="4" s="1"/>
  <c r="J122" i="4" s="1"/>
  <c r="IL123" i="4"/>
  <c r="IM123" i="4" s="1"/>
  <c r="J123" i="4" s="1"/>
  <c r="IL124" i="4"/>
  <c r="IM124" i="4" s="1"/>
  <c r="J124" i="4" s="1"/>
  <c r="IL125" i="4"/>
  <c r="IM125" i="4" s="1"/>
  <c r="J125" i="4" s="1"/>
  <c r="IL126" i="4"/>
  <c r="IM126" i="4" s="1"/>
  <c r="J126" i="4" s="1"/>
  <c r="IL127" i="4"/>
  <c r="IM127" i="4" s="1"/>
  <c r="J127" i="4" s="1"/>
  <c r="IL128" i="4"/>
  <c r="IM128" i="4" s="1"/>
  <c r="J128" i="4" s="1"/>
  <c r="IL129" i="4"/>
  <c r="IM129" i="4" s="1"/>
  <c r="J129" i="4" s="1"/>
  <c r="IL130" i="4"/>
  <c r="IM130" i="4" s="1"/>
  <c r="J130" i="4" s="1"/>
  <c r="IL131" i="4"/>
  <c r="IM131" i="4" s="1"/>
  <c r="J131" i="4" s="1"/>
  <c r="IL132" i="4"/>
  <c r="IM132" i="4" s="1"/>
  <c r="J132" i="4" s="1"/>
  <c r="IL133" i="4"/>
  <c r="IM133" i="4" s="1"/>
  <c r="J133" i="4" s="1"/>
  <c r="IL134" i="4"/>
  <c r="IM134" i="4" s="1"/>
  <c r="J134" i="4" s="1"/>
  <c r="IL135" i="4"/>
  <c r="IM135" i="4" s="1"/>
  <c r="J135" i="4" s="1"/>
  <c r="IL136" i="4"/>
  <c r="IM136" i="4" s="1"/>
  <c r="J136" i="4" s="1"/>
  <c r="IL137" i="4"/>
  <c r="IM137" i="4" s="1"/>
  <c r="J137" i="4" s="1"/>
  <c r="IL138" i="4"/>
  <c r="IM138" i="4" s="1"/>
  <c r="J138" i="4" s="1"/>
  <c r="IL139" i="4"/>
  <c r="IM139" i="4" s="1"/>
  <c r="J139" i="4" s="1"/>
  <c r="IL140" i="4"/>
  <c r="IM140" i="4" s="1"/>
  <c r="J140" i="4" s="1"/>
  <c r="IL141" i="4"/>
  <c r="IM141" i="4" s="1"/>
  <c r="J141" i="4" s="1"/>
  <c r="IL142" i="4"/>
  <c r="IM142" i="4" s="1"/>
  <c r="J142" i="4" s="1"/>
  <c r="IL143" i="4"/>
  <c r="IM143" i="4" s="1"/>
  <c r="J143" i="4" s="1"/>
  <c r="IL144" i="4"/>
  <c r="IM144" i="4" s="1"/>
  <c r="J144" i="4" s="1"/>
  <c r="IL145" i="4"/>
  <c r="IM145" i="4" s="1"/>
  <c r="J145" i="4" s="1"/>
  <c r="IL146" i="4"/>
  <c r="IM146" i="4" s="1"/>
  <c r="J146" i="4" s="1"/>
  <c r="IL147" i="4"/>
  <c r="IM147" i="4" s="1"/>
  <c r="J147" i="4" s="1"/>
  <c r="IL148" i="4"/>
  <c r="IM148" i="4" s="1"/>
  <c r="J148" i="4" s="1"/>
  <c r="IL149" i="4"/>
  <c r="IM149" i="4" s="1"/>
  <c r="J149" i="4" s="1"/>
  <c r="IL150" i="4"/>
  <c r="IM150" i="4" s="1"/>
  <c r="J150" i="4" s="1"/>
  <c r="IL151" i="4"/>
  <c r="IM151" i="4" s="1"/>
  <c r="J151" i="4" s="1"/>
  <c r="IL152" i="4"/>
  <c r="IM152" i="4" s="1"/>
  <c r="J152" i="4" s="1"/>
  <c r="M83" i="7"/>
  <c r="C173" i="9" s="1"/>
  <c r="IL153" i="4"/>
  <c r="IM153" i="4" s="1"/>
  <c r="J153" i="4" s="1"/>
  <c r="IL154" i="4"/>
  <c r="IM154" i="4" s="1"/>
  <c r="J154" i="4" s="1"/>
  <c r="IL155" i="4"/>
  <c r="IM155" i="4" s="1"/>
  <c r="J155" i="4" s="1"/>
  <c r="IL156" i="4"/>
  <c r="IM156" i="4" s="1"/>
  <c r="J156" i="4" s="1"/>
  <c r="IL157" i="4"/>
  <c r="IM157" i="4" s="1"/>
  <c r="J157" i="4" s="1"/>
  <c r="IL158" i="4"/>
  <c r="IM158" i="4" s="1"/>
  <c r="J158" i="4" s="1"/>
  <c r="IL159" i="4"/>
  <c r="IM159" i="4" s="1"/>
  <c r="J159" i="4" s="1"/>
  <c r="IL160" i="4"/>
  <c r="IM160" i="4" s="1"/>
  <c r="J160" i="4" s="1"/>
  <c r="IL161" i="4"/>
  <c r="IM161" i="4" s="1"/>
  <c r="J161" i="4" s="1"/>
  <c r="IL162" i="4"/>
  <c r="IM162" i="4" s="1"/>
  <c r="J162" i="4" s="1"/>
  <c r="IL163" i="4"/>
  <c r="IM163" i="4" s="1"/>
  <c r="J163" i="4" s="1"/>
  <c r="L83" i="7"/>
  <c r="B173" i="9" s="1"/>
  <c r="C87" i="5"/>
  <c r="B87" i="5"/>
  <c r="H86" i="5"/>
  <c r="D403" i="9" s="1"/>
  <c r="C403" i="9"/>
  <c r="C562" i="9"/>
  <c r="N86" i="5"/>
  <c r="D562" i="9" s="1"/>
  <c r="K86" i="5"/>
  <c r="G403" i="9" s="1"/>
  <c r="F403" i="9"/>
  <c r="Q86" i="5"/>
  <c r="G562" i="9" s="1"/>
  <c r="F562" i="9"/>
  <c r="F99" i="4" l="1"/>
  <c r="D84" i="5"/>
  <c r="D170" i="9" s="1"/>
  <c r="E84" i="5"/>
  <c r="E170" i="9" s="1"/>
  <c r="P147" i="5"/>
  <c r="M147" i="5"/>
  <c r="I147" i="5"/>
  <c r="E470" i="9" s="1"/>
  <c r="F147" i="5"/>
  <c r="B470" i="9" s="1"/>
  <c r="O147" i="5"/>
  <c r="E629" i="9" s="1"/>
  <c r="L147" i="5"/>
  <c r="B629" i="9" s="1"/>
  <c r="J147" i="5"/>
  <c r="G147" i="5"/>
  <c r="P143" i="5"/>
  <c r="M143" i="5"/>
  <c r="I143" i="5"/>
  <c r="E466" i="9" s="1"/>
  <c r="F143" i="5"/>
  <c r="B466" i="9" s="1"/>
  <c r="O143" i="5"/>
  <c r="E625" i="9" s="1"/>
  <c r="L143" i="5"/>
  <c r="B625" i="9" s="1"/>
  <c r="J143" i="5"/>
  <c r="G143" i="5"/>
  <c r="P141" i="5"/>
  <c r="M141" i="5"/>
  <c r="I141" i="5"/>
  <c r="E464" i="9" s="1"/>
  <c r="F141" i="5"/>
  <c r="B464" i="9" s="1"/>
  <c r="O141" i="5"/>
  <c r="E623" i="9" s="1"/>
  <c r="L141" i="5"/>
  <c r="B623" i="9" s="1"/>
  <c r="J141" i="5"/>
  <c r="G141" i="5"/>
  <c r="P139" i="5"/>
  <c r="M139" i="5"/>
  <c r="I139" i="5"/>
  <c r="E462" i="9" s="1"/>
  <c r="F139" i="5"/>
  <c r="B462" i="9" s="1"/>
  <c r="O139" i="5"/>
  <c r="E621" i="9" s="1"/>
  <c r="L139" i="5"/>
  <c r="B621" i="9" s="1"/>
  <c r="J139" i="5"/>
  <c r="G139" i="5"/>
  <c r="O138" i="5"/>
  <c r="E620" i="9" s="1"/>
  <c r="P138" i="5"/>
  <c r="L138" i="5"/>
  <c r="B620" i="9" s="1"/>
  <c r="J138" i="5"/>
  <c r="G138" i="5"/>
  <c r="M138" i="5"/>
  <c r="I138" i="5"/>
  <c r="E461" i="9" s="1"/>
  <c r="F138" i="5"/>
  <c r="B461" i="9" s="1"/>
  <c r="O136" i="5"/>
  <c r="E618" i="9" s="1"/>
  <c r="P136" i="5"/>
  <c r="L136" i="5"/>
  <c r="B618" i="9" s="1"/>
  <c r="J136" i="5"/>
  <c r="G136" i="5"/>
  <c r="M136" i="5"/>
  <c r="I136" i="5"/>
  <c r="E459" i="9" s="1"/>
  <c r="F136" i="5"/>
  <c r="B459" i="9" s="1"/>
  <c r="O134" i="5"/>
  <c r="E616" i="9" s="1"/>
  <c r="P134" i="5"/>
  <c r="L134" i="5"/>
  <c r="B616" i="9" s="1"/>
  <c r="J134" i="5"/>
  <c r="G134" i="5"/>
  <c r="M134" i="5"/>
  <c r="I134" i="5"/>
  <c r="E457" i="9" s="1"/>
  <c r="F134" i="5"/>
  <c r="B457" i="9" s="1"/>
  <c r="O132" i="5"/>
  <c r="E614" i="9" s="1"/>
  <c r="P132" i="5"/>
  <c r="L132" i="5"/>
  <c r="B614" i="9" s="1"/>
  <c r="J132" i="5"/>
  <c r="G132" i="5"/>
  <c r="M132" i="5"/>
  <c r="I132" i="5"/>
  <c r="E455" i="9" s="1"/>
  <c r="F132" i="5"/>
  <c r="B455" i="9" s="1"/>
  <c r="O130" i="5"/>
  <c r="E612" i="9" s="1"/>
  <c r="P130" i="5"/>
  <c r="L130" i="5"/>
  <c r="B612" i="9" s="1"/>
  <c r="J130" i="5"/>
  <c r="G130" i="5"/>
  <c r="M130" i="5"/>
  <c r="I130" i="5"/>
  <c r="E453" i="9" s="1"/>
  <c r="F130" i="5"/>
  <c r="B453" i="9" s="1"/>
  <c r="O128" i="5"/>
  <c r="E610" i="9" s="1"/>
  <c r="P128" i="5"/>
  <c r="L128" i="5"/>
  <c r="B610" i="9" s="1"/>
  <c r="J128" i="5"/>
  <c r="G128" i="5"/>
  <c r="M128" i="5"/>
  <c r="I128" i="5"/>
  <c r="E451" i="9" s="1"/>
  <c r="F128" i="5"/>
  <c r="B451" i="9" s="1"/>
  <c r="O126" i="5"/>
  <c r="E608" i="9" s="1"/>
  <c r="P126" i="5"/>
  <c r="L126" i="5"/>
  <c r="B608" i="9" s="1"/>
  <c r="J126" i="5"/>
  <c r="G126" i="5"/>
  <c r="M126" i="5"/>
  <c r="I126" i="5"/>
  <c r="E449" i="9" s="1"/>
  <c r="F126" i="5"/>
  <c r="B449" i="9" s="1"/>
  <c r="O124" i="5"/>
  <c r="E606" i="9" s="1"/>
  <c r="P124" i="5"/>
  <c r="L124" i="5"/>
  <c r="B606" i="9" s="1"/>
  <c r="J124" i="5"/>
  <c r="G124" i="5"/>
  <c r="M124" i="5"/>
  <c r="I124" i="5"/>
  <c r="E447" i="9" s="1"/>
  <c r="F124" i="5"/>
  <c r="B447" i="9" s="1"/>
  <c r="O122" i="5"/>
  <c r="E604" i="9" s="1"/>
  <c r="P122" i="5"/>
  <c r="L122" i="5"/>
  <c r="B604" i="9" s="1"/>
  <c r="J122" i="5"/>
  <c r="G122" i="5"/>
  <c r="M122" i="5"/>
  <c r="I122" i="5"/>
  <c r="E445" i="9" s="1"/>
  <c r="F122" i="5"/>
  <c r="B445" i="9" s="1"/>
  <c r="O120" i="5"/>
  <c r="E602" i="9" s="1"/>
  <c r="P120" i="5"/>
  <c r="L120" i="5"/>
  <c r="B602" i="9" s="1"/>
  <c r="J120" i="5"/>
  <c r="G120" i="5"/>
  <c r="M120" i="5"/>
  <c r="I120" i="5"/>
  <c r="E443" i="9" s="1"/>
  <c r="F120" i="5"/>
  <c r="B443" i="9" s="1"/>
  <c r="O118" i="5"/>
  <c r="E600" i="9" s="1"/>
  <c r="P118" i="5"/>
  <c r="L118" i="5"/>
  <c r="B600" i="9" s="1"/>
  <c r="J118" i="5"/>
  <c r="G118" i="5"/>
  <c r="M118" i="5"/>
  <c r="I118" i="5"/>
  <c r="E441" i="9" s="1"/>
  <c r="F118" i="5"/>
  <c r="B441" i="9" s="1"/>
  <c r="O116" i="5"/>
  <c r="E598" i="9" s="1"/>
  <c r="P116" i="5"/>
  <c r="L116" i="5"/>
  <c r="B598" i="9" s="1"/>
  <c r="J116" i="5"/>
  <c r="G116" i="5"/>
  <c r="M116" i="5"/>
  <c r="I116" i="5"/>
  <c r="E439" i="9" s="1"/>
  <c r="F116" i="5"/>
  <c r="B439" i="9" s="1"/>
  <c r="O114" i="5"/>
  <c r="E596" i="9" s="1"/>
  <c r="P114" i="5"/>
  <c r="L114" i="5"/>
  <c r="B596" i="9" s="1"/>
  <c r="J114" i="5"/>
  <c r="G114" i="5"/>
  <c r="M114" i="5"/>
  <c r="I114" i="5"/>
  <c r="E437" i="9" s="1"/>
  <c r="F114" i="5"/>
  <c r="B437" i="9" s="1"/>
  <c r="O112" i="5"/>
  <c r="E594" i="9" s="1"/>
  <c r="P112" i="5"/>
  <c r="L112" i="5"/>
  <c r="B594" i="9" s="1"/>
  <c r="J112" i="5"/>
  <c r="G112" i="5"/>
  <c r="M112" i="5"/>
  <c r="I112" i="5"/>
  <c r="E435" i="9" s="1"/>
  <c r="F112" i="5"/>
  <c r="B435" i="9" s="1"/>
  <c r="O110" i="5"/>
  <c r="E592" i="9" s="1"/>
  <c r="P110" i="5"/>
  <c r="L110" i="5"/>
  <c r="B592" i="9" s="1"/>
  <c r="J110" i="5"/>
  <c r="G110" i="5"/>
  <c r="M110" i="5"/>
  <c r="I110" i="5"/>
  <c r="E433" i="9" s="1"/>
  <c r="F110" i="5"/>
  <c r="B433" i="9" s="1"/>
  <c r="O108" i="5"/>
  <c r="E584" i="9" s="1"/>
  <c r="P108" i="5"/>
  <c r="L108" i="5"/>
  <c r="B584" i="9" s="1"/>
  <c r="J108" i="5"/>
  <c r="G108" i="5"/>
  <c r="M108" i="5"/>
  <c r="I108" i="5"/>
  <c r="E425" i="9" s="1"/>
  <c r="F108" i="5"/>
  <c r="B425" i="9" s="1"/>
  <c r="O106" i="5"/>
  <c r="E582" i="9" s="1"/>
  <c r="P106" i="5"/>
  <c r="L106" i="5"/>
  <c r="B582" i="9" s="1"/>
  <c r="J106" i="5"/>
  <c r="G106" i="5"/>
  <c r="M106" i="5"/>
  <c r="I106" i="5"/>
  <c r="E423" i="9" s="1"/>
  <c r="F106" i="5"/>
  <c r="B423" i="9" s="1"/>
  <c r="O104" i="5"/>
  <c r="E580" i="9" s="1"/>
  <c r="P104" i="5"/>
  <c r="L104" i="5"/>
  <c r="B580" i="9" s="1"/>
  <c r="J104" i="5"/>
  <c r="G104" i="5"/>
  <c r="M104" i="5"/>
  <c r="I104" i="5"/>
  <c r="E421" i="9" s="1"/>
  <c r="F104" i="5"/>
  <c r="B421" i="9" s="1"/>
  <c r="P102" i="5"/>
  <c r="O102" i="5"/>
  <c r="E578" i="9" s="1"/>
  <c r="L102" i="5"/>
  <c r="B578" i="9" s="1"/>
  <c r="J102" i="5"/>
  <c r="G102" i="5"/>
  <c r="M102" i="5"/>
  <c r="I102" i="5"/>
  <c r="E419" i="9" s="1"/>
  <c r="F102" i="5"/>
  <c r="B419" i="9" s="1"/>
  <c r="P100" i="5"/>
  <c r="O100" i="5"/>
  <c r="E576" i="9" s="1"/>
  <c r="L100" i="5"/>
  <c r="B576" i="9" s="1"/>
  <c r="J100" i="5"/>
  <c r="G100" i="5"/>
  <c r="M100" i="5"/>
  <c r="I100" i="5"/>
  <c r="E417" i="9" s="1"/>
  <c r="F100" i="5"/>
  <c r="B417" i="9" s="1"/>
  <c r="P98" i="5"/>
  <c r="O98" i="5"/>
  <c r="E574" i="9" s="1"/>
  <c r="L98" i="5"/>
  <c r="B574" i="9" s="1"/>
  <c r="J98" i="5"/>
  <c r="G98" i="5"/>
  <c r="M98" i="5"/>
  <c r="I98" i="5"/>
  <c r="E415" i="9" s="1"/>
  <c r="F98" i="5"/>
  <c r="B415" i="9" s="1"/>
  <c r="P96" i="5"/>
  <c r="O96" i="5"/>
  <c r="E572" i="9" s="1"/>
  <c r="L96" i="5"/>
  <c r="B572" i="9" s="1"/>
  <c r="J96" i="5"/>
  <c r="G96" i="5"/>
  <c r="M96" i="5"/>
  <c r="I96" i="5"/>
  <c r="E413" i="9" s="1"/>
  <c r="F96" i="5"/>
  <c r="B413" i="9" s="1"/>
  <c r="P94" i="5"/>
  <c r="O94" i="5"/>
  <c r="E570" i="9" s="1"/>
  <c r="L94" i="5"/>
  <c r="B570" i="9" s="1"/>
  <c r="J94" i="5"/>
  <c r="G94" i="5"/>
  <c r="M94" i="5"/>
  <c r="I94" i="5"/>
  <c r="E411" i="9" s="1"/>
  <c r="F94" i="5"/>
  <c r="B411" i="9" s="1"/>
  <c r="P92" i="5"/>
  <c r="O92" i="5"/>
  <c r="E568" i="9" s="1"/>
  <c r="L92" i="5"/>
  <c r="B568" i="9" s="1"/>
  <c r="J92" i="5"/>
  <c r="G92" i="5"/>
  <c r="M92" i="5"/>
  <c r="I92" i="5"/>
  <c r="E409" i="9" s="1"/>
  <c r="F92" i="5"/>
  <c r="B409" i="9" s="1"/>
  <c r="P90" i="5"/>
  <c r="O90" i="5"/>
  <c r="E566" i="9" s="1"/>
  <c r="L90" i="5"/>
  <c r="B566" i="9" s="1"/>
  <c r="J90" i="5"/>
  <c r="G90" i="5"/>
  <c r="M90" i="5"/>
  <c r="I90" i="5"/>
  <c r="E407" i="9" s="1"/>
  <c r="F90" i="5"/>
  <c r="B407" i="9" s="1"/>
  <c r="O88" i="5"/>
  <c r="E564" i="9" s="1"/>
  <c r="P88" i="5"/>
  <c r="L88" i="5"/>
  <c r="B564" i="9" s="1"/>
  <c r="J88" i="5"/>
  <c r="G88" i="5"/>
  <c r="M88" i="5"/>
  <c r="I88" i="5"/>
  <c r="E405" i="9" s="1"/>
  <c r="F88" i="5"/>
  <c r="B405" i="9" s="1"/>
  <c r="P149" i="5"/>
  <c r="M149" i="5"/>
  <c r="I149" i="5"/>
  <c r="E472" i="9" s="1"/>
  <c r="F149" i="5"/>
  <c r="B472" i="9" s="1"/>
  <c r="O149" i="5"/>
  <c r="E631" i="9" s="1"/>
  <c r="L149" i="5"/>
  <c r="B631" i="9" s="1"/>
  <c r="J149" i="5"/>
  <c r="G149" i="5"/>
  <c r="P145" i="5"/>
  <c r="M145" i="5"/>
  <c r="I145" i="5"/>
  <c r="E468" i="9" s="1"/>
  <c r="F145" i="5"/>
  <c r="B468" i="9" s="1"/>
  <c r="O145" i="5"/>
  <c r="E627" i="9" s="1"/>
  <c r="L145" i="5"/>
  <c r="B627" i="9" s="1"/>
  <c r="J145" i="5"/>
  <c r="G145" i="5"/>
  <c r="P148" i="5"/>
  <c r="L148" i="5"/>
  <c r="B630" i="9" s="1"/>
  <c r="J148" i="5"/>
  <c r="G148" i="5"/>
  <c r="O148" i="5"/>
  <c r="E630" i="9" s="1"/>
  <c r="M148" i="5"/>
  <c r="I148" i="5"/>
  <c r="E471" i="9" s="1"/>
  <c r="F148" i="5"/>
  <c r="B471" i="9" s="1"/>
  <c r="P146" i="5"/>
  <c r="L146" i="5"/>
  <c r="B628" i="9" s="1"/>
  <c r="J146" i="5"/>
  <c r="G146" i="5"/>
  <c r="O146" i="5"/>
  <c r="E628" i="9" s="1"/>
  <c r="M146" i="5"/>
  <c r="I146" i="5"/>
  <c r="E469" i="9" s="1"/>
  <c r="F146" i="5"/>
  <c r="B469" i="9" s="1"/>
  <c r="P144" i="5"/>
  <c r="L144" i="5"/>
  <c r="B626" i="9" s="1"/>
  <c r="J144" i="5"/>
  <c r="G144" i="5"/>
  <c r="O144" i="5"/>
  <c r="E626" i="9" s="1"/>
  <c r="M144" i="5"/>
  <c r="I144" i="5"/>
  <c r="E467" i="9" s="1"/>
  <c r="F144" i="5"/>
  <c r="B467" i="9" s="1"/>
  <c r="P142" i="5"/>
  <c r="L142" i="5"/>
  <c r="B624" i="9" s="1"/>
  <c r="J142" i="5"/>
  <c r="G142" i="5"/>
  <c r="O142" i="5"/>
  <c r="E624" i="9" s="1"/>
  <c r="M142" i="5"/>
  <c r="I142" i="5"/>
  <c r="E465" i="9" s="1"/>
  <c r="F142" i="5"/>
  <c r="B465" i="9" s="1"/>
  <c r="P140" i="5"/>
  <c r="L140" i="5"/>
  <c r="B622" i="9" s="1"/>
  <c r="J140" i="5"/>
  <c r="G140" i="5"/>
  <c r="O140" i="5"/>
  <c r="E622" i="9" s="1"/>
  <c r="M140" i="5"/>
  <c r="I140" i="5"/>
  <c r="E463" i="9" s="1"/>
  <c r="F140" i="5"/>
  <c r="B463" i="9" s="1"/>
  <c r="O137" i="5"/>
  <c r="E619" i="9" s="1"/>
  <c r="M137" i="5"/>
  <c r="I137" i="5"/>
  <c r="E460" i="9" s="1"/>
  <c r="F137" i="5"/>
  <c r="B460" i="9" s="1"/>
  <c r="P137" i="5"/>
  <c r="L137" i="5"/>
  <c r="B619" i="9" s="1"/>
  <c r="J137" i="5"/>
  <c r="G137" i="5"/>
  <c r="O135" i="5"/>
  <c r="E617" i="9" s="1"/>
  <c r="M135" i="5"/>
  <c r="I135" i="5"/>
  <c r="E458" i="9" s="1"/>
  <c r="F135" i="5"/>
  <c r="B458" i="9" s="1"/>
  <c r="P135" i="5"/>
  <c r="L135" i="5"/>
  <c r="B617" i="9" s="1"/>
  <c r="J135" i="5"/>
  <c r="G135" i="5"/>
  <c r="O133" i="5"/>
  <c r="E615" i="9" s="1"/>
  <c r="M133" i="5"/>
  <c r="I133" i="5"/>
  <c r="E456" i="9" s="1"/>
  <c r="F133" i="5"/>
  <c r="B456" i="9" s="1"/>
  <c r="P133" i="5"/>
  <c r="L133" i="5"/>
  <c r="B615" i="9" s="1"/>
  <c r="J133" i="5"/>
  <c r="G133" i="5"/>
  <c r="O131" i="5"/>
  <c r="E613" i="9" s="1"/>
  <c r="M131" i="5"/>
  <c r="I131" i="5"/>
  <c r="E454" i="9" s="1"/>
  <c r="F131" i="5"/>
  <c r="B454" i="9" s="1"/>
  <c r="P131" i="5"/>
  <c r="L131" i="5"/>
  <c r="B613" i="9" s="1"/>
  <c r="J131" i="5"/>
  <c r="G131" i="5"/>
  <c r="O129" i="5"/>
  <c r="E611" i="9" s="1"/>
  <c r="M129" i="5"/>
  <c r="I129" i="5"/>
  <c r="E452" i="9" s="1"/>
  <c r="F129" i="5"/>
  <c r="B452" i="9" s="1"/>
  <c r="P129" i="5"/>
  <c r="L129" i="5"/>
  <c r="B611" i="9" s="1"/>
  <c r="J129" i="5"/>
  <c r="G129" i="5"/>
  <c r="O127" i="5"/>
  <c r="E609" i="9" s="1"/>
  <c r="M127" i="5"/>
  <c r="I127" i="5"/>
  <c r="E450" i="9" s="1"/>
  <c r="F127" i="5"/>
  <c r="B450" i="9" s="1"/>
  <c r="P127" i="5"/>
  <c r="L127" i="5"/>
  <c r="B609" i="9" s="1"/>
  <c r="J127" i="5"/>
  <c r="G127" i="5"/>
  <c r="O125" i="5"/>
  <c r="E607" i="9" s="1"/>
  <c r="P125" i="5"/>
  <c r="M125" i="5"/>
  <c r="I125" i="5"/>
  <c r="E448" i="9" s="1"/>
  <c r="F125" i="5"/>
  <c r="B448" i="9" s="1"/>
  <c r="L125" i="5"/>
  <c r="B607" i="9" s="1"/>
  <c r="J125" i="5"/>
  <c r="G125" i="5"/>
  <c r="O123" i="5"/>
  <c r="E605" i="9" s="1"/>
  <c r="P123" i="5"/>
  <c r="M123" i="5"/>
  <c r="I123" i="5"/>
  <c r="E446" i="9" s="1"/>
  <c r="F123" i="5"/>
  <c r="B446" i="9" s="1"/>
  <c r="L123" i="5"/>
  <c r="B605" i="9" s="1"/>
  <c r="J123" i="5"/>
  <c r="G123" i="5"/>
  <c r="O121" i="5"/>
  <c r="E603" i="9" s="1"/>
  <c r="P121" i="5"/>
  <c r="M121" i="5"/>
  <c r="I121" i="5"/>
  <c r="E444" i="9" s="1"/>
  <c r="F121" i="5"/>
  <c r="B444" i="9" s="1"/>
  <c r="L121" i="5"/>
  <c r="B603" i="9" s="1"/>
  <c r="J121" i="5"/>
  <c r="G121" i="5"/>
  <c r="O119" i="5"/>
  <c r="E601" i="9" s="1"/>
  <c r="P119" i="5"/>
  <c r="M119" i="5"/>
  <c r="I119" i="5"/>
  <c r="E442" i="9" s="1"/>
  <c r="F119" i="5"/>
  <c r="B442" i="9" s="1"/>
  <c r="L119" i="5"/>
  <c r="B601" i="9" s="1"/>
  <c r="J119" i="5"/>
  <c r="G119" i="5"/>
  <c r="O117" i="5"/>
  <c r="E599" i="9" s="1"/>
  <c r="P117" i="5"/>
  <c r="M117" i="5"/>
  <c r="I117" i="5"/>
  <c r="E440" i="9" s="1"/>
  <c r="F117" i="5"/>
  <c r="B440" i="9" s="1"/>
  <c r="L117" i="5"/>
  <c r="B599" i="9" s="1"/>
  <c r="J117" i="5"/>
  <c r="G117" i="5"/>
  <c r="O115" i="5"/>
  <c r="E597" i="9" s="1"/>
  <c r="P115" i="5"/>
  <c r="M115" i="5"/>
  <c r="I115" i="5"/>
  <c r="E438" i="9" s="1"/>
  <c r="F115" i="5"/>
  <c r="B438" i="9" s="1"/>
  <c r="L115" i="5"/>
  <c r="B597" i="9" s="1"/>
  <c r="J115" i="5"/>
  <c r="G115" i="5"/>
  <c r="O113" i="5"/>
  <c r="E595" i="9" s="1"/>
  <c r="P113" i="5"/>
  <c r="M113" i="5"/>
  <c r="I113" i="5"/>
  <c r="E436" i="9" s="1"/>
  <c r="F113" i="5"/>
  <c r="B436" i="9" s="1"/>
  <c r="L113" i="5"/>
  <c r="B595" i="9" s="1"/>
  <c r="J113" i="5"/>
  <c r="G113" i="5"/>
  <c r="O111" i="5"/>
  <c r="E593" i="9" s="1"/>
  <c r="P111" i="5"/>
  <c r="M111" i="5"/>
  <c r="I111" i="5"/>
  <c r="E434" i="9" s="1"/>
  <c r="F111" i="5"/>
  <c r="B434" i="9" s="1"/>
  <c r="L111" i="5"/>
  <c r="B593" i="9" s="1"/>
  <c r="J111" i="5"/>
  <c r="G111" i="5"/>
  <c r="O109" i="5"/>
  <c r="E585" i="9" s="1"/>
  <c r="P109" i="5"/>
  <c r="M109" i="5"/>
  <c r="I109" i="5"/>
  <c r="E426" i="9" s="1"/>
  <c r="F109" i="5"/>
  <c r="B426" i="9" s="1"/>
  <c r="L109" i="5"/>
  <c r="B585" i="9" s="1"/>
  <c r="J109" i="5"/>
  <c r="G109" i="5"/>
  <c r="O107" i="5"/>
  <c r="E583" i="9" s="1"/>
  <c r="P107" i="5"/>
  <c r="M107" i="5"/>
  <c r="I107" i="5"/>
  <c r="E424" i="9" s="1"/>
  <c r="F107" i="5"/>
  <c r="B424" i="9" s="1"/>
  <c r="L107" i="5"/>
  <c r="B583" i="9" s="1"/>
  <c r="J107" i="5"/>
  <c r="G107" i="5"/>
  <c r="O105" i="5"/>
  <c r="E581" i="9" s="1"/>
  <c r="P105" i="5"/>
  <c r="M105" i="5"/>
  <c r="I105" i="5"/>
  <c r="E422" i="9" s="1"/>
  <c r="F105" i="5"/>
  <c r="B422" i="9" s="1"/>
  <c r="L105" i="5"/>
  <c r="B581" i="9" s="1"/>
  <c r="J105" i="5"/>
  <c r="G105" i="5"/>
  <c r="O103" i="5"/>
  <c r="E579" i="9" s="1"/>
  <c r="P103" i="5"/>
  <c r="M103" i="5"/>
  <c r="I103" i="5"/>
  <c r="E420" i="9" s="1"/>
  <c r="F103" i="5"/>
  <c r="B420" i="9" s="1"/>
  <c r="L103" i="5"/>
  <c r="B579" i="9" s="1"/>
  <c r="J103" i="5"/>
  <c r="G103" i="5"/>
  <c r="P101" i="5"/>
  <c r="O101" i="5"/>
  <c r="E577" i="9" s="1"/>
  <c r="M101" i="5"/>
  <c r="I101" i="5"/>
  <c r="E418" i="9" s="1"/>
  <c r="F101" i="5"/>
  <c r="B418" i="9" s="1"/>
  <c r="L101" i="5"/>
  <c r="B577" i="9" s="1"/>
  <c r="J101" i="5"/>
  <c r="G101" i="5"/>
  <c r="P99" i="5"/>
  <c r="O99" i="5"/>
  <c r="E575" i="9" s="1"/>
  <c r="M99" i="5"/>
  <c r="I99" i="5"/>
  <c r="E416" i="9" s="1"/>
  <c r="F99" i="5"/>
  <c r="B416" i="9" s="1"/>
  <c r="L99" i="5"/>
  <c r="B575" i="9" s="1"/>
  <c r="J99" i="5"/>
  <c r="G99" i="5"/>
  <c r="P97" i="5"/>
  <c r="O97" i="5"/>
  <c r="E573" i="9" s="1"/>
  <c r="M97" i="5"/>
  <c r="I97" i="5"/>
  <c r="E414" i="9" s="1"/>
  <c r="F97" i="5"/>
  <c r="B414" i="9" s="1"/>
  <c r="L97" i="5"/>
  <c r="B573" i="9" s="1"/>
  <c r="J97" i="5"/>
  <c r="G97" i="5"/>
  <c r="P95" i="5"/>
  <c r="O95" i="5"/>
  <c r="E571" i="9" s="1"/>
  <c r="M95" i="5"/>
  <c r="I95" i="5"/>
  <c r="E412" i="9" s="1"/>
  <c r="F95" i="5"/>
  <c r="B412" i="9" s="1"/>
  <c r="L95" i="5"/>
  <c r="B571" i="9" s="1"/>
  <c r="J95" i="5"/>
  <c r="G95" i="5"/>
  <c r="P93" i="5"/>
  <c r="O93" i="5"/>
  <c r="E569" i="9" s="1"/>
  <c r="M93" i="5"/>
  <c r="I93" i="5"/>
  <c r="E410" i="9" s="1"/>
  <c r="F93" i="5"/>
  <c r="B410" i="9" s="1"/>
  <c r="L93" i="5"/>
  <c r="B569" i="9" s="1"/>
  <c r="J93" i="5"/>
  <c r="G93" i="5"/>
  <c r="P91" i="5"/>
  <c r="O91" i="5"/>
  <c r="E567" i="9" s="1"/>
  <c r="M91" i="5"/>
  <c r="I91" i="5"/>
  <c r="E408" i="9" s="1"/>
  <c r="F91" i="5"/>
  <c r="B408" i="9" s="1"/>
  <c r="L91" i="5"/>
  <c r="B567" i="9" s="1"/>
  <c r="J91" i="5"/>
  <c r="G91" i="5"/>
  <c r="P89" i="5"/>
  <c r="O89" i="5"/>
  <c r="E565" i="9" s="1"/>
  <c r="M89" i="5"/>
  <c r="I89" i="5"/>
  <c r="E406" i="9" s="1"/>
  <c r="F89" i="5"/>
  <c r="B406" i="9" s="1"/>
  <c r="L89" i="5"/>
  <c r="B565" i="9" s="1"/>
  <c r="J89" i="5"/>
  <c r="G89" i="5"/>
  <c r="K87" i="5"/>
  <c r="G404" i="9" s="1"/>
  <c r="F404" i="9"/>
  <c r="N87" i="5"/>
  <c r="D563" i="9" s="1"/>
  <c r="C563" i="9"/>
  <c r="Q87" i="5"/>
  <c r="G563" i="9" s="1"/>
  <c r="F563" i="9"/>
  <c r="C404" i="9"/>
  <c r="H87" i="5"/>
  <c r="D404" i="9" s="1"/>
  <c r="F100" i="4" l="1"/>
  <c r="E85" i="5"/>
  <c r="E171" i="9" s="1"/>
  <c r="D85" i="5"/>
  <c r="D171" i="9" s="1"/>
  <c r="N91" i="5"/>
  <c r="D567" i="9" s="1"/>
  <c r="C567" i="9"/>
  <c r="Q93" i="5"/>
  <c r="G569" i="9" s="1"/>
  <c r="F569" i="9"/>
  <c r="K95" i="5"/>
  <c r="G412" i="9" s="1"/>
  <c r="F412" i="9"/>
  <c r="N95" i="5"/>
  <c r="D571" i="9" s="1"/>
  <c r="C571" i="9"/>
  <c r="N97" i="5"/>
  <c r="D573" i="9" s="1"/>
  <c r="C573" i="9"/>
  <c r="K89" i="5"/>
  <c r="G406" i="9" s="1"/>
  <c r="F406" i="9"/>
  <c r="N89" i="5"/>
  <c r="D565" i="9" s="1"/>
  <c r="C565" i="9"/>
  <c r="Q89" i="5"/>
  <c r="G565" i="9" s="1"/>
  <c r="F565" i="9"/>
  <c r="C408" i="9"/>
  <c r="H91" i="5"/>
  <c r="D408" i="9" s="1"/>
  <c r="C410" i="9"/>
  <c r="H93" i="5"/>
  <c r="D410" i="9" s="1"/>
  <c r="C412" i="9"/>
  <c r="H95" i="5"/>
  <c r="D412" i="9" s="1"/>
  <c r="C414" i="9"/>
  <c r="H97" i="5"/>
  <c r="D414" i="9" s="1"/>
  <c r="C416" i="9"/>
  <c r="H99" i="5"/>
  <c r="D416" i="9" s="1"/>
  <c r="C418" i="9"/>
  <c r="H101" i="5"/>
  <c r="D418" i="9" s="1"/>
  <c r="C420" i="9"/>
  <c r="H103" i="5"/>
  <c r="D420" i="9" s="1"/>
  <c r="Q103" i="5"/>
  <c r="G579" i="9" s="1"/>
  <c r="F579" i="9"/>
  <c r="C422" i="9"/>
  <c r="H105" i="5"/>
  <c r="D422" i="9" s="1"/>
  <c r="Q105" i="5"/>
  <c r="G581" i="9" s="1"/>
  <c r="F581" i="9"/>
  <c r="C424" i="9"/>
  <c r="H107" i="5"/>
  <c r="D424" i="9" s="1"/>
  <c r="Q107" i="5"/>
  <c r="G583" i="9" s="1"/>
  <c r="F583" i="9"/>
  <c r="C426" i="9"/>
  <c r="H109" i="5"/>
  <c r="D426" i="9" s="1"/>
  <c r="Q109" i="5"/>
  <c r="G585" i="9" s="1"/>
  <c r="F585" i="9"/>
  <c r="C434" i="9"/>
  <c r="H111" i="5"/>
  <c r="D434" i="9" s="1"/>
  <c r="Q111" i="5"/>
  <c r="G593" i="9" s="1"/>
  <c r="F593" i="9"/>
  <c r="C436" i="9"/>
  <c r="H113" i="5"/>
  <c r="D436" i="9" s="1"/>
  <c r="Q113" i="5"/>
  <c r="G595" i="9" s="1"/>
  <c r="F595" i="9"/>
  <c r="C438" i="9"/>
  <c r="H115" i="5"/>
  <c r="D438" i="9" s="1"/>
  <c r="Q115" i="5"/>
  <c r="G597" i="9" s="1"/>
  <c r="F597" i="9"/>
  <c r="C440" i="9"/>
  <c r="H117" i="5"/>
  <c r="D440" i="9" s="1"/>
  <c r="Q117" i="5"/>
  <c r="G599" i="9" s="1"/>
  <c r="F599" i="9"/>
  <c r="C442" i="9"/>
  <c r="H119" i="5"/>
  <c r="D442" i="9" s="1"/>
  <c r="Q119" i="5"/>
  <c r="G601" i="9" s="1"/>
  <c r="F601" i="9"/>
  <c r="C444" i="9"/>
  <c r="H121" i="5"/>
  <c r="D444" i="9" s="1"/>
  <c r="Q121" i="5"/>
  <c r="G603" i="9" s="1"/>
  <c r="F603" i="9"/>
  <c r="C446" i="9"/>
  <c r="H123" i="5"/>
  <c r="D446" i="9" s="1"/>
  <c r="Q123" i="5"/>
  <c r="G605" i="9" s="1"/>
  <c r="F605" i="9"/>
  <c r="C448" i="9"/>
  <c r="H125" i="5"/>
  <c r="D448" i="9" s="1"/>
  <c r="Q125" i="5"/>
  <c r="G607" i="9" s="1"/>
  <c r="F607" i="9"/>
  <c r="C450" i="9"/>
  <c r="H127" i="5"/>
  <c r="D450" i="9" s="1"/>
  <c r="N127" i="5"/>
  <c r="D609" i="9" s="1"/>
  <c r="C609" i="9"/>
  <c r="C452" i="9"/>
  <c r="H129" i="5"/>
  <c r="D452" i="9" s="1"/>
  <c r="N129" i="5"/>
  <c r="D611" i="9" s="1"/>
  <c r="C611" i="9"/>
  <c r="C454" i="9"/>
  <c r="H131" i="5"/>
  <c r="D454" i="9" s="1"/>
  <c r="N131" i="5"/>
  <c r="D613" i="9" s="1"/>
  <c r="C613" i="9"/>
  <c r="C456" i="9"/>
  <c r="H133" i="5"/>
  <c r="D456" i="9" s="1"/>
  <c r="N133" i="5"/>
  <c r="D615" i="9" s="1"/>
  <c r="C615" i="9"/>
  <c r="C458" i="9"/>
  <c r="H135" i="5"/>
  <c r="D458" i="9" s="1"/>
  <c r="N135" i="5"/>
  <c r="D617" i="9" s="1"/>
  <c r="C617" i="9"/>
  <c r="C460" i="9"/>
  <c r="H137" i="5"/>
  <c r="D460" i="9" s="1"/>
  <c r="N137" i="5"/>
  <c r="D619" i="9" s="1"/>
  <c r="C619" i="9"/>
  <c r="C622" i="9"/>
  <c r="N140" i="5"/>
  <c r="D622" i="9" s="1"/>
  <c r="H140" i="5"/>
  <c r="D463" i="9" s="1"/>
  <c r="C463" i="9"/>
  <c r="C624" i="9"/>
  <c r="N142" i="5"/>
  <c r="D624" i="9" s="1"/>
  <c r="H142" i="5"/>
  <c r="D465" i="9" s="1"/>
  <c r="C465" i="9"/>
  <c r="C626" i="9"/>
  <c r="N144" i="5"/>
  <c r="D626" i="9" s="1"/>
  <c r="H144" i="5"/>
  <c r="D467" i="9" s="1"/>
  <c r="C467" i="9"/>
  <c r="C628" i="9"/>
  <c r="N146" i="5"/>
  <c r="D628" i="9" s="1"/>
  <c r="H146" i="5"/>
  <c r="D469" i="9" s="1"/>
  <c r="C469" i="9"/>
  <c r="C630" i="9"/>
  <c r="N148" i="5"/>
  <c r="D630" i="9" s="1"/>
  <c r="H148" i="5"/>
  <c r="D471" i="9" s="1"/>
  <c r="C471" i="9"/>
  <c r="C468" i="9"/>
  <c r="H145" i="5"/>
  <c r="D468" i="9" s="1"/>
  <c r="N145" i="5"/>
  <c r="D627" i="9" s="1"/>
  <c r="C627" i="9"/>
  <c r="C472" i="9"/>
  <c r="H149" i="5"/>
  <c r="D472" i="9" s="1"/>
  <c r="N149" i="5"/>
  <c r="D631" i="9" s="1"/>
  <c r="C631" i="9"/>
  <c r="C564" i="9"/>
  <c r="N88" i="5"/>
  <c r="D564" i="9" s="1"/>
  <c r="K88" i="5"/>
  <c r="G405" i="9" s="1"/>
  <c r="F405" i="9"/>
  <c r="Q88" i="5"/>
  <c r="G564" i="9" s="1"/>
  <c r="F564" i="9"/>
  <c r="C566" i="9"/>
  <c r="N90" i="5"/>
  <c r="D566" i="9" s="1"/>
  <c r="K90" i="5"/>
  <c r="G407" i="9" s="1"/>
  <c r="F407" i="9"/>
  <c r="C568" i="9"/>
  <c r="N92" i="5"/>
  <c r="D568" i="9" s="1"/>
  <c r="K92" i="5"/>
  <c r="G409" i="9" s="1"/>
  <c r="F409" i="9"/>
  <c r="C570" i="9"/>
  <c r="N94" i="5"/>
  <c r="D570" i="9" s="1"/>
  <c r="K94" i="5"/>
  <c r="G411" i="9" s="1"/>
  <c r="F411" i="9"/>
  <c r="C572" i="9"/>
  <c r="N96" i="5"/>
  <c r="D572" i="9" s="1"/>
  <c r="K96" i="5"/>
  <c r="G413" i="9" s="1"/>
  <c r="F413" i="9"/>
  <c r="C574" i="9"/>
  <c r="N98" i="5"/>
  <c r="D574" i="9" s="1"/>
  <c r="K98" i="5"/>
  <c r="G415" i="9" s="1"/>
  <c r="F415" i="9"/>
  <c r="C576" i="9"/>
  <c r="N100" i="5"/>
  <c r="D576" i="9" s="1"/>
  <c r="K100" i="5"/>
  <c r="G417" i="9" s="1"/>
  <c r="F417" i="9"/>
  <c r="C578" i="9"/>
  <c r="N102" i="5"/>
  <c r="D578" i="9" s="1"/>
  <c r="K102" i="5"/>
  <c r="G419" i="9" s="1"/>
  <c r="F419" i="9"/>
  <c r="C580" i="9"/>
  <c r="N104" i="5"/>
  <c r="D580" i="9" s="1"/>
  <c r="K104" i="5"/>
  <c r="G421" i="9" s="1"/>
  <c r="F421" i="9"/>
  <c r="Q104" i="5"/>
  <c r="G580" i="9" s="1"/>
  <c r="F580" i="9"/>
  <c r="C582" i="9"/>
  <c r="N106" i="5"/>
  <c r="D582" i="9" s="1"/>
  <c r="K106" i="5"/>
  <c r="G423" i="9" s="1"/>
  <c r="F423" i="9"/>
  <c r="Q106" i="5"/>
  <c r="G582" i="9" s="1"/>
  <c r="F582" i="9"/>
  <c r="C584" i="9"/>
  <c r="N108" i="5"/>
  <c r="D584" i="9" s="1"/>
  <c r="K108" i="5"/>
  <c r="G425" i="9" s="1"/>
  <c r="F425" i="9"/>
  <c r="Q108" i="5"/>
  <c r="G584" i="9" s="1"/>
  <c r="F584" i="9"/>
  <c r="C592" i="9"/>
  <c r="N110" i="5"/>
  <c r="D592" i="9" s="1"/>
  <c r="K110" i="5"/>
  <c r="G433" i="9" s="1"/>
  <c r="F433" i="9"/>
  <c r="Q110" i="5"/>
  <c r="G592" i="9" s="1"/>
  <c r="F592" i="9"/>
  <c r="C594" i="9"/>
  <c r="N112" i="5"/>
  <c r="D594" i="9" s="1"/>
  <c r="K112" i="5"/>
  <c r="G435" i="9" s="1"/>
  <c r="F435" i="9"/>
  <c r="Q112" i="5"/>
  <c r="G594" i="9" s="1"/>
  <c r="F594" i="9"/>
  <c r="C596" i="9"/>
  <c r="N114" i="5"/>
  <c r="D596" i="9" s="1"/>
  <c r="K114" i="5"/>
  <c r="G437" i="9" s="1"/>
  <c r="F437" i="9"/>
  <c r="Q114" i="5"/>
  <c r="G596" i="9" s="1"/>
  <c r="F596" i="9"/>
  <c r="C598" i="9"/>
  <c r="N116" i="5"/>
  <c r="D598" i="9" s="1"/>
  <c r="K116" i="5"/>
  <c r="G439" i="9" s="1"/>
  <c r="F439" i="9"/>
  <c r="Q116" i="5"/>
  <c r="G598" i="9" s="1"/>
  <c r="F598" i="9"/>
  <c r="C600" i="9"/>
  <c r="N118" i="5"/>
  <c r="D600" i="9" s="1"/>
  <c r="K118" i="5"/>
  <c r="G441" i="9" s="1"/>
  <c r="F441" i="9"/>
  <c r="Q118" i="5"/>
  <c r="G600" i="9" s="1"/>
  <c r="F600" i="9"/>
  <c r="C602" i="9"/>
  <c r="N120" i="5"/>
  <c r="D602" i="9" s="1"/>
  <c r="K120" i="5"/>
  <c r="G443" i="9" s="1"/>
  <c r="F443" i="9"/>
  <c r="Q120" i="5"/>
  <c r="G602" i="9" s="1"/>
  <c r="F602" i="9"/>
  <c r="C604" i="9"/>
  <c r="N122" i="5"/>
  <c r="D604" i="9" s="1"/>
  <c r="K122" i="5"/>
  <c r="G445" i="9" s="1"/>
  <c r="F445" i="9"/>
  <c r="Q122" i="5"/>
  <c r="G604" i="9" s="1"/>
  <c r="F604" i="9"/>
  <c r="C606" i="9"/>
  <c r="N124" i="5"/>
  <c r="D606" i="9" s="1"/>
  <c r="K124" i="5"/>
  <c r="G447" i="9" s="1"/>
  <c r="F447" i="9"/>
  <c r="Q124" i="5"/>
  <c r="G606" i="9" s="1"/>
  <c r="F606" i="9"/>
  <c r="C608" i="9"/>
  <c r="N126" i="5"/>
  <c r="D608" i="9" s="1"/>
  <c r="K126" i="5"/>
  <c r="G449" i="9" s="1"/>
  <c r="F449" i="9"/>
  <c r="Q126" i="5"/>
  <c r="G608" i="9" s="1"/>
  <c r="F608" i="9"/>
  <c r="C610" i="9"/>
  <c r="N128" i="5"/>
  <c r="D610" i="9" s="1"/>
  <c r="K128" i="5"/>
  <c r="G451" i="9" s="1"/>
  <c r="F451" i="9"/>
  <c r="Q128" i="5"/>
  <c r="G610" i="9" s="1"/>
  <c r="F610" i="9"/>
  <c r="C612" i="9"/>
  <c r="N130" i="5"/>
  <c r="D612" i="9" s="1"/>
  <c r="K130" i="5"/>
  <c r="G453" i="9" s="1"/>
  <c r="F453" i="9"/>
  <c r="Q130" i="5"/>
  <c r="G612" i="9" s="1"/>
  <c r="F612" i="9"/>
  <c r="C614" i="9"/>
  <c r="N132" i="5"/>
  <c r="D614" i="9" s="1"/>
  <c r="K132" i="5"/>
  <c r="G455" i="9" s="1"/>
  <c r="F455" i="9"/>
  <c r="Q132" i="5"/>
  <c r="G614" i="9" s="1"/>
  <c r="F614" i="9"/>
  <c r="C616" i="9"/>
  <c r="N134" i="5"/>
  <c r="D616" i="9" s="1"/>
  <c r="K134" i="5"/>
  <c r="G457" i="9" s="1"/>
  <c r="F457" i="9"/>
  <c r="Q134" i="5"/>
  <c r="G616" i="9" s="1"/>
  <c r="F616" i="9"/>
  <c r="C618" i="9"/>
  <c r="N136" i="5"/>
  <c r="D618" i="9" s="1"/>
  <c r="K136" i="5"/>
  <c r="G459" i="9" s="1"/>
  <c r="F459" i="9"/>
  <c r="Q136" i="5"/>
  <c r="G618" i="9" s="1"/>
  <c r="F618" i="9"/>
  <c r="C620" i="9"/>
  <c r="N138" i="5"/>
  <c r="D620" i="9" s="1"/>
  <c r="K138" i="5"/>
  <c r="G461" i="9" s="1"/>
  <c r="F461" i="9"/>
  <c r="Q138" i="5"/>
  <c r="G620" i="9" s="1"/>
  <c r="F620" i="9"/>
  <c r="C462" i="9"/>
  <c r="H139" i="5"/>
  <c r="D462" i="9" s="1"/>
  <c r="N139" i="5"/>
  <c r="D621" i="9" s="1"/>
  <c r="C621" i="9"/>
  <c r="C464" i="9"/>
  <c r="H141" i="5"/>
  <c r="D464" i="9" s="1"/>
  <c r="N141" i="5"/>
  <c r="D623" i="9" s="1"/>
  <c r="C623" i="9"/>
  <c r="C466" i="9"/>
  <c r="H143" i="5"/>
  <c r="D466" i="9" s="1"/>
  <c r="N143" i="5"/>
  <c r="D625" i="9" s="1"/>
  <c r="C625" i="9"/>
  <c r="C470" i="9"/>
  <c r="H147" i="5"/>
  <c r="D470" i="9" s="1"/>
  <c r="N147" i="5"/>
  <c r="D629" i="9" s="1"/>
  <c r="C629" i="9"/>
  <c r="C406" i="9"/>
  <c r="H89" i="5"/>
  <c r="D406" i="9" s="1"/>
  <c r="K91" i="5"/>
  <c r="G408" i="9" s="1"/>
  <c r="F408" i="9"/>
  <c r="Q91" i="5"/>
  <c r="G567" i="9" s="1"/>
  <c r="F567" i="9"/>
  <c r="K93" i="5"/>
  <c r="G410" i="9" s="1"/>
  <c r="F410" i="9"/>
  <c r="N93" i="5"/>
  <c r="D569" i="9" s="1"/>
  <c r="C569" i="9"/>
  <c r="Q95" i="5"/>
  <c r="G571" i="9" s="1"/>
  <c r="F571" i="9"/>
  <c r="K97" i="5"/>
  <c r="G414" i="9" s="1"/>
  <c r="F414" i="9"/>
  <c r="Q97" i="5"/>
  <c r="G573" i="9" s="1"/>
  <c r="F573" i="9"/>
  <c r="K99" i="5"/>
  <c r="G416" i="9" s="1"/>
  <c r="F416" i="9"/>
  <c r="N99" i="5"/>
  <c r="D575" i="9" s="1"/>
  <c r="C575" i="9"/>
  <c r="Q99" i="5"/>
  <c r="G575" i="9" s="1"/>
  <c r="F575" i="9"/>
  <c r="K101" i="5"/>
  <c r="G418" i="9" s="1"/>
  <c r="F418" i="9"/>
  <c r="N101" i="5"/>
  <c r="D577" i="9" s="1"/>
  <c r="C577" i="9"/>
  <c r="Q101" i="5"/>
  <c r="G577" i="9" s="1"/>
  <c r="F577" i="9"/>
  <c r="K103" i="5"/>
  <c r="G420" i="9" s="1"/>
  <c r="F420" i="9"/>
  <c r="N103" i="5"/>
  <c r="D579" i="9" s="1"/>
  <c r="C579" i="9"/>
  <c r="K105" i="5"/>
  <c r="G422" i="9" s="1"/>
  <c r="F422" i="9"/>
  <c r="N105" i="5"/>
  <c r="D581" i="9" s="1"/>
  <c r="C581" i="9"/>
  <c r="K107" i="5"/>
  <c r="G424" i="9" s="1"/>
  <c r="F424" i="9"/>
  <c r="N107" i="5"/>
  <c r="D583" i="9" s="1"/>
  <c r="C583" i="9"/>
  <c r="K109" i="5"/>
  <c r="G426" i="9" s="1"/>
  <c r="F426" i="9"/>
  <c r="N109" i="5"/>
  <c r="D585" i="9" s="1"/>
  <c r="C585" i="9"/>
  <c r="K111" i="5"/>
  <c r="G434" i="9" s="1"/>
  <c r="F434" i="9"/>
  <c r="N111" i="5"/>
  <c r="D593" i="9" s="1"/>
  <c r="C593" i="9"/>
  <c r="K113" i="5"/>
  <c r="G436" i="9" s="1"/>
  <c r="F436" i="9"/>
  <c r="N113" i="5"/>
  <c r="D595" i="9" s="1"/>
  <c r="C595" i="9"/>
  <c r="K115" i="5"/>
  <c r="G438" i="9" s="1"/>
  <c r="F438" i="9"/>
  <c r="N115" i="5"/>
  <c r="D597" i="9" s="1"/>
  <c r="C597" i="9"/>
  <c r="K117" i="5"/>
  <c r="G440" i="9" s="1"/>
  <c r="F440" i="9"/>
  <c r="N117" i="5"/>
  <c r="D599" i="9" s="1"/>
  <c r="C599" i="9"/>
  <c r="K119" i="5"/>
  <c r="G442" i="9" s="1"/>
  <c r="F442" i="9"/>
  <c r="N119" i="5"/>
  <c r="D601" i="9" s="1"/>
  <c r="C601" i="9"/>
  <c r="K121" i="5"/>
  <c r="G444" i="9" s="1"/>
  <c r="F444" i="9"/>
  <c r="N121" i="5"/>
  <c r="D603" i="9" s="1"/>
  <c r="C603" i="9"/>
  <c r="K123" i="5"/>
  <c r="G446" i="9" s="1"/>
  <c r="F446" i="9"/>
  <c r="N123" i="5"/>
  <c r="D605" i="9" s="1"/>
  <c r="C605" i="9"/>
  <c r="K125" i="5"/>
  <c r="G448" i="9" s="1"/>
  <c r="F448" i="9"/>
  <c r="N125" i="5"/>
  <c r="D607" i="9" s="1"/>
  <c r="C607" i="9"/>
  <c r="K127" i="5"/>
  <c r="G450" i="9" s="1"/>
  <c r="F450" i="9"/>
  <c r="Q127" i="5"/>
  <c r="G609" i="9" s="1"/>
  <c r="F609" i="9"/>
  <c r="K129" i="5"/>
  <c r="G452" i="9" s="1"/>
  <c r="F452" i="9"/>
  <c r="Q129" i="5"/>
  <c r="G611" i="9" s="1"/>
  <c r="F611" i="9"/>
  <c r="K131" i="5"/>
  <c r="G454" i="9" s="1"/>
  <c r="F454" i="9"/>
  <c r="Q131" i="5"/>
  <c r="G613" i="9" s="1"/>
  <c r="F613" i="9"/>
  <c r="K133" i="5"/>
  <c r="G456" i="9" s="1"/>
  <c r="F456" i="9"/>
  <c r="Q133" i="5"/>
  <c r="G615" i="9" s="1"/>
  <c r="F615" i="9"/>
  <c r="K135" i="5"/>
  <c r="G458" i="9" s="1"/>
  <c r="F458" i="9"/>
  <c r="Q135" i="5"/>
  <c r="G617" i="9" s="1"/>
  <c r="F617" i="9"/>
  <c r="K137" i="5"/>
  <c r="G460" i="9" s="1"/>
  <c r="F460" i="9"/>
  <c r="Q137" i="5"/>
  <c r="G619" i="9" s="1"/>
  <c r="F619" i="9"/>
  <c r="K140" i="5"/>
  <c r="G463" i="9" s="1"/>
  <c r="F463" i="9"/>
  <c r="Q140" i="5"/>
  <c r="G622" i="9" s="1"/>
  <c r="F622" i="9"/>
  <c r="K142" i="5"/>
  <c r="G465" i="9" s="1"/>
  <c r="F465" i="9"/>
  <c r="Q142" i="5"/>
  <c r="G624" i="9" s="1"/>
  <c r="F624" i="9"/>
  <c r="K144" i="5"/>
  <c r="G467" i="9" s="1"/>
  <c r="F467" i="9"/>
  <c r="Q144" i="5"/>
  <c r="G626" i="9" s="1"/>
  <c r="F626" i="9"/>
  <c r="K146" i="5"/>
  <c r="G469" i="9" s="1"/>
  <c r="F469" i="9"/>
  <c r="Q146" i="5"/>
  <c r="G628" i="9" s="1"/>
  <c r="F628" i="9"/>
  <c r="K148" i="5"/>
  <c r="G471" i="9" s="1"/>
  <c r="F471" i="9"/>
  <c r="Q148" i="5"/>
  <c r="G630" i="9" s="1"/>
  <c r="F630" i="9"/>
  <c r="K145" i="5"/>
  <c r="G468" i="9" s="1"/>
  <c r="F468" i="9"/>
  <c r="Q145" i="5"/>
  <c r="G627" i="9" s="1"/>
  <c r="F627" i="9"/>
  <c r="K149" i="5"/>
  <c r="G472" i="9" s="1"/>
  <c r="F472" i="9"/>
  <c r="Q149" i="5"/>
  <c r="G631" i="9" s="1"/>
  <c r="F631" i="9"/>
  <c r="H88" i="5"/>
  <c r="D405" i="9" s="1"/>
  <c r="C405" i="9"/>
  <c r="H90" i="5"/>
  <c r="D407" i="9" s="1"/>
  <c r="C407" i="9"/>
  <c r="Q90" i="5"/>
  <c r="G566" i="9" s="1"/>
  <c r="F566" i="9"/>
  <c r="H92" i="5"/>
  <c r="D409" i="9" s="1"/>
  <c r="C409" i="9"/>
  <c r="Q92" i="5"/>
  <c r="G568" i="9" s="1"/>
  <c r="F568" i="9"/>
  <c r="H94" i="5"/>
  <c r="D411" i="9" s="1"/>
  <c r="C411" i="9"/>
  <c r="Q94" i="5"/>
  <c r="G570" i="9" s="1"/>
  <c r="F570" i="9"/>
  <c r="H96" i="5"/>
  <c r="D413" i="9" s="1"/>
  <c r="C413" i="9"/>
  <c r="Q96" i="5"/>
  <c r="G572" i="9" s="1"/>
  <c r="F572" i="9"/>
  <c r="H98" i="5"/>
  <c r="D415" i="9" s="1"/>
  <c r="C415" i="9"/>
  <c r="Q98" i="5"/>
  <c r="G574" i="9" s="1"/>
  <c r="F574" i="9"/>
  <c r="H100" i="5"/>
  <c r="D417" i="9" s="1"/>
  <c r="C417" i="9"/>
  <c r="Q100" i="5"/>
  <c r="G576" i="9" s="1"/>
  <c r="F576" i="9"/>
  <c r="H102" i="5"/>
  <c r="D419" i="9" s="1"/>
  <c r="C419" i="9"/>
  <c r="Q102" i="5"/>
  <c r="G578" i="9" s="1"/>
  <c r="F578" i="9"/>
  <c r="H104" i="5"/>
  <c r="D421" i="9" s="1"/>
  <c r="C421" i="9"/>
  <c r="H106" i="5"/>
  <c r="D423" i="9" s="1"/>
  <c r="C423" i="9"/>
  <c r="H108" i="5"/>
  <c r="D425" i="9" s="1"/>
  <c r="C425" i="9"/>
  <c r="H110" i="5"/>
  <c r="D433" i="9" s="1"/>
  <c r="C433" i="9"/>
  <c r="H112" i="5"/>
  <c r="D435" i="9" s="1"/>
  <c r="C435" i="9"/>
  <c r="H114" i="5"/>
  <c r="D437" i="9" s="1"/>
  <c r="C437" i="9"/>
  <c r="H116" i="5"/>
  <c r="D439" i="9" s="1"/>
  <c r="C439" i="9"/>
  <c r="H118" i="5"/>
  <c r="D441" i="9" s="1"/>
  <c r="C441" i="9"/>
  <c r="H120" i="5"/>
  <c r="D443" i="9" s="1"/>
  <c r="C443" i="9"/>
  <c r="H122" i="5"/>
  <c r="D445" i="9" s="1"/>
  <c r="C445" i="9"/>
  <c r="H124" i="5"/>
  <c r="D447" i="9" s="1"/>
  <c r="C447" i="9"/>
  <c r="H126" i="5"/>
  <c r="D449" i="9" s="1"/>
  <c r="C449" i="9"/>
  <c r="H128" i="5"/>
  <c r="D451" i="9" s="1"/>
  <c r="C451" i="9"/>
  <c r="H130" i="5"/>
  <c r="D453" i="9" s="1"/>
  <c r="C453" i="9"/>
  <c r="H132" i="5"/>
  <c r="D455" i="9" s="1"/>
  <c r="C455" i="9"/>
  <c r="H134" i="5"/>
  <c r="D457" i="9" s="1"/>
  <c r="C457" i="9"/>
  <c r="H136" i="5"/>
  <c r="D459" i="9" s="1"/>
  <c r="C459" i="9"/>
  <c r="H138" i="5"/>
  <c r="D461" i="9" s="1"/>
  <c r="C461" i="9"/>
  <c r="K139" i="5"/>
  <c r="G462" i="9" s="1"/>
  <c r="F462" i="9"/>
  <c r="Q139" i="5"/>
  <c r="G621" i="9" s="1"/>
  <c r="F621" i="9"/>
  <c r="K141" i="5"/>
  <c r="G464" i="9" s="1"/>
  <c r="F464" i="9"/>
  <c r="Q141" i="5"/>
  <c r="G623" i="9" s="1"/>
  <c r="F623" i="9"/>
  <c r="K143" i="5"/>
  <c r="G466" i="9" s="1"/>
  <c r="F466" i="9"/>
  <c r="Q143" i="5"/>
  <c r="G625" i="9" s="1"/>
  <c r="F625" i="9"/>
  <c r="K147" i="5"/>
  <c r="G470" i="9" s="1"/>
  <c r="F470" i="9"/>
  <c r="Q147" i="5"/>
  <c r="G629" i="9" s="1"/>
  <c r="F629" i="9"/>
  <c r="D86" i="5" l="1"/>
  <c r="D172" i="9" s="1"/>
  <c r="F101" i="4"/>
  <c r="E86" i="5"/>
  <c r="E172" i="9" s="1"/>
  <c r="D87" i="5" l="1"/>
  <c r="D173" i="9" s="1"/>
  <c r="F102" i="4"/>
  <c r="D18" i="4" s="1"/>
  <c r="D19" i="4" s="1"/>
  <c r="E87" i="5"/>
  <c r="E173" i="9" s="1"/>
  <c r="D88" i="5" l="1"/>
  <c r="D174" i="9" s="1"/>
  <c r="E88" i="5"/>
  <c r="D89" i="5"/>
  <c r="D90" i="5" s="1"/>
  <c r="D91" i="5" s="1"/>
  <c r="D92" i="5" s="1"/>
  <c r="D93" i="5" s="1"/>
  <c r="D94" i="5" s="1"/>
  <c r="D95" i="5" s="1"/>
  <c r="D96" i="5" s="1"/>
  <c r="D97" i="5" s="1"/>
  <c r="D98" i="5" s="1"/>
  <c r="D99" i="5" s="1"/>
  <c r="D100" i="5" s="1"/>
  <c r="D101" i="5" s="1"/>
  <c r="D102" i="5" s="1"/>
  <c r="D103" i="5" s="1"/>
  <c r="D104" i="5" s="1"/>
  <c r="D105" i="5" s="1"/>
  <c r="D106" i="5" s="1"/>
  <c r="D107" i="5" s="1"/>
  <c r="D108" i="5" s="1"/>
  <c r="D109" i="5" s="1"/>
  <c r="D110" i="5" s="1"/>
  <c r="D111" i="5" s="1"/>
  <c r="D112" i="5" s="1"/>
  <c r="D113" i="5" s="1"/>
  <c r="D114" i="5" s="1"/>
  <c r="D115" i="5" s="1"/>
  <c r="D116" i="5" s="1"/>
  <c r="D117" i="5" s="1"/>
  <c r="D118" i="5" s="1"/>
  <c r="D119" i="5" s="1"/>
  <c r="D120" i="5" s="1"/>
  <c r="D121" i="5" s="1"/>
  <c r="D122" i="5" s="1"/>
  <c r="D123" i="5" s="1"/>
  <c r="D124" i="5" s="1"/>
  <c r="D125" i="5" s="1"/>
  <c r="D126" i="5" s="1"/>
  <c r="D127" i="5" s="1"/>
  <c r="D128" i="5" s="1"/>
  <c r="D129" i="5" s="1"/>
  <c r="D130" i="5" s="1"/>
  <c r="D131" i="5" s="1"/>
  <c r="D132" i="5" s="1"/>
  <c r="D133" i="5" s="1"/>
  <c r="D134" i="5" s="1"/>
  <c r="D135" i="5" s="1"/>
  <c r="D136" i="5" s="1"/>
  <c r="D137" i="5" s="1"/>
  <c r="D138" i="5" s="1"/>
  <c r="D139" i="5" s="1"/>
  <c r="D140" i="5" s="1"/>
  <c r="D141" i="5" s="1"/>
  <c r="D142" i="5" s="1"/>
  <c r="D143" i="5" s="1"/>
  <c r="D144" i="5" s="1"/>
  <c r="D145" i="5" s="1"/>
  <c r="D146" i="5" s="1"/>
  <c r="D147" i="5" s="1"/>
  <c r="D148" i="5" s="1"/>
  <c r="D149" i="5" s="1"/>
  <c r="E174" i="9" l="1"/>
  <c r="E89" i="5"/>
  <c r="E90" i="5" s="1"/>
  <c r="E91" i="5" s="1"/>
  <c r="E92" i="5" s="1"/>
  <c r="E93" i="5" s="1"/>
  <c r="E94" i="5" s="1"/>
  <c r="E95" i="5" s="1"/>
  <c r="E96" i="5" s="1"/>
  <c r="E97" i="5" s="1"/>
  <c r="E98" i="5" s="1"/>
  <c r="E99" i="5" s="1"/>
  <c r="E100" i="5" s="1"/>
  <c r="E101" i="5" s="1"/>
  <c r="E102" i="5" s="1"/>
  <c r="E103" i="5" s="1"/>
  <c r="E104" i="5" s="1"/>
  <c r="E105" i="5" s="1"/>
  <c r="E106" i="5" s="1"/>
  <c r="E107" i="5" s="1"/>
  <c r="E108" i="5" s="1"/>
  <c r="E109" i="5" s="1"/>
  <c r="E110" i="5" s="1"/>
  <c r="E111" i="5" s="1"/>
  <c r="E112" i="5" s="1"/>
  <c r="E113" i="5" s="1"/>
  <c r="E114" i="5" s="1"/>
  <c r="E115" i="5" s="1"/>
  <c r="E116" i="5" s="1"/>
  <c r="E117" i="5" s="1"/>
  <c r="E118" i="5" s="1"/>
  <c r="E119" i="5" s="1"/>
  <c r="E120" i="5" s="1"/>
  <c r="E121" i="5" s="1"/>
  <c r="E122" i="5" s="1"/>
  <c r="E123" i="5" s="1"/>
  <c r="E124" i="5" s="1"/>
  <c r="E125" i="5" s="1"/>
  <c r="E126" i="5" s="1"/>
  <c r="E127" i="5" s="1"/>
  <c r="E128" i="5" s="1"/>
  <c r="E129" i="5" s="1"/>
  <c r="E130" i="5" s="1"/>
  <c r="E131" i="5" s="1"/>
  <c r="E132" i="5" s="1"/>
  <c r="E133" i="5" s="1"/>
  <c r="E134" i="5" s="1"/>
  <c r="E135" i="5" s="1"/>
  <c r="E136" i="5" s="1"/>
  <c r="E137" i="5" s="1"/>
  <c r="E138" i="5" s="1"/>
  <c r="E139" i="5" s="1"/>
  <c r="E140" i="5" s="1"/>
  <c r="E141" i="5" s="1"/>
  <c r="E142" i="5" s="1"/>
  <c r="E143" i="5" s="1"/>
  <c r="E144" i="5" s="1"/>
  <c r="E145" i="5" s="1"/>
  <c r="E146" i="5" s="1"/>
  <c r="E147" i="5" s="1"/>
  <c r="E148" i="5" s="1"/>
  <c r="E149" i="5" s="1"/>
</calcChain>
</file>

<file path=xl/sharedStrings.xml><?xml version="1.0" encoding="utf-8"?>
<sst xmlns="http://schemas.openxmlformats.org/spreadsheetml/2006/main" count="998" uniqueCount="361">
  <si>
    <t>Summary Report</t>
  </si>
  <si>
    <t xml:space="preserve">Landfill Name or Identifier: </t>
  </si>
  <si>
    <t xml:space="preserve">Date: </t>
  </si>
  <si>
    <t>Landfill Open Year</t>
  </si>
  <si>
    <t>Landfill Closure Year</t>
  </si>
  <si>
    <t>Year</t>
  </si>
  <si>
    <t>Waste Design Capacity</t>
  </si>
  <si>
    <t>DEFAULTS</t>
  </si>
  <si>
    <t>Carbon dioxide content</t>
  </si>
  <si>
    <t>Default</t>
  </si>
  <si>
    <t>Compound</t>
  </si>
  <si>
    <t>Molecular Weight</t>
  </si>
  <si>
    <t>ppmv</t>
  </si>
  <si>
    <t>Acetone</t>
  </si>
  <si>
    <t>Carbon monoxide</t>
  </si>
  <si>
    <t>Chlorodifluoromethane</t>
  </si>
  <si>
    <t>Dichlorodifluoromethane</t>
  </si>
  <si>
    <t>Ethane</t>
  </si>
  <si>
    <t>Hydrogen sulfide</t>
  </si>
  <si>
    <t>Notes</t>
  </si>
  <si>
    <t>A</t>
  </si>
  <si>
    <t>A.  Hazardous air pollutants (HAP) listed in Title III of the 1990 Clean Air Act Amendments.</t>
  </si>
  <si>
    <t>A, B</t>
  </si>
  <si>
    <t>B</t>
  </si>
  <si>
    <t>B, C</t>
  </si>
  <si>
    <r>
      <t xml:space="preserve">Source:  Tables 2.4-1 and 2.4-2 of </t>
    </r>
    <r>
      <rPr>
        <i/>
        <sz val="10"/>
        <rFont val="Arial"/>
        <family val="2"/>
      </rPr>
      <t>Compilation of Air Pollutant Emission Factors, AP-42, Volume 1: Stationary Point and Area Sources</t>
    </r>
    <r>
      <rPr>
        <sz val="10"/>
        <rFont val="Arial"/>
      </rPr>
      <t>, 5th ed., Chapter 2.4 Municipal Solid Waste Landfills.  U.S. EPA, Office of Air Quality Planning and Standards.  Research Triangle Park, NC.  November 1998.  http://www.epa.gov/ttn/chief/ap42/ch02/final/c02s04.pdf</t>
    </r>
  </si>
  <si>
    <t>Model Parameters</t>
  </si>
  <si>
    <t>Methane Generation Rate, k:</t>
  </si>
  <si>
    <t>Methane &amp; Carbon Dioxide:</t>
  </si>
  <si>
    <t>User-specified</t>
  </si>
  <si>
    <t>%</t>
  </si>
  <si>
    <t>USER INPUTS</t>
  </si>
  <si>
    <r>
      <t>Potential Methane Generation Capacity, L</t>
    </r>
    <r>
      <rPr>
        <b/>
        <i/>
        <vertAlign val="subscript"/>
        <sz val="10"/>
        <rFont val="Arial"/>
        <family val="2"/>
      </rPr>
      <t>o</t>
    </r>
  </si>
  <si>
    <t>Mg/year</t>
  </si>
  <si>
    <r>
      <t>Methane Generation Rate, k (</t>
    </r>
    <r>
      <rPr>
        <b/>
        <i/>
        <sz val="10"/>
        <rFont val="Arial"/>
        <family val="2"/>
      </rPr>
      <t>year</t>
    </r>
    <r>
      <rPr>
        <b/>
        <i/>
        <vertAlign val="superscript"/>
        <sz val="10"/>
        <rFont val="Arial"/>
        <family val="2"/>
      </rPr>
      <t>-1</t>
    </r>
    <r>
      <rPr>
        <b/>
        <sz val="10"/>
        <rFont val="Arial"/>
        <family val="2"/>
      </rPr>
      <t>)</t>
    </r>
  </si>
  <si>
    <t>Have Model Calculate Closure Year?</t>
  </si>
  <si>
    <t>Input Units</t>
  </si>
  <si>
    <t>Calculated Units</t>
  </si>
  <si>
    <t>Input Units:</t>
  </si>
  <si>
    <t>Constants:</t>
  </si>
  <si>
    <t>Pounds per gram =</t>
  </si>
  <si>
    <t>YEAR</t>
  </si>
  <si>
    <t>WASTE</t>
  </si>
  <si>
    <t>Methane</t>
  </si>
  <si>
    <t>Carbon dioxide</t>
  </si>
  <si>
    <t>Total landfill gas</t>
  </si>
  <si>
    <t>Gas / Pollutant #1</t>
  </si>
  <si>
    <t>Gas / Pollutant #2</t>
  </si>
  <si>
    <t>Gas / Pollutant #4</t>
  </si>
  <si>
    <t>Gas / Pollutant #3</t>
  </si>
  <si>
    <t>(Mg/year)</t>
  </si>
  <si>
    <t>EMISSIONS</t>
  </si>
  <si>
    <t>Methane Emissions</t>
  </si>
  <si>
    <t>Waste-In-Place</t>
  </si>
  <si>
    <t>Waste Accepted</t>
  </si>
  <si>
    <t>METHANE</t>
  </si>
  <si>
    <t>Where,</t>
  </si>
  <si>
    <t>Waste Acceptance</t>
  </si>
  <si>
    <t>Emission Rate Units:</t>
  </si>
  <si>
    <t>RESULTS</t>
  </si>
  <si>
    <t>NMOC</t>
  </si>
  <si>
    <t>Ideal Gas Law Calculation:</t>
  </si>
  <si>
    <t>Standard temperature (K) =</t>
  </si>
  <si>
    <t>Standard pressure (kPa) =</t>
  </si>
  <si>
    <t>Gases</t>
  </si>
  <si>
    <t>Pollutants</t>
  </si>
  <si>
    <t>Molecular Weight 1 (kg/kmol) =</t>
  </si>
  <si>
    <t>Molecular Weight 2 (kg/kmol) =</t>
  </si>
  <si>
    <t>Molecular Weight 3 (kg/kmol) =</t>
  </si>
  <si>
    <t>Molecular Weight 4 (kg/kmol) =</t>
  </si>
  <si>
    <t>m = (M * p * V) / (R * T)</t>
  </si>
  <si>
    <t>p = standard pressure</t>
  </si>
  <si>
    <t>M = molecular weight</t>
  </si>
  <si>
    <t>R = gas constant</t>
  </si>
  <si>
    <t>T = temperature</t>
  </si>
  <si>
    <t>m = mass emission rate (Mg/year)</t>
  </si>
  <si>
    <t>Cubic feet per cubic meter =</t>
  </si>
  <si>
    <t>Minutes per year =</t>
  </si>
  <si>
    <r>
      <t>year</t>
    </r>
    <r>
      <rPr>
        <i/>
        <vertAlign val="superscript"/>
        <sz val="10"/>
        <rFont val="Arial"/>
        <family val="2"/>
      </rPr>
      <t>-1</t>
    </r>
  </si>
  <si>
    <t>Please choose a third unit of measure to represent all of the emission rates below.</t>
  </si>
  <si>
    <t>k =</t>
  </si>
  <si>
    <t>Model Parameters from User Inputs:</t>
  </si>
  <si>
    <t>Methane =</t>
  </si>
  <si>
    <t>User-specified Unit:</t>
  </si>
  <si>
    <t>Waste Capacity Units:</t>
  </si>
  <si>
    <t>Acceptance Rate Units:</t>
  </si>
  <si>
    <t>1,1,1-Trichloroethane (methyl chloroform) - HAP</t>
  </si>
  <si>
    <t>1,1,2,2-Tetrachloroethane - HAP/VOC</t>
  </si>
  <si>
    <t>1,1-Dichloroethane (ethylidene dichloride) - HAP/VOC</t>
  </si>
  <si>
    <t>1,1-Dichloroethene (vinylidene chloride) - HAP/VOC</t>
  </si>
  <si>
    <t>1,2-Dichloroethane (ethylene dichloride) - HAP/VOC</t>
  </si>
  <si>
    <t>1,2-Dichloropropane (propylene dichloride) - HAP/VOC</t>
  </si>
  <si>
    <t>2-Propanol (isopropyl alcohol) - VOC</t>
  </si>
  <si>
    <t>Acrylonitrile - HAP/VOC</t>
  </si>
  <si>
    <t>Bromodichloromethane - VOC</t>
  </si>
  <si>
    <t>Butane - VOC</t>
  </si>
  <si>
    <t>Carbon disulfide - HAP/VOC</t>
  </si>
  <si>
    <t>Carbon tetrachloride - HAP/VOC</t>
  </si>
  <si>
    <t>Carbonyl sulfide - HAP/VOC</t>
  </si>
  <si>
    <t>Chlorobenzene - HAP/VOC</t>
  </si>
  <si>
    <t>Chloroethane (ethyl chloride) - HAP/VOC</t>
  </si>
  <si>
    <t>Chloroform - HAP/VOC</t>
  </si>
  <si>
    <t>Chloromethane - VOC</t>
  </si>
  <si>
    <t>Dichlorobenzene - (HAP for para isomer/VOC)</t>
  </si>
  <si>
    <t>Dichlorofluoromethane - VOC</t>
  </si>
  <si>
    <t>Dichloromethane (methylene chloride) - HAP</t>
  </si>
  <si>
    <t>Dimethyl sulfide (methyl sulfide) - VOC</t>
  </si>
  <si>
    <t>Ethanol - VOC</t>
  </si>
  <si>
    <t>Ethyl mercaptan (ethanethiol) - VOC</t>
  </si>
  <si>
    <t>Ethylbenzene - HAP/VOC</t>
  </si>
  <si>
    <t>Ethylene dibromide - HAP/VOC</t>
  </si>
  <si>
    <t>Fluorotrichloromethane - VOC</t>
  </si>
  <si>
    <t>Hexane - HAP/VOC</t>
  </si>
  <si>
    <t>Mercury (total) - HAP</t>
  </si>
  <si>
    <t>Methyl ethyl ketone - HAP/VOC</t>
  </si>
  <si>
    <t>Methyl isobutyl ketone - HAP/VOC</t>
  </si>
  <si>
    <t>Methyl mercaptan - VOC</t>
  </si>
  <si>
    <t>Pentane - VOC</t>
  </si>
  <si>
    <t>Perchloroethylene (tetrachloroethylene) - HAP</t>
  </si>
  <si>
    <t>Propane - VOC</t>
  </si>
  <si>
    <t>t-1,2-Dichloroethene - VOC</t>
  </si>
  <si>
    <t>Trichloroethylene (trichloroethene) - HAP/VOC</t>
  </si>
  <si>
    <t>Vinyl chloride - HAP/VOC</t>
  </si>
  <si>
    <t>Xylenes - HAP/VOC</t>
  </si>
  <si>
    <t>WASTE ADDED IN YEAR 1</t>
  </si>
  <si>
    <t>WASTE ADDED IN YEAR 2</t>
  </si>
  <si>
    <t>WASTE ADDED IN YEAR 3</t>
  </si>
  <si>
    <t>WASTE ADDED IN YEAR 4</t>
  </si>
  <si>
    <t>WASTE ADDED IN YEAR 5</t>
  </si>
  <si>
    <t>WASTE ADDED IN YEAR 6</t>
  </si>
  <si>
    <t>WASTE ADDED IN YEAR 7</t>
  </si>
  <si>
    <t>WASTE ADDED IN YEAR 8</t>
  </si>
  <si>
    <t>WASTE ADDED IN YEAR 9</t>
  </si>
  <si>
    <t>WASTE ADDED IN YEAR 10</t>
  </si>
  <si>
    <t>WASTE ADDED IN YEAR 11</t>
  </si>
  <si>
    <t>WASTE ADDED IN YEAR 12</t>
  </si>
  <si>
    <t>WASTE ADDED IN YEAR 13</t>
  </si>
  <si>
    <t>WASTE ADDED IN YEAR 14</t>
  </si>
  <si>
    <t>WASTE ADDED IN YEAR 15</t>
  </si>
  <si>
    <t>WASTE ADDED IN YEAR 16</t>
  </si>
  <si>
    <t>WASTE ADDED IN YEAR 17</t>
  </si>
  <si>
    <t>WASTE ADDED IN YEAR 18</t>
  </si>
  <si>
    <t>WASTE ADDED IN YEAR 19</t>
  </si>
  <si>
    <t>WASTE ADDED IN YEAR 20</t>
  </si>
  <si>
    <t>WASTE ADDED IN YEAR 21</t>
  </si>
  <si>
    <t>WASTE ADDED IN YEAR 22</t>
  </si>
  <si>
    <t>WASTE ADDED IN YEAR 23</t>
  </si>
  <si>
    <t>WASTE ADDED IN YEAR 24</t>
  </si>
  <si>
    <t>WASTE ADDED IN YEAR 25</t>
  </si>
  <si>
    <t>WASTE ADDED IN YEAR 26</t>
  </si>
  <si>
    <t>WASTE ADDED IN YEAR 27</t>
  </si>
  <si>
    <t>WASTE ADDED IN YEAR 28</t>
  </si>
  <si>
    <t>WASTE ADDED IN YEAR 29</t>
  </si>
  <si>
    <t>WASTE ADDED IN YEAR 30</t>
  </si>
  <si>
    <t>WASTE ADDED IN YEAR 31</t>
  </si>
  <si>
    <t>WASTE ADDED IN YEAR 32</t>
  </si>
  <si>
    <t>WASTE ADDED IN YEAR 33</t>
  </si>
  <si>
    <t>WASTE ADDED IN YEAR 34</t>
  </si>
  <si>
    <t>WASTE ADDED IN YEAR 35</t>
  </si>
  <si>
    <t>WASTE ADDED IN YEAR 36</t>
  </si>
  <si>
    <t>WASTE ADDED IN YEAR 37</t>
  </si>
  <si>
    <t>WASTE ADDED IN YEAR 38</t>
  </si>
  <si>
    <t>WASTE ADDED IN YEAR 39</t>
  </si>
  <si>
    <t>WASTE ADDED IN YEAR 40</t>
  </si>
  <si>
    <r>
      <t>Methane Content (</t>
    </r>
    <r>
      <rPr>
        <b/>
        <i/>
        <sz val="10"/>
        <rFont val="Arial"/>
        <family val="2"/>
      </rPr>
      <t>% by volume</t>
    </r>
    <r>
      <rPr>
        <b/>
        <sz val="10"/>
        <rFont val="Arial"/>
        <family val="2"/>
      </rPr>
      <t>)</t>
    </r>
  </si>
  <si>
    <t>% by volume</t>
  </si>
  <si>
    <t>short tons</t>
  </si>
  <si>
    <t>short tons/year</t>
  </si>
  <si>
    <t>Pounds per short ton =</t>
  </si>
  <si>
    <t>(short tons/year)</t>
  </si>
  <si>
    <t>Landfill Name or Identifier:</t>
  </si>
  <si>
    <t>GRAPHS</t>
  </si>
  <si>
    <t>Description/Comments:</t>
  </si>
  <si>
    <t>INPUT REVIEW</t>
  </si>
  <si>
    <t>LANDFILL CHARACTERISTICS</t>
  </si>
  <si>
    <t>MODEL PARAMETERS</t>
  </si>
  <si>
    <t>Methane Generation Rate, k</t>
  </si>
  <si>
    <t>NMOC Concentration</t>
  </si>
  <si>
    <r>
      <t>Potential Methane Generation Capacity, L</t>
    </r>
    <r>
      <rPr>
        <vertAlign val="subscript"/>
        <sz val="10"/>
        <rFont val="Arial"/>
        <family val="2"/>
      </rPr>
      <t>o</t>
    </r>
  </si>
  <si>
    <t>Methane Content</t>
  </si>
  <si>
    <t>GASES / POLLUTANTS SELECTED</t>
  </si>
  <si>
    <t>WASTE ACCEPTANCE RATES</t>
  </si>
  <si>
    <r>
      <t>year</t>
    </r>
    <r>
      <rPr>
        <i/>
        <vertAlign val="superscript"/>
        <sz val="9"/>
        <rFont val="Arial"/>
        <family val="2"/>
      </rPr>
      <t>-1</t>
    </r>
  </si>
  <si>
    <r>
      <t>L</t>
    </r>
    <r>
      <rPr>
        <vertAlign val="subscript"/>
        <sz val="9"/>
        <rFont val="Arial"/>
        <family val="2"/>
      </rPr>
      <t>o</t>
    </r>
    <r>
      <rPr>
        <sz val="9"/>
        <rFont val="Arial"/>
        <family val="2"/>
      </rPr>
      <t xml:space="preserve"> = </t>
    </r>
  </si>
  <si>
    <t>When Model Calculates Closure Year…</t>
  </si>
  <si>
    <t>User Waste Acceptance Inputs</t>
  </si>
  <si>
    <t>User Waste-In-Place</t>
  </si>
  <si>
    <t>Worksheet Name</t>
  </si>
  <si>
    <t>Function</t>
  </si>
  <si>
    <t>IMPORTANT NOTES!</t>
  </si>
  <si>
    <t>Model Design:</t>
  </si>
  <si>
    <t>INTRODUCTION</t>
  </si>
  <si>
    <t>U.S. Environmental Protection Agency</t>
  </si>
  <si>
    <t>INTRO</t>
  </si>
  <si>
    <t>The following user inputs MUST be completed in the USER INPUTS worksheet:</t>
  </si>
  <si>
    <t>- Landfill open year</t>
  </si>
  <si>
    <t>- Landfill closure year or Waste design capacity</t>
  </si>
  <si>
    <t>About LandGEM:</t>
  </si>
  <si>
    <t>Other Important Notes:</t>
  </si>
  <si>
    <t>- Default pollutant concentrations used by LandGEM have already been corrected for air infiltration, as stated in AP-42. If a user-specified value for NMOC concentration is used based on site-specific data, then it must be corrected for air infiltration.</t>
  </si>
  <si>
    <r>
      <t>NMOC Concentration (</t>
    </r>
    <r>
      <rPr>
        <b/>
        <i/>
        <sz val="10"/>
        <rFont val="Arial"/>
        <family val="2"/>
      </rPr>
      <t>ppmv as hexane</t>
    </r>
    <r>
      <rPr>
        <b/>
        <sz val="10"/>
        <rFont val="Arial"/>
        <family val="2"/>
      </rPr>
      <t>)</t>
    </r>
  </si>
  <si>
    <t>NMOC Concentration (as hexane):</t>
  </si>
  <si>
    <t>ppmv as hexane</t>
  </si>
  <si>
    <t>B.  Considered volatile organic compounds (VOC), as defined by U.S. EPA in 40 CFR 51.100(s).</t>
  </si>
  <si>
    <t>C.  Source tests did not indicate whether this compound was the para- or ortho- isomer.  The para- isomer is a Title III-listed HAP.</t>
  </si>
  <si>
    <t>- Annual waste acceptance rates from open year to current year or closure year</t>
  </si>
  <si>
    <t>Gas / Pollutant #1:</t>
  </si>
  <si>
    <t>Gas / Pollutant #2:</t>
  </si>
  <si>
    <t>Gas / Pollutant #3:</t>
  </si>
  <si>
    <t>Gas / Pollutant #4:</t>
  </si>
  <si>
    <r>
      <t>k = methane generation rate (</t>
    </r>
    <r>
      <rPr>
        <i/>
        <sz val="9"/>
        <rFont val="Arial"/>
        <family val="2"/>
      </rPr>
      <t>year</t>
    </r>
    <r>
      <rPr>
        <i/>
        <vertAlign val="superscript"/>
        <sz val="9"/>
        <rFont val="Arial"/>
        <family val="2"/>
      </rPr>
      <t>-1</t>
    </r>
    <r>
      <rPr>
        <sz val="9"/>
        <rFont val="Arial"/>
        <family val="2"/>
      </rPr>
      <t>)</t>
    </r>
  </si>
  <si>
    <t>INVENTORY</t>
  </si>
  <si>
    <t>Enter year of emissions inventory:</t>
  </si>
  <si>
    <t>Gas / Pollutant</t>
  </si>
  <si>
    <t>Emission Rate</t>
  </si>
  <si>
    <t>http://www.epa.gov/ttnatw01/landfill/landflpg.html</t>
  </si>
  <si>
    <t>.</t>
  </si>
  <si>
    <t>Concentration</t>
  </si>
  <si>
    <t>Inventory Conventional - 0.04</t>
  </si>
  <si>
    <t>CAA Conventional - 0.05</t>
  </si>
  <si>
    <t>CAA Conventional - 170</t>
  </si>
  <si>
    <t>Inventory Conventional - 100</t>
  </si>
  <si>
    <t>Inventory Wet - 96</t>
  </si>
  <si>
    <t>Inventory Wet - 0.7</t>
  </si>
  <si>
    <t>CAA - 4,000</t>
  </si>
  <si>
    <t>Inventory No or Unknown Co-disposal - 600</t>
  </si>
  <si>
    <t>Inventory Co-disposal - 2,400</t>
  </si>
  <si>
    <t>CAA - 50% by volume</t>
  </si>
  <si>
    <t>- When using LandGEM to comply with the CAA, the methane content of the landfill gas must remain fixed at 50% by volume (the model default value).</t>
  </si>
  <si>
    <t>1: PROVIDE LANDFILL CHARACTERISTICS</t>
  </si>
  <si>
    <t>2: DETERMINE MODEL PARAMETERS</t>
  </si>
  <si>
    <t>4: ENTER WASTE ACCEPTANCE RATES</t>
  </si>
  <si>
    <t>Benzene - No or Unknown Co-disposal - HAP/VOC</t>
  </si>
  <si>
    <t>Benzene - Co-disposal - HAP/VOC</t>
  </si>
  <si>
    <t>Toluene - No or Unknown Co-disposal - HAP/VOC</t>
  </si>
  <si>
    <t>Toluene - Co-disposal - HAP/VOC</t>
  </si>
  <si>
    <t>- LandGEM is based on the gas generated from anaerobic decomposition of landfilled waste which has a methane content between 40 and 60 percent.</t>
  </si>
  <si>
    <t>- When comparing results from LandGEM with measurements of extracted gas collected at a site, the landfill owner/operator must adjust for air infiltration prior to any comparisons.</t>
  </si>
  <si>
    <t>LandGEM is based on a first-order decomposition rate equation for quantifying emissions from the decomposition of landfilled waste in municipal solid waste (MSW) landfills. The software provides a relatively simple approach to estimating landfill gas emissions. Model defaults are based on empirical data from U.S. landfills. Field test data can also be used in place of model defaults when available. Further guidance on EPA test methods, Clean Air Act (CAA) regulations, and other guidance regarding landfill gas emissions and control technology requirements can be found at http://www.epa.gov/ttnatw01/landfill/landflpg.html.</t>
  </si>
  <si>
    <t>Input Review</t>
  </si>
  <si>
    <t>Graphs</t>
  </si>
  <si>
    <t>Results</t>
  </si>
  <si>
    <t>Results (Continued)</t>
  </si>
  <si>
    <t>REPORT</t>
  </si>
  <si>
    <t>Allows users to review and print model inputs</t>
  </si>
  <si>
    <t>Calculates methane emission estimates using the first-order decomposition rate equation</t>
  </si>
  <si>
    <t>Allows users to review and print model inputs and outputs in a summary report</t>
  </si>
  <si>
    <t>megagrams</t>
  </si>
  <si>
    <t>Grams per megagrams =</t>
  </si>
  <si>
    <t>Kilograms per megagrams =</t>
  </si>
  <si>
    <t>(Mg)</t>
  </si>
  <si>
    <t>(short tons)</t>
  </si>
  <si>
    <t>Enter Molecular Weight</t>
  </si>
  <si>
    <t>WASTE ADDED IN YEAR 41</t>
  </si>
  <si>
    <t>WASTE ADDED IN YEAR 42</t>
  </si>
  <si>
    <t>WASTE ADDED IN YEAR 43</t>
  </si>
  <si>
    <t>WASTE ADDED IN YEAR 44</t>
  </si>
  <si>
    <t>WASTE ADDED IN YEAR 45</t>
  </si>
  <si>
    <t>WASTE ADDED IN YEAR 46</t>
  </si>
  <si>
    <t>WASTE ADDED IN YEAR 47</t>
  </si>
  <si>
    <t>WASTE ADDED IN YEAR 48</t>
  </si>
  <si>
    <t>WASTE ADDED IN YEAR 49</t>
  </si>
  <si>
    <t>WASTE ADDED IN YEAR 50</t>
  </si>
  <si>
    <t>WASTE ADDED IN YEAR 51</t>
  </si>
  <si>
    <t>WASTE ADDED IN YEAR 52</t>
  </si>
  <si>
    <t>WASTE ADDED IN YEAR 53</t>
  </si>
  <si>
    <t>WASTE ADDED IN YEAR 54</t>
  </si>
  <si>
    <t>WASTE ADDED IN YEAR 55</t>
  </si>
  <si>
    <t>WASTE ADDED IN YEAR 56</t>
  </si>
  <si>
    <t>WASTE ADDED IN YEAR 57</t>
  </si>
  <si>
    <t>WASTE ADDED IN YEAR 58</t>
  </si>
  <si>
    <t>WASTE ADDED IN YEAR 59</t>
  </si>
  <si>
    <t>WASTE ADDED IN YEAR 60</t>
  </si>
  <si>
    <t>WASTE ADDED IN YEAR 61</t>
  </si>
  <si>
    <t>WASTE ADDED IN YEAR 62</t>
  </si>
  <si>
    <t>WASTE ADDED IN YEAR 63</t>
  </si>
  <si>
    <t>WASTE ADDED IN YEAR 64</t>
  </si>
  <si>
    <t>WASTE ADDED IN YEAR 65</t>
  </si>
  <si>
    <t>WASTE ADDED IN YEAR 66</t>
  </si>
  <si>
    <t>WASTE ADDED IN YEAR 67</t>
  </si>
  <si>
    <t>WASTE ADDED IN YEAR 68</t>
  </si>
  <si>
    <t>WASTE ADDED IN YEAR 69</t>
  </si>
  <si>
    <t>WASTE ADDED IN YEAR 70</t>
  </si>
  <si>
    <t>WASTE ADDED IN YEAR 71</t>
  </si>
  <si>
    <t>WASTE ADDED IN YEAR 72</t>
  </si>
  <si>
    <t>WASTE ADDED IN YEAR 73</t>
  </si>
  <si>
    <t>WASTE ADDED IN YEAR 74</t>
  </si>
  <si>
    <t>WASTE ADDED IN YEAR 75</t>
  </si>
  <si>
    <t>WASTE ADDED IN YEAR 76</t>
  </si>
  <si>
    <t>WASTE ADDED IN YEAR 77</t>
  </si>
  <si>
    <t>WASTE ADDED IN YEAR 78</t>
  </si>
  <si>
    <t>WASTE ADDED IN YEAR 79</t>
  </si>
  <si>
    <t>WASTE ADDED IN YEAR 80</t>
  </si>
  <si>
    <t>Contains an overview of the model and important notes about using LandGEM</t>
  </si>
  <si>
    <t>Shows graphical emission estimates for up to four gases/pollutants (selected in the USER INPUTS worksheet) in megagrams per year, cubic meters per year, and user’s choice of a third unit of measure (selected in the RESULTS worksheet)</t>
  </si>
  <si>
    <t>Shows tabular emission estimates for up to four gases/pollutants (selected in the USER INPUTS worksheet) in megagrams per year, cubic meters per year, and user’s choice of a third unit of measure (average cubic feet per minute, cubic feet per year, or short tons per year)</t>
  </si>
  <si>
    <t>POLLUTANTS</t>
  </si>
  <si>
    <t>Pollutant Parameters</t>
  </si>
  <si>
    <t>Final Non-Zero Acceptance Entered =</t>
  </si>
  <si>
    <t>Displays tabular emission estimates for all gases/pollutants for a single year specified by users</t>
  </si>
  <si>
    <t>LandGEM is based on a first-order decomposition rate equation for quantifying emissions from the decomposition of landfilled waste in municipal solid waste (MSW) landfills. The software provides a relatively simple approach to estimating landfill gas emissions. Model defaults are based on empirical data from U.S. landfills. Field test data can also be used in place of model defaults when available. Further guidance on EPA test methods, Clean Air Act (CAA) regulations, and other guidance regarding landfill gas emissions and control technology requirements can be found at</t>
  </si>
  <si>
    <t>3: SELECT GASES/POLLUTANTS</t>
  </si>
  <si>
    <t>Gas / Pollutant Default Parameters:</t>
  </si>
  <si>
    <t>Enter New Compound</t>
  </si>
  <si>
    <t>Landfill Closure Year (with 80-year limit)</t>
  </si>
  <si>
    <t>Actual Closure Year (without limit) =</t>
  </si>
  <si>
    <t>years</t>
  </si>
  <si>
    <t>cu m/Mg</t>
  </si>
  <si>
    <t>n = (year of the calculation) - (initial year of waste acceptance)</t>
  </si>
  <si>
    <t>First-Order Decomposition Rate Equation:</t>
  </si>
  <si>
    <t>Waste Design Capacity =</t>
  </si>
  <si>
    <t>Model Waste Acceptance Limit =</t>
  </si>
  <si>
    <r>
      <t>megagrams</t>
    </r>
    <r>
      <rPr>
        <sz val="9"/>
        <rFont val="Arial"/>
        <family val="2"/>
      </rPr>
      <t xml:space="preserve"> in</t>
    </r>
  </si>
  <si>
    <t>- One megagram is equivalent to one metric ton.</t>
  </si>
  <si>
    <t>Allows users to provide landfill characteristics, determine model parameters, select up to four gases/pollutants (total landfill gas, methane, carbon dioxide, NMOC, and 46 air pollutants), and enter waste acceptance rates</t>
  </si>
  <si>
    <t>Allows users to edit air pollutant concentrations and molecular weights for existing pollutants and add up to 10 new pollutants</t>
  </si>
  <si>
    <t>Enter User-specified Pollutant Parameters for Existing Pollutants:</t>
  </si>
  <si>
    <t>Default parameters will be used by model unless alternate parameters are entered.</t>
  </si>
  <si>
    <r>
      <t>(</t>
    </r>
    <r>
      <rPr>
        <i/>
        <sz val="10"/>
        <rFont val="Arial"/>
        <family val="2"/>
      </rPr>
      <t>ppmv</t>
    </r>
    <r>
      <rPr>
        <sz val="10"/>
        <rFont val="Arial"/>
        <family val="2"/>
      </rPr>
      <t>)</t>
    </r>
  </si>
  <si>
    <r>
      <t>M</t>
    </r>
    <r>
      <rPr>
        <vertAlign val="subscript"/>
        <sz val="10"/>
        <rFont val="Arial"/>
        <family val="2"/>
      </rPr>
      <t>i</t>
    </r>
    <r>
      <rPr>
        <sz val="9"/>
        <rFont val="Arial"/>
        <family val="2"/>
      </rPr>
      <t xml:space="preserve"> = mass of waste accepted in the i</t>
    </r>
    <r>
      <rPr>
        <vertAlign val="superscript"/>
        <sz val="9"/>
        <rFont val="Arial"/>
        <family val="2"/>
      </rPr>
      <t>th</t>
    </r>
    <r>
      <rPr>
        <sz val="9"/>
        <rFont val="Arial"/>
        <family val="2"/>
      </rPr>
      <t xml:space="preserve"> year (</t>
    </r>
    <r>
      <rPr>
        <i/>
        <sz val="9"/>
        <rFont val="Arial"/>
        <family val="2"/>
      </rPr>
      <t>Mg</t>
    </r>
    <r>
      <rPr>
        <sz val="9"/>
        <rFont val="Arial"/>
        <family val="2"/>
      </rPr>
      <t xml:space="preserve">) </t>
    </r>
  </si>
  <si>
    <r>
      <t>t</t>
    </r>
    <r>
      <rPr>
        <vertAlign val="subscript"/>
        <sz val="10"/>
        <rFont val="Arial"/>
        <family val="2"/>
      </rPr>
      <t>ij</t>
    </r>
    <r>
      <rPr>
        <sz val="9"/>
        <rFont val="Arial"/>
        <family val="2"/>
      </rPr>
      <t xml:space="preserve"> = age of the j</t>
    </r>
    <r>
      <rPr>
        <vertAlign val="superscript"/>
        <sz val="9"/>
        <rFont val="Arial"/>
        <family val="2"/>
      </rPr>
      <t>th</t>
    </r>
    <r>
      <rPr>
        <sz val="9"/>
        <rFont val="Arial"/>
        <family val="2"/>
      </rPr>
      <t xml:space="preserve"> section of waste mass M</t>
    </r>
    <r>
      <rPr>
        <vertAlign val="subscript"/>
        <sz val="10"/>
        <rFont val="Arial"/>
        <family val="2"/>
      </rPr>
      <t>i</t>
    </r>
    <r>
      <rPr>
        <sz val="9"/>
        <rFont val="Arial"/>
        <family val="2"/>
      </rPr>
      <t xml:space="preserve"> accepted in the i</t>
    </r>
    <r>
      <rPr>
        <vertAlign val="superscript"/>
        <sz val="9"/>
        <rFont val="Arial"/>
        <family val="2"/>
      </rPr>
      <t xml:space="preserve">th </t>
    </r>
    <r>
      <rPr>
        <sz val="9"/>
        <rFont val="Arial"/>
        <family val="2"/>
      </rPr>
      <t>year (</t>
    </r>
    <r>
      <rPr>
        <i/>
        <sz val="9"/>
        <rFont val="Arial"/>
        <family val="2"/>
      </rPr>
      <t>decimal years</t>
    </r>
    <r>
      <rPr>
        <sz val="9"/>
        <rFont val="Arial"/>
        <family val="2"/>
      </rPr>
      <t>, e.g., 3.2 years)</t>
    </r>
  </si>
  <si>
    <r>
      <t>Concentration</t>
    </r>
    <r>
      <rPr>
        <sz val="10"/>
        <rFont val="Arial"/>
        <family val="2"/>
      </rPr>
      <t xml:space="preserve">
(</t>
    </r>
    <r>
      <rPr>
        <i/>
        <sz val="10"/>
        <rFont val="Arial"/>
        <family val="2"/>
      </rPr>
      <t>ppmv</t>
    </r>
    <r>
      <rPr>
        <sz val="10"/>
        <rFont val="Arial"/>
        <family val="2"/>
      </rPr>
      <t>)</t>
    </r>
  </si>
  <si>
    <r>
      <t>Concentration
(</t>
    </r>
    <r>
      <rPr>
        <i/>
        <sz val="10"/>
        <rFont val="Arial"/>
        <family val="2"/>
      </rPr>
      <t>ppmv</t>
    </r>
    <r>
      <rPr>
        <sz val="10"/>
        <rFont val="Arial"/>
      </rPr>
      <t>)</t>
    </r>
  </si>
  <si>
    <r>
      <t>Enter Concentration
(</t>
    </r>
    <r>
      <rPr>
        <i/>
        <sz val="10"/>
        <rFont val="Arial"/>
        <family val="2"/>
      </rPr>
      <t>ppmv</t>
    </r>
    <r>
      <rPr>
        <sz val="10"/>
        <rFont val="Arial"/>
      </rPr>
      <t>)</t>
    </r>
  </si>
  <si>
    <t>j = 0.1-year time increment</t>
  </si>
  <si>
    <t>i = 1-year time increment</t>
  </si>
  <si>
    <t>Closure Year (with 80-year limit) =</t>
  </si>
  <si>
    <t>Actual Closure Year (without limit)</t>
  </si>
  <si>
    <t>CAA Arid Area - 0.02</t>
  </si>
  <si>
    <t>Inventory Arid Area - 0.02</t>
  </si>
  <si>
    <t>CAA Arid Area - 170</t>
  </si>
  <si>
    <t>Inventory Arid Area - 100</t>
  </si>
  <si>
    <r>
      <t>M</t>
    </r>
    <r>
      <rPr>
        <vertAlign val="subscript"/>
        <sz val="10"/>
        <rFont val="Arial"/>
        <family val="2"/>
      </rPr>
      <t>i</t>
    </r>
    <r>
      <rPr>
        <sz val="10"/>
        <rFont val="Arial"/>
        <family val="2"/>
      </rPr>
      <t xml:space="preserve"> = mass of waste accepted in the i</t>
    </r>
    <r>
      <rPr>
        <vertAlign val="superscript"/>
        <sz val="10"/>
        <rFont val="Arial"/>
        <family val="2"/>
      </rPr>
      <t>th</t>
    </r>
    <r>
      <rPr>
        <sz val="10"/>
        <rFont val="Arial"/>
        <family val="2"/>
      </rPr>
      <t xml:space="preserve"> year (</t>
    </r>
    <r>
      <rPr>
        <i/>
        <sz val="10"/>
        <rFont val="Arial"/>
        <family val="2"/>
      </rPr>
      <t>Mg</t>
    </r>
    <r>
      <rPr>
        <sz val="10"/>
        <rFont val="Arial"/>
        <family val="2"/>
      </rPr>
      <t xml:space="preserve">) </t>
    </r>
  </si>
  <si>
    <r>
      <t>t</t>
    </r>
    <r>
      <rPr>
        <vertAlign val="subscript"/>
        <sz val="10"/>
        <rFont val="Arial"/>
        <family val="2"/>
      </rPr>
      <t>ij</t>
    </r>
    <r>
      <rPr>
        <sz val="10"/>
        <rFont val="Arial"/>
        <family val="2"/>
      </rPr>
      <t xml:space="preserve"> = age of the j</t>
    </r>
    <r>
      <rPr>
        <vertAlign val="superscript"/>
        <sz val="10"/>
        <rFont val="Arial"/>
        <family val="2"/>
      </rPr>
      <t>th</t>
    </r>
    <r>
      <rPr>
        <sz val="10"/>
        <rFont val="Arial"/>
        <family val="2"/>
      </rPr>
      <t xml:space="preserve"> section of waste mass M</t>
    </r>
    <r>
      <rPr>
        <vertAlign val="subscript"/>
        <sz val="10"/>
        <rFont val="Arial"/>
        <family val="2"/>
      </rPr>
      <t>i</t>
    </r>
    <r>
      <rPr>
        <sz val="10"/>
        <rFont val="Arial"/>
        <family val="2"/>
      </rPr>
      <t xml:space="preserve"> accepted in the i</t>
    </r>
    <r>
      <rPr>
        <vertAlign val="superscript"/>
        <sz val="10"/>
        <rFont val="Arial"/>
        <family val="2"/>
      </rPr>
      <t xml:space="preserve">th </t>
    </r>
    <r>
      <rPr>
        <sz val="10"/>
        <rFont val="Arial"/>
        <family val="2"/>
      </rPr>
      <t>year (</t>
    </r>
    <r>
      <rPr>
        <i/>
        <sz val="10"/>
        <rFont val="Arial"/>
        <family val="2"/>
      </rPr>
      <t>decimal years</t>
    </r>
    <r>
      <rPr>
        <sz val="10"/>
        <rFont val="Arial"/>
        <family val="2"/>
      </rPr>
      <t>, e.g., 3.2 years)</t>
    </r>
  </si>
  <si>
    <r>
      <t>k = methane generation rate (</t>
    </r>
    <r>
      <rPr>
        <i/>
        <sz val="10"/>
        <rFont val="Arial"/>
        <family val="2"/>
      </rPr>
      <t>year</t>
    </r>
    <r>
      <rPr>
        <i/>
        <vertAlign val="superscript"/>
        <sz val="10"/>
        <rFont val="Arial"/>
        <family val="2"/>
      </rPr>
      <t>-1</t>
    </r>
    <r>
      <rPr>
        <sz val="10"/>
        <rFont val="Arial"/>
        <family val="2"/>
      </rPr>
      <t>)</t>
    </r>
  </si>
  <si>
    <t>WASTE ACCEPTANCE RATES (Continued)</t>
  </si>
  <si>
    <t>User-specified Pollutant Parameters:</t>
  </si>
  <si>
    <t>Pollutant Parameters (Continued)</t>
  </si>
  <si>
    <t xml:space="preserve">LandGEM is considered a screening tool — the better the input data, the better the estimates. Often, there are limitations with the available data regarding waste quantity and composition, variation in design and operating practices over time, and changes occurring over time that impact the emissions potential. Changes to landfill operation, such as operating under wet conditions through leachate recirculation or other liquid additions, will result in generating more gas at a faster rate. Defaults for estimating emissions for this type of operation are being developed to include in LandGEM along with defaults for convential landfills (no leachate or liquid additions) for developing emission inventories and determining CAA applicability. Refer to the Web site identified above for future updates.  </t>
  </si>
  <si>
    <t xml:space="preserve">LandGEM is considered a screening tool — the better the input data, the better the estimates. Often, there are limitations with the available data regarding waste quantity and composition, variation in design and operating practices over time, and changes occurring over time that impact the emissions potential. Changes to landfill operation, such as operating under wet conditions through leachate recirculation or other liquid additions, will result in generating more gas at a faster rate. Defaults for estimating emissions for this type of operation are being developed to include in LandGEM along with defaults for convential landfills (no leachate or liquid additions) for developing emission inventories and determining CAA applicability. Refer to the Web site identified above for future updates. </t>
  </si>
  <si>
    <r>
      <t>L</t>
    </r>
    <r>
      <rPr>
        <vertAlign val="subscript"/>
        <sz val="9"/>
        <rFont val="Arial"/>
        <family val="2"/>
      </rPr>
      <t>o</t>
    </r>
    <r>
      <rPr>
        <sz val="9"/>
        <rFont val="Arial"/>
        <family val="2"/>
      </rPr>
      <t xml:space="preserve"> = potential methane generation capacity (m</t>
    </r>
    <r>
      <rPr>
        <vertAlign val="superscript"/>
        <sz val="9"/>
        <rFont val="Arial"/>
        <family val="2"/>
      </rPr>
      <t>3</t>
    </r>
    <r>
      <rPr>
        <i/>
        <sz val="9"/>
        <rFont val="Arial"/>
        <family val="2"/>
      </rPr>
      <t>/Mg</t>
    </r>
    <r>
      <rPr>
        <sz val="9"/>
        <rFont val="Arial"/>
        <family val="2"/>
      </rPr>
      <t>)</t>
    </r>
  </si>
  <si>
    <r>
      <t>Q</t>
    </r>
    <r>
      <rPr>
        <vertAlign val="subscript"/>
        <sz val="10"/>
        <rFont val="Arial"/>
        <family val="2"/>
      </rPr>
      <t>CH4</t>
    </r>
    <r>
      <rPr>
        <sz val="9"/>
        <rFont val="Arial"/>
        <family val="2"/>
      </rPr>
      <t xml:space="preserve"> = annual methane generation in the year of the calculation </t>
    </r>
    <r>
      <rPr>
        <i/>
        <sz val="9"/>
        <rFont val="Arial"/>
        <family val="2"/>
      </rPr>
      <t>(m</t>
    </r>
    <r>
      <rPr>
        <i/>
        <vertAlign val="superscript"/>
        <sz val="9"/>
        <rFont val="Arial"/>
        <family val="2"/>
      </rPr>
      <t>3</t>
    </r>
    <r>
      <rPr>
        <i/>
        <sz val="9"/>
        <rFont val="Arial"/>
        <family val="2"/>
      </rPr>
      <t>/year</t>
    </r>
    <r>
      <rPr>
        <sz val="9"/>
        <rFont val="Arial"/>
        <family val="2"/>
      </rPr>
      <t>)</t>
    </r>
  </si>
  <si>
    <r>
      <t>L</t>
    </r>
    <r>
      <rPr>
        <vertAlign val="subscript"/>
        <sz val="10"/>
        <rFont val="Arial"/>
        <family val="2"/>
      </rPr>
      <t>o</t>
    </r>
    <r>
      <rPr>
        <sz val="10"/>
        <rFont val="Arial"/>
        <family val="2"/>
      </rPr>
      <t xml:space="preserve"> = potential methane generation capacity (</t>
    </r>
    <r>
      <rPr>
        <i/>
        <sz val="10"/>
        <rFont val="Arial"/>
        <family val="2"/>
      </rPr>
      <t>m</t>
    </r>
    <r>
      <rPr>
        <i/>
        <vertAlign val="superscript"/>
        <sz val="10"/>
        <rFont val="Arial"/>
        <family val="2"/>
      </rPr>
      <t>3</t>
    </r>
    <r>
      <rPr>
        <i/>
        <sz val="10"/>
        <rFont val="Arial"/>
        <family val="2"/>
      </rPr>
      <t>/Mg</t>
    </r>
    <r>
      <rPr>
        <sz val="10"/>
        <rFont val="Arial"/>
        <family val="2"/>
      </rPr>
      <t>)</t>
    </r>
  </si>
  <si>
    <r>
      <t>Q</t>
    </r>
    <r>
      <rPr>
        <vertAlign val="subscript"/>
        <sz val="10"/>
        <rFont val="Arial"/>
        <family val="2"/>
      </rPr>
      <t>CH4</t>
    </r>
    <r>
      <rPr>
        <sz val="10"/>
        <rFont val="Arial"/>
        <family val="2"/>
      </rPr>
      <t xml:space="preserve"> = annual methane generation in the year of the calculation </t>
    </r>
    <r>
      <rPr>
        <i/>
        <sz val="10"/>
        <rFont val="Arial"/>
        <family val="2"/>
      </rPr>
      <t>(m</t>
    </r>
    <r>
      <rPr>
        <i/>
        <vertAlign val="superscript"/>
        <sz val="10"/>
        <rFont val="Arial"/>
        <family val="2"/>
      </rPr>
      <t>3</t>
    </r>
    <r>
      <rPr>
        <i/>
        <sz val="10"/>
        <rFont val="Arial"/>
        <family val="2"/>
      </rPr>
      <t>/year</t>
    </r>
    <r>
      <rPr>
        <sz val="10"/>
        <rFont val="Arial"/>
        <family val="2"/>
      </rPr>
      <t>)</t>
    </r>
  </si>
  <si>
    <r>
      <t>m</t>
    </r>
    <r>
      <rPr>
        <i/>
        <vertAlign val="superscript"/>
        <sz val="10"/>
        <rFont val="Arial"/>
        <family val="2"/>
      </rPr>
      <t>3</t>
    </r>
    <r>
      <rPr>
        <i/>
        <sz val="10"/>
        <rFont val="Arial"/>
        <family val="2"/>
      </rPr>
      <t>/Mg</t>
    </r>
  </si>
  <si>
    <r>
      <t>(m</t>
    </r>
    <r>
      <rPr>
        <b/>
        <i/>
        <vertAlign val="superscript"/>
        <sz val="10"/>
        <rFont val="Arial"/>
        <family val="2"/>
      </rPr>
      <t>3</t>
    </r>
    <r>
      <rPr>
        <b/>
        <i/>
        <sz val="10"/>
        <rFont val="Arial"/>
        <family val="2"/>
      </rPr>
      <t>/year)</t>
    </r>
  </si>
  <si>
    <r>
      <t>Potential Methane Generation Capacity, L</t>
    </r>
    <r>
      <rPr>
        <b/>
        <vertAlign val="subscript"/>
        <sz val="10"/>
        <rFont val="Arial"/>
        <family val="2"/>
      </rPr>
      <t>o</t>
    </r>
    <r>
      <rPr>
        <b/>
        <sz val="10"/>
        <rFont val="Arial"/>
        <family val="2"/>
      </rPr>
      <t xml:space="preserve"> </t>
    </r>
    <r>
      <rPr>
        <b/>
        <i/>
        <sz val="10"/>
        <rFont val="Arial"/>
        <family val="2"/>
      </rPr>
      <t>(m</t>
    </r>
    <r>
      <rPr>
        <b/>
        <i/>
        <vertAlign val="superscript"/>
        <sz val="10"/>
        <rFont val="Arial"/>
        <family val="2"/>
      </rPr>
      <t>3</t>
    </r>
    <r>
      <rPr>
        <b/>
        <i/>
        <sz val="10"/>
        <rFont val="Arial"/>
        <family val="2"/>
      </rPr>
      <t>/Mg</t>
    </r>
    <r>
      <rPr>
        <b/>
        <sz val="10"/>
        <rFont val="Arial"/>
        <family val="2"/>
      </rPr>
      <t>)</t>
    </r>
  </si>
  <si>
    <r>
      <t>m</t>
    </r>
    <r>
      <rPr>
        <i/>
        <vertAlign val="superscript"/>
        <sz val="9"/>
        <rFont val="Arial"/>
        <family val="2"/>
      </rPr>
      <t>3</t>
    </r>
    <r>
      <rPr>
        <i/>
        <sz val="9"/>
        <rFont val="Arial"/>
        <family val="2"/>
      </rPr>
      <t>/Mg</t>
    </r>
  </si>
  <si>
    <r>
      <t>(av ft</t>
    </r>
    <r>
      <rPr>
        <b/>
        <i/>
        <vertAlign val="superscript"/>
        <sz val="10"/>
        <rFont val="Arial"/>
        <family val="2"/>
      </rPr>
      <t>3</t>
    </r>
    <r>
      <rPr>
        <b/>
        <i/>
        <sz val="10"/>
        <rFont val="Arial"/>
        <family val="2"/>
      </rPr>
      <t>/min)</t>
    </r>
  </si>
  <si>
    <r>
      <t>V = volumetric emission rate (m</t>
    </r>
    <r>
      <rPr>
        <vertAlign val="superscript"/>
        <sz val="10"/>
        <rFont val="Arial"/>
        <family val="2"/>
      </rPr>
      <t>3</t>
    </r>
    <r>
      <rPr>
        <sz val="10"/>
        <rFont val="Arial"/>
      </rPr>
      <t>/year)</t>
    </r>
  </si>
  <si>
    <r>
      <t>Conversion factor 1 (Mg/m</t>
    </r>
    <r>
      <rPr>
        <vertAlign val="superscript"/>
        <sz val="10"/>
        <rFont val="Arial"/>
        <family val="2"/>
      </rPr>
      <t>3</t>
    </r>
    <r>
      <rPr>
        <sz val="10"/>
        <rFont val="Arial"/>
      </rPr>
      <t>) =</t>
    </r>
  </si>
  <si>
    <r>
      <t>Conversion factor 2 (Mg/m</t>
    </r>
    <r>
      <rPr>
        <vertAlign val="superscript"/>
        <sz val="10"/>
        <rFont val="Arial"/>
        <family val="2"/>
      </rPr>
      <t>3</t>
    </r>
    <r>
      <rPr>
        <sz val="10"/>
        <rFont val="Arial"/>
      </rPr>
      <t>) =</t>
    </r>
  </si>
  <si>
    <r>
      <t>Conversion factor 3 (Mg/m</t>
    </r>
    <r>
      <rPr>
        <vertAlign val="superscript"/>
        <sz val="10"/>
        <rFont val="Arial"/>
        <family val="2"/>
      </rPr>
      <t>3</t>
    </r>
    <r>
      <rPr>
        <sz val="10"/>
        <rFont val="Arial"/>
      </rPr>
      <t>) =</t>
    </r>
  </si>
  <si>
    <r>
      <t>Conversion factor 4 (Mg/m</t>
    </r>
    <r>
      <rPr>
        <vertAlign val="superscript"/>
        <sz val="10"/>
        <rFont val="Arial"/>
        <family val="2"/>
      </rPr>
      <t>3</t>
    </r>
    <r>
      <rPr>
        <sz val="10"/>
        <rFont val="Arial"/>
      </rPr>
      <t>) =</t>
    </r>
  </si>
  <si>
    <r>
      <t>Gas constant (kPa-m</t>
    </r>
    <r>
      <rPr>
        <vertAlign val="superscript"/>
        <sz val="10"/>
        <rFont val="Arial"/>
        <family val="2"/>
      </rPr>
      <t>3</t>
    </r>
    <r>
      <rPr>
        <sz val="10"/>
        <rFont val="Arial"/>
      </rPr>
      <t>/kmol-K) =</t>
    </r>
  </si>
  <si>
    <t>av ft^3/min</t>
  </si>
  <si>
    <t>ft^3/year</t>
  </si>
  <si>
    <r>
      <t>(ft</t>
    </r>
    <r>
      <rPr>
        <b/>
        <i/>
        <vertAlign val="superscript"/>
        <sz val="10"/>
        <rFont val="Arial"/>
        <family val="2"/>
      </rPr>
      <t>3</t>
    </r>
    <r>
      <rPr>
        <b/>
        <i/>
        <sz val="10"/>
        <rFont val="Arial"/>
        <family val="2"/>
      </rPr>
      <t>/year)</t>
    </r>
  </si>
  <si>
    <t>LandGEM - Landfill Gas Emissions Model, Version 3.02</t>
  </si>
  <si>
    <t>TPA Muara Fajar 2 Kota Pekanbaru</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</si>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</sst>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0.0000E+00"/>
    <numFmt numFmtId="166" formatCode="0.000E+00"/>
    <numFmt numFmtId="167" formatCode="0.000"/>
    <numFmt numFmtId="168" formatCode="0.0"/>
    <numFmt numFmtId="169" formatCode="0.0E+00"/>
    <numFmt numFmtId="170" formatCode="[$-F800]dddd\,\ mmmm\ dd\,\ yyyy"/>
  </numFmts>
  <fonts count="54">
    <font>
      <sz val="10"/>
      <name val="Arial"/>
    </font>
    <font>
      <sz val="10"/>
      <name val="Arial"/>
    </font>
    <font>
      <sz val="10"/>
      <color indexed="10"/>
      <name val="Arial"/>
      <family val="2"/>
    </font>
    <font>
      <i/>
      <sz val="10"/>
      <name val="Arial"/>
      <family val="2"/>
    </font>
    <font>
      <sz val="10"/>
      <name val="Arial"/>
      <family val="2"/>
    </font>
    <font>
      <sz val="12"/>
      <name val="Arial"/>
      <family val="2"/>
    </font>
    <font>
      <b/>
      <sz val="12"/>
      <name val="Arial"/>
      <family val="2"/>
    </font>
    <font>
      <b/>
      <i/>
      <sz val="10"/>
      <name val="Arial"/>
      <family val="2"/>
    </font>
    <font>
      <b/>
      <i/>
      <vertAlign val="subscript"/>
      <sz val="10"/>
      <name val="Arial"/>
      <family val="2"/>
    </font>
    <font>
      <b/>
      <i/>
      <vertAlign val="superscript"/>
      <sz val="10"/>
      <name val="Arial"/>
      <family val="2"/>
    </font>
    <font>
      <sz val="12"/>
      <name val="BinnerD"/>
      <family val="2"/>
    </font>
    <font>
      <b/>
      <sz val="10"/>
      <name val="Arial"/>
      <family val="2"/>
    </font>
    <font>
      <sz val="10"/>
      <color indexed="12"/>
      <name val="Arial"/>
      <family val="2"/>
    </font>
    <font>
      <sz val="14"/>
      <name val="BinnerD"/>
      <family val="2"/>
    </font>
    <font>
      <b/>
      <vertAlign val="subscript"/>
      <sz val="10"/>
      <name val="Arial"/>
      <family val="2"/>
    </font>
    <font>
      <vertAlign val="subscript"/>
      <sz val="10"/>
      <name val="Arial"/>
      <family val="2"/>
    </font>
    <font>
      <i/>
      <vertAlign val="superscript"/>
      <sz val="10"/>
      <name val="Arial"/>
      <family val="2"/>
    </font>
    <font>
      <sz val="10"/>
      <color indexed="41"/>
      <name val="Arial"/>
      <family val="2"/>
    </font>
    <font>
      <b/>
      <sz val="7"/>
      <name val="Arial"/>
      <family val="2"/>
    </font>
    <font>
      <sz val="8"/>
      <name val="Arial"/>
      <family val="2"/>
    </font>
    <font>
      <b/>
      <sz val="10"/>
      <color indexed="10"/>
      <name val="Arial"/>
      <family val="2"/>
    </font>
    <font>
      <b/>
      <sz val="8"/>
      <name val="Arial"/>
      <family val="2"/>
    </font>
    <font>
      <sz val="12"/>
      <name val="Arial"/>
      <family val="2"/>
    </font>
    <font>
      <sz val="9"/>
      <name val="Arial"/>
      <family val="2"/>
    </font>
    <font>
      <vertAlign val="subscript"/>
      <sz val="9"/>
      <name val="Arial"/>
      <family val="2"/>
    </font>
    <font>
      <i/>
      <sz val="9"/>
      <name val="Arial"/>
      <family val="2"/>
    </font>
    <font>
      <i/>
      <vertAlign val="superscript"/>
      <sz val="9"/>
      <name val="Arial"/>
      <family val="2"/>
    </font>
    <font>
      <vertAlign val="superscript"/>
      <sz val="9"/>
      <name val="Arial"/>
      <family val="2"/>
    </font>
    <font>
      <sz val="9"/>
      <name val="Arial"/>
      <family val="2"/>
    </font>
    <font>
      <i/>
      <sz val="9"/>
      <name val="Arial"/>
      <family val="2"/>
    </font>
    <font>
      <b/>
      <sz val="9"/>
      <name val="Arial"/>
      <family val="2"/>
    </font>
    <font>
      <b/>
      <sz val="8"/>
      <color indexed="10"/>
      <name val="Arial"/>
      <family val="2"/>
    </font>
    <font>
      <b/>
      <sz val="14"/>
      <name val="Arial"/>
      <family val="2"/>
    </font>
    <font>
      <b/>
      <sz val="11"/>
      <name val="Arial"/>
      <family val="2"/>
    </font>
    <font>
      <u/>
      <sz val="10"/>
      <color indexed="12"/>
      <name val="Arial"/>
      <family val="2"/>
    </font>
    <font>
      <u/>
      <sz val="7.5"/>
      <color indexed="12"/>
      <name val="Arial"/>
      <family val="2"/>
    </font>
    <font>
      <sz val="14"/>
      <name val="Arial"/>
      <family val="2"/>
    </font>
    <font>
      <sz val="10"/>
      <name val="Arial"/>
      <family val="2"/>
    </font>
    <font>
      <i/>
      <sz val="10"/>
      <name val="Arial"/>
      <family val="2"/>
    </font>
    <font>
      <sz val="10"/>
      <name val="Arial"/>
      <family val="2"/>
    </font>
    <font>
      <u/>
      <sz val="9"/>
      <color indexed="12"/>
      <name val="Arial"/>
      <family val="2"/>
    </font>
    <font>
      <b/>
      <sz val="7"/>
      <color indexed="10"/>
      <name val="Arial"/>
      <family val="2"/>
    </font>
    <font>
      <b/>
      <sz val="20"/>
      <name val="Arial"/>
      <family val="2"/>
    </font>
    <font>
      <sz val="10"/>
      <name val="Arial"/>
      <family val="2"/>
    </font>
    <font>
      <b/>
      <u/>
      <sz val="14"/>
      <name val="Arial"/>
      <family val="2"/>
    </font>
    <font>
      <b/>
      <sz val="9"/>
      <color indexed="10"/>
      <name val="Arial"/>
      <family val="2"/>
    </font>
    <font>
      <sz val="10"/>
      <color indexed="9"/>
      <name val="Arial"/>
      <family val="2"/>
    </font>
    <font>
      <u/>
      <sz val="10"/>
      <name val="Arial"/>
      <family val="2"/>
    </font>
    <font>
      <b/>
      <sz val="8"/>
      <color indexed="10"/>
      <name val="BinnerD"/>
    </font>
    <font>
      <b/>
      <sz val="8"/>
      <color indexed="10"/>
      <name val="Arial"/>
      <family val="2"/>
    </font>
    <font>
      <vertAlign val="superscript"/>
      <sz val="10"/>
      <name val="Arial"/>
      <family val="2"/>
    </font>
    <font>
      <sz val="8"/>
      <name val="Arial"/>
      <family val="2"/>
    </font>
    <font>
      <sz val="10"/>
      <name val="Times New Roman"/>
      <family val="1"/>
    </font>
    <font>
      <sz val="10"/>
      <color rgb="FF000000"/>
      <name val="Times New Roman"/>
      <family val="1"/>
    </font>
  </fonts>
  <fills count="7">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s>
  <borders count="152">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hair">
        <color indexed="64"/>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double">
        <color indexed="64"/>
      </right>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tted">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right style="double">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dotted">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style="thin">
        <color indexed="64"/>
      </right>
      <top/>
      <bottom/>
      <diagonal/>
    </border>
    <border>
      <left style="medium">
        <color indexed="64"/>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medium">
        <color indexed="64"/>
      </left>
      <right/>
      <top style="hair">
        <color indexed="64"/>
      </top>
      <bottom/>
      <diagonal/>
    </border>
    <border>
      <left/>
      <right style="thin">
        <color indexed="64"/>
      </right>
      <top style="hair">
        <color indexed="64"/>
      </top>
      <bottom style="dotted">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style="hair">
        <color indexed="64"/>
      </top>
      <bottom style="hair">
        <color indexed="64"/>
      </bottom>
      <diagonal/>
    </border>
    <border>
      <left style="double">
        <color indexed="64"/>
      </left>
      <right/>
      <top style="hair">
        <color indexed="64"/>
      </top>
      <bottom/>
      <diagonal/>
    </border>
    <border>
      <left style="medium">
        <color indexed="64"/>
      </left>
      <right/>
      <top style="hair">
        <color indexed="64"/>
      </top>
      <bottom style="medium">
        <color indexed="64"/>
      </bottom>
      <diagonal/>
    </border>
    <border>
      <left style="double">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22"/>
      </top>
      <bottom style="thin">
        <color indexed="22"/>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thin">
        <color indexed="64"/>
      </top>
      <bottom style="hair">
        <color indexed="64"/>
      </bottom>
      <diagonal/>
    </border>
    <border>
      <left/>
      <right style="double">
        <color indexed="64"/>
      </right>
      <top style="thin">
        <color indexed="42"/>
      </top>
      <bottom style="double">
        <color indexed="64"/>
      </bottom>
      <diagonal/>
    </border>
    <border>
      <left style="thin">
        <color indexed="64"/>
      </left>
      <right style="medium">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thin">
        <color indexed="22"/>
      </top>
      <bottom style="thin">
        <color indexed="22"/>
      </bottom>
      <diagonal/>
    </border>
    <border>
      <left style="thin">
        <color indexed="64"/>
      </left>
      <right/>
      <top style="thin">
        <color indexed="42"/>
      </top>
      <bottom style="double">
        <color indexed="64"/>
      </bottom>
      <diagonal/>
    </border>
    <border>
      <left style="thin">
        <color indexed="64"/>
      </left>
      <right style="thin">
        <color indexed="64"/>
      </right>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double">
        <color indexed="64"/>
      </right>
      <top style="hair">
        <color indexed="64"/>
      </top>
      <bottom style="double">
        <color indexed="64"/>
      </bottom>
      <diagonal/>
    </border>
    <border>
      <left/>
      <right/>
      <top style="double">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dotted">
        <color indexed="64"/>
      </bottom>
      <diagonal/>
    </border>
    <border>
      <left style="medium">
        <color indexed="64"/>
      </left>
      <right style="thin">
        <color indexed="64"/>
      </right>
      <top style="dotted">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double">
        <color indexed="64"/>
      </right>
      <top style="hair">
        <color indexed="64"/>
      </top>
      <bottom style="double">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hair">
        <color indexed="64"/>
      </top>
      <bottom style="double">
        <color indexed="64"/>
      </bottom>
      <diagonal/>
    </border>
    <border>
      <left style="double">
        <color indexed="64"/>
      </left>
      <right style="thin">
        <color indexed="64"/>
      </right>
      <top style="thin">
        <color indexed="64"/>
      </top>
      <bottom style="hair">
        <color indexed="64"/>
      </bottom>
      <diagonal/>
    </border>
    <border>
      <left style="medium">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diagonal/>
    </border>
    <border>
      <left style="double">
        <color indexed="64"/>
      </left>
      <right/>
      <top style="thin">
        <color indexed="22"/>
      </top>
      <bottom/>
      <diagonal/>
    </border>
    <border>
      <left/>
      <right style="thin">
        <color indexed="64"/>
      </right>
      <top/>
      <bottom style="thin">
        <color indexed="42"/>
      </bottom>
      <diagonal/>
    </border>
    <border>
      <left style="thin">
        <color indexed="64"/>
      </left>
      <right/>
      <top style="thin">
        <color indexed="22"/>
      </top>
      <bottom/>
      <diagonal/>
    </border>
    <border>
      <left/>
      <right style="double">
        <color indexed="64"/>
      </right>
      <top style="thin">
        <color indexed="22"/>
      </top>
      <bottom/>
      <diagonal/>
    </border>
    <border>
      <left style="double">
        <color indexed="64"/>
      </left>
      <right/>
      <top style="thin">
        <color indexed="42"/>
      </top>
      <bottom style="double">
        <color indexed="64"/>
      </bottom>
      <diagonal/>
    </border>
    <border>
      <left/>
      <right style="thin">
        <color indexed="64"/>
      </right>
      <top style="thin">
        <color indexed="42"/>
      </top>
      <bottom style="double">
        <color indexed="64"/>
      </bottom>
      <diagonal/>
    </border>
    <border>
      <left style="thin">
        <color indexed="64"/>
      </left>
      <right/>
      <top style="thin">
        <color indexed="42"/>
      </top>
      <bottom/>
      <diagonal/>
    </border>
    <border>
      <left/>
      <right style="double">
        <color indexed="64"/>
      </right>
      <top style="thin">
        <color indexed="42"/>
      </top>
      <bottom/>
      <diagonal/>
    </border>
    <border>
      <left style="thin">
        <color indexed="64"/>
      </left>
      <right/>
      <top/>
      <bottom style="thin">
        <color indexed="22"/>
      </bottom>
      <diagonal/>
    </border>
    <border>
      <left/>
      <right style="double">
        <color indexed="64"/>
      </right>
      <top/>
      <bottom style="thin">
        <color indexed="22"/>
      </bottom>
      <diagonal/>
    </border>
    <border>
      <left style="thin">
        <color indexed="64"/>
      </left>
      <right/>
      <top/>
      <bottom style="thin">
        <color indexed="42"/>
      </bottom>
      <diagonal/>
    </border>
    <border>
      <left/>
      <right style="double">
        <color indexed="64"/>
      </right>
      <top/>
      <bottom style="thin">
        <color indexed="42"/>
      </bottom>
      <diagonal/>
    </border>
    <border>
      <left style="double">
        <color indexed="64"/>
      </left>
      <right/>
      <top style="thin">
        <color indexed="42"/>
      </top>
      <bottom/>
      <diagonal/>
    </border>
    <border>
      <left/>
      <right style="thin">
        <color indexed="64"/>
      </right>
      <top style="thin">
        <color indexed="42"/>
      </top>
      <bottom/>
      <diagonal/>
    </border>
    <border>
      <left style="double">
        <color indexed="64"/>
      </left>
      <right/>
      <top/>
      <bottom style="thin">
        <color indexed="42"/>
      </bottom>
      <diagonal/>
    </border>
    <border>
      <left/>
      <right style="thin">
        <color indexed="64"/>
      </right>
      <top style="thin">
        <color indexed="22"/>
      </top>
      <bottom/>
      <diagonal/>
    </border>
    <border>
      <left style="double">
        <color indexed="64"/>
      </left>
      <right/>
      <top/>
      <bottom/>
      <diagonal/>
    </border>
    <border>
      <left style="double">
        <color indexed="64"/>
      </left>
      <right/>
      <top style="thin">
        <color indexed="64"/>
      </top>
      <bottom style="thin">
        <color indexed="22"/>
      </bottom>
      <diagonal/>
    </border>
    <border>
      <left/>
      <right style="thin">
        <color indexed="64"/>
      </right>
      <top style="thin">
        <color indexed="64"/>
      </top>
      <bottom style="thin">
        <color indexed="22"/>
      </bottom>
      <diagonal/>
    </border>
    <border>
      <left style="double">
        <color indexed="64"/>
      </left>
      <right/>
      <top/>
      <bottom style="thin">
        <color indexed="22"/>
      </bottom>
      <diagonal/>
    </border>
    <border>
      <left/>
      <right style="thin">
        <color indexed="64"/>
      </right>
      <top/>
      <bottom style="thin">
        <color indexed="22"/>
      </bottom>
      <diagonal/>
    </border>
    <border>
      <left style="double">
        <color indexed="64"/>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style="double">
        <color indexed="64"/>
      </right>
      <top style="thin">
        <color indexed="64"/>
      </top>
      <bottom style="thin">
        <color indexed="22"/>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0" fontId="35" fillId="0" borderId="0" applyNumberFormat="0" applyFill="0" applyBorder="0" applyAlignment="0" applyProtection="0">
      <alignment vertical="top"/>
      <protection locked="0"/>
    </xf>
  </cellStyleXfs>
  <cellXfs count="707">
    <xf numFmtId="0" fontId="0" fillId="0" borderId="0" xfId="0"/>
    <xf numFmtId="0" fontId="0" fillId="0" borderId="1" xfId="0" applyBorder="1"/>
    <xf numFmtId="0" fontId="0" fillId="0" borderId="1" xfId="0" applyBorder="1" applyAlignment="1">
      <alignment horizontal="center"/>
    </xf>
    <xf numFmtId="0" fontId="0" fillId="0" borderId="2" xfId="0" applyBorder="1"/>
    <xf numFmtId="1" fontId="0" fillId="0" borderId="3" xfId="0" applyNumberFormat="1" applyBorder="1" applyAlignment="1">
      <alignment horizontal="center"/>
    </xf>
    <xf numFmtId="0" fontId="6" fillId="0" borderId="0" xfId="0" applyFont="1"/>
    <xf numFmtId="0" fontId="7" fillId="0" borderId="0" xfId="0" applyFont="1" applyAlignment="1">
      <alignment vertical="center"/>
    </xf>
    <xf numFmtId="0" fontId="7" fillId="0" borderId="0" xfId="0" applyFont="1"/>
    <xf numFmtId="0" fontId="0" fillId="0" borderId="0" xfId="0" applyAlignment="1">
      <alignment horizontal="left"/>
    </xf>
    <xf numFmtId="0" fontId="4" fillId="0" borderId="0" xfId="0" applyFont="1"/>
    <xf numFmtId="165" fontId="11" fillId="0" borderId="4" xfId="0" applyNumberFormat="1" applyFont="1" applyBorder="1" applyAlignment="1">
      <alignment horizontal="center"/>
    </xf>
    <xf numFmtId="0" fontId="11" fillId="0" borderId="5" xfId="0" applyFont="1" applyBorder="1" applyAlignment="1">
      <alignment horizontal="centerContinuous"/>
    </xf>
    <xf numFmtId="0" fontId="11" fillId="0" borderId="2" xfId="0" applyFont="1" applyBorder="1" applyAlignment="1">
      <alignment horizontal="center"/>
    </xf>
    <xf numFmtId="0" fontId="0" fillId="0" borderId="6" xfId="0" applyBorder="1" applyAlignment="1">
      <alignment horizontal="center"/>
    </xf>
    <xf numFmtId="0" fontId="12" fillId="0" borderId="3" xfId="0" applyFont="1" applyFill="1" applyBorder="1" applyAlignment="1">
      <alignment horizontal="center"/>
    </xf>
    <xf numFmtId="0" fontId="12" fillId="0" borderId="1" xfId="0" applyFont="1" applyFill="1" applyBorder="1" applyAlignment="1">
      <alignment horizontal="center"/>
    </xf>
    <xf numFmtId="0" fontId="10" fillId="2" borderId="0" xfId="0" applyFont="1" applyFill="1"/>
    <xf numFmtId="0" fontId="0" fillId="2" borderId="0" xfId="0" applyFill="1"/>
    <xf numFmtId="0" fontId="0" fillId="2" borderId="0" xfId="0" applyFill="1" applyAlignment="1">
      <alignment horizontal="center"/>
    </xf>
    <xf numFmtId="0" fontId="0" fillId="2" borderId="0" xfId="0" applyFill="1" applyBorder="1"/>
    <xf numFmtId="0" fontId="11"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1" fontId="0" fillId="2" borderId="9" xfId="0" applyNumberFormat="1" applyFill="1" applyBorder="1" applyAlignment="1">
      <alignment horizontal="center" vertical="center"/>
    </xf>
    <xf numFmtId="0" fontId="11"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0" xfId="0" applyFont="1" applyFill="1" applyAlignment="1">
      <alignment vertical="top"/>
    </xf>
    <xf numFmtId="0" fontId="0" fillId="2" borderId="0" xfId="0" applyFill="1" applyBorder="1" applyAlignment="1">
      <alignment horizontal="center"/>
    </xf>
    <xf numFmtId="0" fontId="5" fillId="2" borderId="0" xfId="0" applyFont="1" applyFill="1" applyAlignment="1">
      <alignment horizontal="right" vertical="top"/>
    </xf>
    <xf numFmtId="0" fontId="0" fillId="2" borderId="12" xfId="0" applyFill="1" applyBorder="1"/>
    <xf numFmtId="0" fontId="0" fillId="2" borderId="13" xfId="0" applyFill="1" applyBorder="1"/>
    <xf numFmtId="0" fontId="0" fillId="2" borderId="14" xfId="0" applyFill="1" applyBorder="1"/>
    <xf numFmtId="0" fontId="0" fillId="2" borderId="15" xfId="0" applyFill="1" applyBorder="1"/>
    <xf numFmtId="0" fontId="0" fillId="2" borderId="16" xfId="0" applyFill="1" applyBorder="1"/>
    <xf numFmtId="0" fontId="0" fillId="2" borderId="17" xfId="0" applyFill="1" applyBorder="1"/>
    <xf numFmtId="0" fontId="11" fillId="2" borderId="18" xfId="0" applyFont="1" applyFill="1" applyBorder="1"/>
    <xf numFmtId="0" fontId="11" fillId="2" borderId="19" xfId="0" applyFont="1" applyFill="1" applyBorder="1"/>
    <xf numFmtId="0" fontId="0" fillId="2" borderId="14" xfId="0" applyFill="1" applyBorder="1" applyAlignment="1">
      <alignment horizontal="center"/>
    </xf>
    <xf numFmtId="3" fontId="0" fillId="2" borderId="16" xfId="0" applyNumberFormat="1" applyFill="1" applyBorder="1" applyAlignment="1">
      <alignment horizontal="left"/>
    </xf>
    <xf numFmtId="3" fontId="0" fillId="2" borderId="17" xfId="0" applyNumberFormat="1" applyFill="1" applyBorder="1" applyAlignment="1">
      <alignment horizontal="left"/>
    </xf>
    <xf numFmtId="0" fontId="0" fillId="2" borderId="20" xfId="0" applyFill="1" applyBorder="1"/>
    <xf numFmtId="0" fontId="0" fillId="0" borderId="21" xfId="0" applyBorder="1" applyAlignment="1">
      <alignment horizontal="center"/>
    </xf>
    <xf numFmtId="0" fontId="0" fillId="0" borderId="22" xfId="0" applyBorder="1" applyAlignment="1">
      <alignment horizontal="center"/>
    </xf>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applyAlignment="1">
      <alignment horizontal="center"/>
    </xf>
    <xf numFmtId="0" fontId="0" fillId="0" borderId="25" xfId="0" applyBorder="1" applyAlignment="1">
      <alignment horizontal="center"/>
    </xf>
    <xf numFmtId="0" fontId="0" fillId="0" borderId="28" xfId="0" applyBorder="1"/>
    <xf numFmtId="0" fontId="0" fillId="0" borderId="29" xfId="0" applyBorder="1"/>
    <xf numFmtId="0" fontId="13" fillId="2" borderId="0" xfId="0" applyFont="1" applyFill="1"/>
    <xf numFmtId="0" fontId="11"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Border="1" applyAlignment="1">
      <alignment horizontal="center"/>
    </xf>
    <xf numFmtId="1" fontId="0" fillId="0" borderId="3" xfId="0" applyNumberFormat="1" applyFill="1" applyBorder="1" applyAlignment="1">
      <alignment horizontal="center" vertical="center"/>
    </xf>
    <xf numFmtId="0" fontId="0" fillId="0" borderId="3" xfId="0" applyBorder="1" applyAlignment="1">
      <alignment horizontal="center"/>
    </xf>
    <xf numFmtId="1" fontId="0" fillId="0" borderId="1" xfId="0" applyNumberFormat="1" applyFill="1" applyBorder="1" applyAlignment="1">
      <alignment horizontal="center" vertical="center"/>
    </xf>
    <xf numFmtId="3" fontId="0" fillId="0" borderId="1" xfId="0" applyNumberFormat="1" applyBorder="1" applyAlignment="1">
      <alignment horizontal="center"/>
    </xf>
    <xf numFmtId="1" fontId="0" fillId="0" borderId="30" xfId="0" applyNumberFormat="1" applyFill="1" applyBorder="1" applyAlignment="1">
      <alignment horizontal="center" vertical="center"/>
    </xf>
    <xf numFmtId="3" fontId="0" fillId="0" borderId="3" xfId="0" applyNumberFormat="1" applyBorder="1" applyAlignment="1">
      <alignment horizontal="center"/>
    </xf>
    <xf numFmtId="166" fontId="0" fillId="0" borderId="3" xfId="0" applyNumberFormat="1" applyBorder="1" applyAlignment="1">
      <alignment horizontal="center"/>
    </xf>
    <xf numFmtId="0" fontId="0" fillId="0" borderId="3" xfId="0" applyBorder="1"/>
    <xf numFmtId="166" fontId="0" fillId="0" borderId="1" xfId="0" applyNumberFormat="1" applyBorder="1" applyAlignment="1">
      <alignment horizontal="center"/>
    </xf>
    <xf numFmtId="0" fontId="0" fillId="0" borderId="1" xfId="0" applyFont="1" applyFill="1" applyBorder="1" applyAlignment="1">
      <alignment horizontal="center"/>
    </xf>
    <xf numFmtId="165" fontId="7" fillId="0" borderId="2" xfId="0" applyNumberFormat="1" applyFont="1" applyBorder="1" applyAlignment="1">
      <alignment horizontal="center"/>
    </xf>
    <xf numFmtId="3" fontId="0" fillId="2" borderId="31" xfId="0" applyNumberFormat="1" applyFill="1" applyBorder="1" applyAlignment="1">
      <alignment horizontal="right" vertical="center"/>
    </xf>
    <xf numFmtId="3" fontId="0" fillId="0" borderId="1" xfId="0" applyNumberFormat="1" applyBorder="1" applyAlignment="1">
      <alignment horizontal="right"/>
    </xf>
    <xf numFmtId="3" fontId="0" fillId="0" borderId="30" xfId="0" applyNumberFormat="1" applyBorder="1" applyAlignment="1">
      <alignment horizontal="right"/>
    </xf>
    <xf numFmtId="1" fontId="0" fillId="0" borderId="32" xfId="0" applyNumberFormat="1" applyBorder="1" applyAlignment="1">
      <alignment horizontal="center"/>
    </xf>
    <xf numFmtId="1" fontId="0" fillId="0" borderId="33" xfId="0" applyNumberFormat="1" applyBorder="1" applyAlignment="1">
      <alignment horizontal="center"/>
    </xf>
    <xf numFmtId="3" fontId="0" fillId="0" borderId="34" xfId="0" applyNumberFormat="1" applyBorder="1" applyAlignment="1">
      <alignment horizontal="right"/>
    </xf>
    <xf numFmtId="3" fontId="0" fillId="0" borderId="6" xfId="0" applyNumberFormat="1" applyBorder="1" applyAlignment="1">
      <alignment horizontal="right"/>
    </xf>
    <xf numFmtId="3" fontId="4" fillId="0" borderId="6" xfId="0" applyNumberFormat="1" applyFont="1" applyBorder="1" applyAlignment="1">
      <alignment horizontal="right"/>
    </xf>
    <xf numFmtId="0" fontId="12" fillId="0" borderId="35" xfId="0" applyFont="1" applyFill="1" applyBorder="1" applyAlignment="1">
      <alignment horizontal="center"/>
    </xf>
    <xf numFmtId="11" fontId="0" fillId="0" borderId="0" xfId="0" applyNumberFormat="1"/>
    <xf numFmtId="0" fontId="1" fillId="0" borderId="1" xfId="0" applyFont="1" applyFill="1" applyBorder="1" applyAlignment="1">
      <alignment horizontal="center"/>
    </xf>
    <xf numFmtId="0" fontId="1" fillId="0" borderId="35" xfId="0" applyFont="1" applyFill="1" applyBorder="1" applyAlignment="1">
      <alignment horizontal="center"/>
    </xf>
    <xf numFmtId="0" fontId="1" fillId="0" borderId="36" xfId="0" applyFont="1" applyFill="1" applyBorder="1" applyAlignment="1">
      <alignment horizontal="center"/>
    </xf>
    <xf numFmtId="3" fontId="1" fillId="0" borderId="36" xfId="0" applyNumberFormat="1" applyFont="1" applyFill="1" applyBorder="1" applyAlignment="1">
      <alignment horizontal="center"/>
    </xf>
    <xf numFmtId="0" fontId="0" fillId="0" borderId="37" xfId="0" applyFill="1" applyBorder="1"/>
    <xf numFmtId="0" fontId="0" fillId="0" borderId="38" xfId="0" applyFill="1" applyBorder="1" applyAlignment="1">
      <alignment horizontal="center"/>
    </xf>
    <xf numFmtId="0" fontId="0" fillId="0" borderId="0" xfId="0" applyFill="1" applyBorder="1" applyAlignment="1">
      <alignment horizontal="center"/>
    </xf>
    <xf numFmtId="0" fontId="0" fillId="0" borderId="39" xfId="0" applyFill="1" applyBorder="1"/>
    <xf numFmtId="0" fontId="0" fillId="0" borderId="40" xfId="0" applyFill="1" applyBorder="1" applyAlignment="1">
      <alignment horizontal="center"/>
    </xf>
    <xf numFmtId="0" fontId="4" fillId="0" borderId="41" xfId="0" applyFont="1" applyFill="1" applyBorder="1"/>
    <xf numFmtId="2" fontId="0" fillId="0" borderId="24" xfId="0" applyNumberFormat="1" applyFill="1" applyBorder="1" applyAlignment="1">
      <alignment horizontal="center"/>
    </xf>
    <xf numFmtId="2" fontId="0" fillId="0" borderId="0" xfId="0" applyNumberFormat="1" applyFill="1" applyBorder="1" applyAlignment="1">
      <alignment horizontal="center"/>
    </xf>
    <xf numFmtId="0" fontId="0" fillId="0" borderId="42" xfId="0" applyFill="1" applyBorder="1"/>
    <xf numFmtId="3" fontId="0" fillId="0" borderId="16" xfId="0" applyNumberFormat="1" applyFill="1" applyBorder="1" applyAlignment="1">
      <alignment horizontal="left"/>
    </xf>
    <xf numFmtId="0" fontId="4" fillId="0" borderId="43" xfId="0" applyFont="1" applyFill="1" applyBorder="1"/>
    <xf numFmtId="2" fontId="0" fillId="0" borderId="25" xfId="0" applyNumberFormat="1" applyFill="1" applyBorder="1" applyAlignment="1">
      <alignment horizontal="center"/>
    </xf>
    <xf numFmtId="0" fontId="0" fillId="0" borderId="44" xfId="0" applyFill="1" applyBorder="1"/>
    <xf numFmtId="0" fontId="0" fillId="0" borderId="45" xfId="0" applyFill="1" applyBorder="1"/>
    <xf numFmtId="0" fontId="0" fillId="0" borderId="46" xfId="0" applyFill="1" applyBorder="1"/>
    <xf numFmtId="0" fontId="1" fillId="0" borderId="47" xfId="0" applyFont="1" applyFill="1" applyBorder="1"/>
    <xf numFmtId="2" fontId="2" fillId="0" borderId="0" xfId="0" applyNumberFormat="1" applyFont="1" applyFill="1" applyBorder="1" applyAlignment="1">
      <alignment horizontal="center"/>
    </xf>
    <xf numFmtId="0" fontId="0" fillId="0" borderId="48" xfId="0" applyFill="1" applyBorder="1"/>
    <xf numFmtId="0" fontId="1" fillId="0" borderId="33" xfId="0" applyFont="1" applyFill="1" applyBorder="1"/>
    <xf numFmtId="1" fontId="12" fillId="0" borderId="29" xfId="0" applyNumberFormat="1" applyFont="1" applyFill="1" applyBorder="1" applyAlignment="1">
      <alignment horizontal="center"/>
    </xf>
    <xf numFmtId="1" fontId="12" fillId="0" borderId="0" xfId="0" applyNumberFormat="1" applyFont="1" applyFill="1" applyBorder="1" applyAlignment="1">
      <alignment horizontal="center"/>
    </xf>
    <xf numFmtId="0" fontId="0" fillId="0" borderId="49" xfId="0" applyFill="1" applyBorder="1" applyAlignment="1">
      <alignment vertical="center"/>
    </xf>
    <xf numFmtId="0" fontId="0" fillId="0" borderId="0" xfId="0" applyFill="1"/>
    <xf numFmtId="0" fontId="0" fillId="0" borderId="45" xfId="0" applyFill="1" applyBorder="1" applyAlignment="1">
      <alignment vertical="center"/>
    </xf>
    <xf numFmtId="0" fontId="7" fillId="0" borderId="0" xfId="0" applyFont="1" applyFill="1" applyAlignment="1">
      <alignment vertical="center"/>
    </xf>
    <xf numFmtId="0" fontId="0" fillId="0" borderId="0" xfId="0" applyFill="1" applyBorder="1" applyAlignment="1">
      <alignment horizontal="center" vertical="center"/>
    </xf>
    <xf numFmtId="1" fontId="0" fillId="0" borderId="24" xfId="0" applyNumberFormat="1" applyFill="1" applyBorder="1" applyAlignment="1">
      <alignment horizontal="center"/>
    </xf>
    <xf numFmtId="1" fontId="0" fillId="0" borderId="0" xfId="0" applyNumberFormat="1" applyFill="1" applyBorder="1" applyAlignment="1">
      <alignment horizontal="center"/>
    </xf>
    <xf numFmtId="1" fontId="0" fillId="0" borderId="25" xfId="0" applyNumberFormat="1" applyFill="1" applyBorder="1" applyAlignment="1">
      <alignment horizontal="center"/>
    </xf>
    <xf numFmtId="0" fontId="0" fillId="0" borderId="47" xfId="0" applyFill="1" applyBorder="1"/>
    <xf numFmtId="1" fontId="2" fillId="0" borderId="0" xfId="0" applyNumberFormat="1" applyFont="1" applyFill="1" applyBorder="1" applyAlignment="1">
      <alignment horizontal="center"/>
    </xf>
    <xf numFmtId="0" fontId="0" fillId="0" borderId="33" xfId="0" applyFill="1" applyBorder="1"/>
    <xf numFmtId="0" fontId="0" fillId="0" borderId="0" xfId="0" applyFill="1" applyBorder="1"/>
    <xf numFmtId="0" fontId="7" fillId="0" borderId="0" xfId="0" applyFont="1" applyFill="1"/>
    <xf numFmtId="3" fontId="0" fillId="0" borderId="0" xfId="0" applyNumberFormat="1" applyFill="1" applyBorder="1" applyAlignment="1">
      <alignment horizontal="center"/>
    </xf>
    <xf numFmtId="3" fontId="12" fillId="0" borderId="0" xfId="0" applyNumberFormat="1" applyFont="1" applyFill="1" applyBorder="1" applyAlignment="1">
      <alignment horizontal="center"/>
    </xf>
    <xf numFmtId="0" fontId="0" fillId="0" borderId="50" xfId="0" applyFill="1" applyBorder="1"/>
    <xf numFmtId="0" fontId="0" fillId="0" borderId="51" xfId="0" applyFill="1" applyBorder="1"/>
    <xf numFmtId="1" fontId="0" fillId="0" borderId="27" xfId="0" applyNumberFormat="1" applyFill="1" applyBorder="1" applyAlignment="1">
      <alignment horizontal="center"/>
    </xf>
    <xf numFmtId="1" fontId="12" fillId="0" borderId="52" xfId="0" applyNumberFormat="1" applyFont="1" applyFill="1" applyBorder="1" applyAlignment="1">
      <alignment horizontal="center"/>
    </xf>
    <xf numFmtId="1" fontId="0" fillId="0" borderId="29" xfId="0" applyNumberFormat="1" applyFill="1" applyBorder="1" applyAlignment="1">
      <alignment horizontal="center"/>
    </xf>
    <xf numFmtId="0" fontId="4" fillId="0" borderId="0" xfId="0" applyFont="1" applyFill="1"/>
    <xf numFmtId="0" fontId="0" fillId="0" borderId="53" xfId="0" applyFill="1" applyBorder="1"/>
    <xf numFmtId="0" fontId="0" fillId="0" borderId="54" xfId="0" applyFill="1" applyBorder="1"/>
    <xf numFmtId="0" fontId="0" fillId="0" borderId="55" xfId="0" applyFill="1" applyBorder="1"/>
    <xf numFmtId="0" fontId="0" fillId="0" borderId="56" xfId="0" applyFill="1" applyBorder="1"/>
    <xf numFmtId="0" fontId="0" fillId="0" borderId="57" xfId="0" applyFill="1" applyBorder="1"/>
    <xf numFmtId="0" fontId="0" fillId="0" borderId="16" xfId="0" applyFill="1" applyBorder="1"/>
    <xf numFmtId="0" fontId="0" fillId="0" borderId="0" xfId="0" applyFill="1" applyAlignment="1">
      <alignment horizontal="right"/>
    </xf>
    <xf numFmtId="0" fontId="0" fillId="0" borderId="0" xfId="0" applyFill="1" applyAlignment="1">
      <alignment horizontal="left"/>
    </xf>
    <xf numFmtId="3" fontId="0" fillId="0" borderId="0" xfId="0" applyNumberFormat="1" applyFill="1" applyAlignment="1">
      <alignment horizontal="right"/>
    </xf>
    <xf numFmtId="3" fontId="0" fillId="0" borderId="0" xfId="0" applyNumberFormat="1" applyFill="1" applyAlignment="1">
      <alignment horizontal="left"/>
    </xf>
    <xf numFmtId="11" fontId="0" fillId="0" borderId="0" xfId="0" applyNumberFormat="1" applyFill="1" applyAlignment="1">
      <alignment horizontal="right"/>
    </xf>
    <xf numFmtId="11" fontId="0" fillId="0" borderId="0" xfId="0" applyNumberFormat="1" applyFill="1" applyAlignment="1">
      <alignment horizontal="left"/>
    </xf>
    <xf numFmtId="3" fontId="0" fillId="0" borderId="0" xfId="0" applyNumberFormat="1" applyFill="1"/>
    <xf numFmtId="11" fontId="0" fillId="0" borderId="0" xfId="0" applyNumberFormat="1" applyFill="1"/>
    <xf numFmtId="0" fontId="0" fillId="0" borderId="40" xfId="0" applyFill="1" applyBorder="1"/>
    <xf numFmtId="0" fontId="3" fillId="0" borderId="38" xfId="0" applyFont="1" applyFill="1" applyBorder="1" applyAlignment="1">
      <alignment horizontal="center"/>
    </xf>
    <xf numFmtId="0" fontId="3" fillId="0" borderId="38" xfId="0" applyFont="1" applyFill="1" applyBorder="1" applyAlignment="1">
      <alignment horizontal="center" vertical="center"/>
    </xf>
    <xf numFmtId="0" fontId="0" fillId="0" borderId="25" xfId="0" applyNumberFormat="1" applyFill="1" applyBorder="1" applyAlignment="1">
      <alignment horizontal="center"/>
    </xf>
    <xf numFmtId="1" fontId="2" fillId="0" borderId="25" xfId="0" applyNumberFormat="1" applyFont="1" applyFill="1" applyBorder="1" applyAlignment="1">
      <alignment horizontal="center"/>
    </xf>
    <xf numFmtId="0" fontId="12" fillId="0" borderId="29" xfId="0" applyFont="1" applyFill="1" applyBorder="1" applyAlignment="1">
      <alignment horizontal="center"/>
    </xf>
    <xf numFmtId="0" fontId="0" fillId="0" borderId="58" xfId="0" applyFill="1" applyBorder="1"/>
    <xf numFmtId="0" fontId="0" fillId="2" borderId="0" xfId="0" applyFill="1" applyAlignment="1">
      <alignment horizontal="right"/>
    </xf>
    <xf numFmtId="0" fontId="0" fillId="2" borderId="0" xfId="0" applyFill="1" applyAlignment="1">
      <alignment horizontal="left"/>
    </xf>
    <xf numFmtId="0" fontId="7" fillId="0" borderId="59" xfId="0" applyFont="1" applyBorder="1" applyAlignment="1">
      <alignment horizontal="center"/>
    </xf>
    <xf numFmtId="1" fontId="0" fillId="2" borderId="16" xfId="0" applyNumberFormat="1" applyFill="1" applyBorder="1" applyAlignment="1">
      <alignment horizontal="center" vertical="center"/>
    </xf>
    <xf numFmtId="1" fontId="0" fillId="2" borderId="60" xfId="0" applyNumberFormat="1" applyFill="1" applyBorder="1" applyAlignment="1">
      <alignment horizontal="center" vertical="center"/>
    </xf>
    <xf numFmtId="0" fontId="18" fillId="2" borderId="0" xfId="0" applyFont="1" applyFill="1" applyBorder="1" applyAlignment="1">
      <alignment wrapText="1"/>
    </xf>
    <xf numFmtId="1" fontId="0" fillId="2" borderId="61" xfId="0" applyNumberFormat="1" applyFill="1" applyBorder="1" applyAlignment="1">
      <alignment horizontal="center" vertical="center"/>
    </xf>
    <xf numFmtId="0" fontId="0" fillId="0" borderId="0" xfId="0" applyAlignment="1">
      <alignment horizontal="centerContinuous"/>
    </xf>
    <xf numFmtId="0" fontId="3" fillId="2" borderId="0" xfId="0" applyFont="1" applyFill="1"/>
    <xf numFmtId="1" fontId="0" fillId="2" borderId="0" xfId="0" applyNumberFormat="1" applyFill="1"/>
    <xf numFmtId="0" fontId="4" fillId="0" borderId="62" xfId="0" applyFont="1" applyFill="1" applyBorder="1"/>
    <xf numFmtId="2" fontId="1" fillId="0" borderId="3" xfId="0" applyNumberFormat="1" applyFont="1" applyFill="1" applyBorder="1" applyAlignment="1">
      <alignment horizontal="center"/>
    </xf>
    <xf numFmtId="1" fontId="0" fillId="0" borderId="51" xfId="0" applyNumberFormat="1" applyBorder="1" applyAlignment="1">
      <alignment horizontal="center"/>
    </xf>
    <xf numFmtId="0" fontId="2" fillId="0" borderId="25" xfId="0" applyFont="1" applyFill="1" applyBorder="1" applyAlignment="1">
      <alignment horizontal="center"/>
    </xf>
    <xf numFmtId="0" fontId="0" fillId="2" borderId="0" xfId="0" applyFill="1" applyAlignment="1">
      <alignment horizontal="left" vertical="center"/>
    </xf>
    <xf numFmtId="0" fontId="0" fillId="2" borderId="0" xfId="0" applyFill="1" applyBorder="1" applyAlignment="1"/>
    <xf numFmtId="0" fontId="11" fillId="2" borderId="0" xfId="0" applyFont="1" applyFill="1"/>
    <xf numFmtId="0" fontId="11" fillId="2" borderId="0" xfId="0" applyFont="1" applyFill="1" applyAlignment="1">
      <alignment horizontal="right"/>
    </xf>
    <xf numFmtId="0" fontId="4" fillId="2" borderId="0" xfId="0" applyFont="1" applyFill="1" applyBorder="1" applyAlignment="1"/>
    <xf numFmtId="0" fontId="0" fillId="2" borderId="0" xfId="0" applyFill="1" applyBorder="1" applyAlignment="1">
      <alignment horizontal="left"/>
    </xf>
    <xf numFmtId="166" fontId="0" fillId="0" borderId="25" xfId="0" applyNumberFormat="1" applyBorder="1" applyAlignment="1">
      <alignment horizontal="center"/>
    </xf>
    <xf numFmtId="166" fontId="0" fillId="0" borderId="35" xfId="0" applyNumberFormat="1" applyBorder="1" applyAlignment="1">
      <alignment horizontal="center"/>
    </xf>
    <xf numFmtId="166" fontId="0" fillId="0" borderId="28" xfId="0" applyNumberFormat="1" applyBorder="1" applyAlignment="1">
      <alignment horizontal="center"/>
    </xf>
    <xf numFmtId="166" fontId="0" fillId="0" borderId="34" xfId="0" applyNumberFormat="1" applyBorder="1" applyAlignment="1">
      <alignment horizontal="center"/>
    </xf>
    <xf numFmtId="166" fontId="0" fillId="0" borderId="29" xfId="0" applyNumberFormat="1" applyBorder="1" applyAlignment="1">
      <alignment horizontal="center"/>
    </xf>
    <xf numFmtId="3" fontId="4" fillId="0" borderId="6" xfId="0" applyNumberFormat="1" applyFont="1" applyBorder="1" applyAlignment="1">
      <alignment horizontal="center"/>
    </xf>
    <xf numFmtId="3" fontId="4" fillId="0" borderId="27" xfId="0" applyNumberFormat="1" applyFont="1" applyBorder="1" applyAlignment="1">
      <alignment horizontal="center"/>
    </xf>
    <xf numFmtId="0" fontId="21" fillId="2" borderId="0" xfId="0" applyFont="1" applyFill="1" applyAlignment="1">
      <alignment horizontal="right"/>
    </xf>
    <xf numFmtId="0" fontId="22" fillId="2" borderId="0" xfId="0" applyFont="1" applyFill="1"/>
    <xf numFmtId="0" fontId="11" fillId="2" borderId="18" xfId="0" applyFont="1" applyFill="1" applyBorder="1" applyAlignment="1">
      <alignment vertical="center"/>
    </xf>
    <xf numFmtId="0" fontId="11" fillId="2" borderId="19" xfId="0" applyFont="1" applyFill="1" applyBorder="1" applyAlignment="1">
      <alignment vertical="center"/>
    </xf>
    <xf numFmtId="0" fontId="11" fillId="2" borderId="15" xfId="0" applyFont="1" applyFill="1" applyBorder="1" applyAlignment="1">
      <alignment vertical="center"/>
    </xf>
    <xf numFmtId="3" fontId="3" fillId="2" borderId="0" xfId="0" applyNumberFormat="1" applyFont="1" applyFill="1"/>
    <xf numFmtId="1" fontId="0" fillId="2" borderId="63" xfId="0" applyNumberFormat="1" applyFill="1" applyBorder="1" applyAlignment="1">
      <alignment horizontal="center" vertical="center"/>
    </xf>
    <xf numFmtId="3" fontId="0" fillId="2" borderId="1" xfId="0" applyNumberFormat="1" applyFill="1" applyBorder="1" applyAlignment="1">
      <alignment horizontal="right" vertical="center"/>
    </xf>
    <xf numFmtId="3" fontId="0" fillId="2" borderId="64" xfId="0" applyNumberFormat="1" applyFill="1" applyBorder="1" applyAlignment="1">
      <alignment horizontal="right" vertical="center"/>
    </xf>
    <xf numFmtId="1" fontId="0" fillId="2" borderId="65" xfId="0" applyNumberFormat="1" applyFill="1" applyBorder="1" applyAlignment="1">
      <alignment horizontal="center" vertical="center"/>
    </xf>
    <xf numFmtId="0" fontId="4" fillId="2" borderId="0" xfId="0" applyFont="1" applyFill="1"/>
    <xf numFmtId="0" fontId="11" fillId="2" borderId="0" xfId="0" applyFont="1" applyFill="1" applyAlignment="1">
      <alignment horizontal="center"/>
    </xf>
    <xf numFmtId="3" fontId="11" fillId="2" borderId="0" xfId="0" applyNumberFormat="1" applyFont="1" applyFill="1" applyAlignment="1">
      <alignment horizontal="center"/>
    </xf>
    <xf numFmtId="167" fontId="11" fillId="2" borderId="0" xfId="0" applyNumberFormat="1" applyFont="1" applyFill="1" applyAlignment="1">
      <alignment horizontal="center"/>
    </xf>
    <xf numFmtId="1" fontId="11" fillId="2" borderId="0" xfId="0" applyNumberFormat="1" applyFont="1" applyFill="1" applyAlignment="1">
      <alignment horizontal="center"/>
    </xf>
    <xf numFmtId="0" fontId="5" fillId="2" borderId="0" xfId="0" applyFont="1" applyFill="1"/>
    <xf numFmtId="0" fontId="32" fillId="2" borderId="0" xfId="0" applyFont="1" applyFill="1"/>
    <xf numFmtId="0" fontId="33" fillId="2" borderId="0" xfId="0" applyFont="1" applyFill="1"/>
    <xf numFmtId="0" fontId="11" fillId="2" borderId="66" xfId="0" applyFont="1" applyFill="1" applyBorder="1" applyAlignment="1">
      <alignment horizontal="centerContinuous"/>
    </xf>
    <xf numFmtId="0" fontId="11" fillId="2" borderId="67" xfId="0" applyFont="1" applyFill="1" applyBorder="1" applyAlignment="1">
      <alignment horizontal="centerContinuous"/>
    </xf>
    <xf numFmtId="0" fontId="11" fillId="2" borderId="68" xfId="0" applyFont="1" applyFill="1" applyBorder="1" applyAlignment="1">
      <alignment horizontal="centerContinuous"/>
    </xf>
    <xf numFmtId="0" fontId="0" fillId="2" borderId="69" xfId="0" applyFill="1" applyBorder="1" applyAlignment="1">
      <alignment horizontal="centerContinuous"/>
    </xf>
    <xf numFmtId="0" fontId="0" fillId="2" borderId="70" xfId="0" applyFill="1" applyBorder="1"/>
    <xf numFmtId="0" fontId="4" fillId="2" borderId="0" xfId="0" quotePrefix="1" applyFont="1" applyFill="1"/>
    <xf numFmtId="0" fontId="20" fillId="2" borderId="0" xfId="0" applyFont="1" applyFill="1"/>
    <xf numFmtId="0" fontId="0" fillId="2" borderId="0" xfId="0" quotePrefix="1" applyFill="1"/>
    <xf numFmtId="0" fontId="0" fillId="2" borderId="0" xfId="0" applyFill="1" applyAlignment="1"/>
    <xf numFmtId="0" fontId="36" fillId="2" borderId="0" xfId="0" applyFont="1" applyFill="1"/>
    <xf numFmtId="0" fontId="4" fillId="2" borderId="0" xfId="0" applyFont="1" applyFill="1" applyAlignment="1"/>
    <xf numFmtId="0" fontId="31" fillId="2" borderId="0" xfId="0" applyNumberFormat="1" applyFont="1" applyFill="1" applyAlignment="1">
      <alignment vertical="top"/>
    </xf>
    <xf numFmtId="3" fontId="4" fillId="2" borderId="16" xfId="0" applyNumberFormat="1" applyFont="1" applyFill="1" applyBorder="1" applyAlignment="1"/>
    <xf numFmtId="0" fontId="11" fillId="2" borderId="66" xfId="0" applyFont="1" applyFill="1" applyBorder="1" applyAlignment="1">
      <alignment horizontal="center" vertical="center"/>
    </xf>
    <xf numFmtId="0" fontId="7" fillId="2" borderId="71" xfId="0" applyFont="1" applyFill="1" applyBorder="1" applyAlignment="1">
      <alignment horizontal="center" vertical="center" wrapText="1"/>
    </xf>
    <xf numFmtId="0" fontId="7" fillId="2" borderId="69" xfId="0" applyFont="1" applyFill="1" applyBorder="1" applyAlignment="1">
      <alignment horizontal="center" vertical="center" wrapText="1"/>
    </xf>
    <xf numFmtId="0" fontId="3" fillId="2" borderId="0" xfId="0" applyFont="1" applyFill="1" applyAlignment="1">
      <alignment vertical="center"/>
    </xf>
    <xf numFmtId="0" fontId="0" fillId="0" borderId="72" xfId="0" applyFill="1" applyBorder="1"/>
    <xf numFmtId="0" fontId="0" fillId="2" borderId="73" xfId="0" applyFill="1" applyBorder="1"/>
    <xf numFmtId="0" fontId="1" fillId="2" borderId="0" xfId="0" applyFont="1" applyFill="1"/>
    <xf numFmtId="0" fontId="1" fillId="2" borderId="0" xfId="0" applyFont="1" applyFill="1" applyAlignment="1">
      <alignment horizontal="center"/>
    </xf>
    <xf numFmtId="0" fontId="37" fillId="2" borderId="0" xfId="0" applyFont="1" applyFill="1"/>
    <xf numFmtId="0" fontId="37" fillId="2" borderId="0" xfId="0" applyFont="1" applyFill="1" applyAlignment="1">
      <alignment horizontal="center"/>
    </xf>
    <xf numFmtId="3" fontId="37" fillId="2" borderId="0" xfId="0" applyNumberFormat="1" applyFont="1" applyFill="1" applyAlignment="1">
      <alignment horizontal="center"/>
    </xf>
    <xf numFmtId="0" fontId="39" fillId="2" borderId="0" xfId="0" applyFont="1" applyFill="1"/>
    <xf numFmtId="167" fontId="39" fillId="2" borderId="0" xfId="0" applyNumberFormat="1" applyFont="1" applyFill="1" applyAlignment="1">
      <alignment horizontal="center"/>
    </xf>
    <xf numFmtId="3" fontId="39" fillId="2" borderId="0" xfId="0" applyNumberFormat="1" applyFont="1" applyFill="1" applyAlignment="1">
      <alignment horizontal="center"/>
    </xf>
    <xf numFmtId="0" fontId="38" fillId="2" borderId="0" xfId="0" applyFont="1" applyFill="1" applyAlignment="1">
      <alignment vertical="center"/>
    </xf>
    <xf numFmtId="1" fontId="39" fillId="2" borderId="0" xfId="0" applyNumberFormat="1" applyFont="1" applyFill="1" applyAlignment="1">
      <alignment horizontal="center"/>
    </xf>
    <xf numFmtId="0" fontId="1" fillId="2" borderId="0" xfId="0" applyFont="1" applyFill="1" applyAlignment="1"/>
    <xf numFmtId="0" fontId="37" fillId="2" borderId="0" xfId="0" applyFont="1" applyFill="1" applyAlignment="1"/>
    <xf numFmtId="3" fontId="38" fillId="2" borderId="0" xfId="0" applyNumberFormat="1" applyFont="1" applyFill="1" applyAlignment="1"/>
    <xf numFmtId="0" fontId="39" fillId="2" borderId="0" xfId="0" applyFont="1" applyFill="1" applyAlignment="1"/>
    <xf numFmtId="0" fontId="38" fillId="2" borderId="0" xfId="0" applyFont="1" applyFill="1" applyAlignment="1"/>
    <xf numFmtId="0" fontId="39" fillId="2" borderId="0" xfId="0" applyFont="1" applyFill="1" applyBorder="1" applyAlignment="1"/>
    <xf numFmtId="0" fontId="39" fillId="2" borderId="0" xfId="0" applyFont="1" applyFill="1" applyBorder="1" applyAlignment="1">
      <alignment horizontal="left" vertical="top"/>
    </xf>
    <xf numFmtId="0" fontId="7" fillId="3" borderId="2" xfId="0" applyFont="1" applyFill="1" applyBorder="1" applyAlignment="1">
      <alignment horizontal="center"/>
    </xf>
    <xf numFmtId="0" fontId="7" fillId="3" borderId="74" xfId="0" applyFont="1" applyFill="1" applyBorder="1" applyAlignment="1">
      <alignment horizontal="center"/>
    </xf>
    <xf numFmtId="0" fontId="11" fillId="0" borderId="4" xfId="0" applyFont="1" applyBorder="1" applyAlignment="1">
      <alignment horizontal="center" vertical="center" wrapText="1"/>
    </xf>
    <xf numFmtId="0" fontId="4" fillId="3" borderId="41" xfId="0" applyFont="1" applyFill="1" applyBorder="1" applyAlignment="1"/>
    <xf numFmtId="0" fontId="4" fillId="3" borderId="75" xfId="0" applyFont="1" applyFill="1" applyBorder="1" applyAlignment="1"/>
    <xf numFmtId="0" fontId="4" fillId="3" borderId="44" xfId="0" applyFont="1" applyFill="1" applyBorder="1" applyAlignment="1">
      <alignment horizontal="center"/>
    </xf>
    <xf numFmtId="0" fontId="4" fillId="3" borderId="43" xfId="0" applyFont="1" applyFill="1" applyBorder="1" applyAlignment="1"/>
    <xf numFmtId="0" fontId="4" fillId="3" borderId="76" xfId="0" applyFont="1" applyFill="1" applyBorder="1" applyAlignment="1"/>
    <xf numFmtId="3" fontId="4" fillId="3" borderId="45" xfId="0" applyNumberFormat="1" applyFont="1" applyFill="1" applyBorder="1" applyAlignment="1">
      <alignment horizontal="center"/>
    </xf>
    <xf numFmtId="0" fontId="4" fillId="3" borderId="45" xfId="0" applyFont="1" applyFill="1" applyBorder="1" applyAlignment="1"/>
    <xf numFmtId="167" fontId="4" fillId="3" borderId="45" xfId="0" applyNumberFormat="1" applyFont="1" applyFill="1" applyBorder="1" applyAlignment="1">
      <alignment horizontal="center"/>
    </xf>
    <xf numFmtId="1" fontId="4" fillId="3" borderId="45" xfId="0" applyNumberFormat="1" applyFont="1" applyFill="1" applyBorder="1" applyAlignment="1">
      <alignment horizontal="center"/>
    </xf>
    <xf numFmtId="0" fontId="4" fillId="3" borderId="43" xfId="0" applyFont="1" applyFill="1" applyBorder="1" applyAlignment="1">
      <alignment horizontal="left" vertical="top"/>
    </xf>
    <xf numFmtId="0" fontId="4" fillId="3" borderId="76" xfId="0" applyFont="1" applyFill="1" applyBorder="1" applyAlignment="1">
      <alignment horizontal="left" vertical="top"/>
    </xf>
    <xf numFmtId="0" fontId="4" fillId="3" borderId="45" xfId="0" applyFont="1" applyFill="1" applyBorder="1" applyAlignment="1">
      <alignment horizontal="left" vertical="top"/>
    </xf>
    <xf numFmtId="0" fontId="4" fillId="3" borderId="43" xfId="0" applyFont="1" applyFill="1" applyBorder="1"/>
    <xf numFmtId="0" fontId="4" fillId="3" borderId="76" xfId="0" applyFont="1" applyFill="1" applyBorder="1"/>
    <xf numFmtId="0" fontId="4" fillId="3" borderId="45" xfId="0" applyFont="1" applyFill="1" applyBorder="1"/>
    <xf numFmtId="0" fontId="4" fillId="3" borderId="62" xfId="0" applyFont="1" applyFill="1" applyBorder="1"/>
    <xf numFmtId="0" fontId="4" fillId="3" borderId="77" xfId="0" applyFont="1" applyFill="1" applyBorder="1"/>
    <xf numFmtId="0" fontId="4" fillId="3" borderId="78" xfId="0" applyFont="1" applyFill="1" applyBorder="1"/>
    <xf numFmtId="0" fontId="1" fillId="2" borderId="0" xfId="0" applyFont="1" applyFill="1" applyBorder="1" applyAlignment="1">
      <alignment horizontal="center"/>
    </xf>
    <xf numFmtId="0" fontId="28" fillId="2" borderId="0" xfId="0" applyNumberFormat="1" applyFont="1" applyFill="1" applyAlignment="1">
      <alignment wrapText="1"/>
    </xf>
    <xf numFmtId="0" fontId="28" fillId="2" borderId="0" xfId="0" applyFont="1" applyFill="1" applyAlignment="1">
      <alignment horizontal="left"/>
    </xf>
    <xf numFmtId="0" fontId="4" fillId="0" borderId="47" xfId="0" applyFont="1" applyFill="1" applyBorder="1"/>
    <xf numFmtId="0" fontId="0" fillId="3" borderId="40" xfId="0" applyFill="1" applyBorder="1"/>
    <xf numFmtId="1" fontId="0" fillId="3" borderId="24" xfId="0" applyNumberFormat="1" applyFill="1" applyBorder="1" applyAlignment="1">
      <alignment horizontal="center"/>
    </xf>
    <xf numFmtId="1" fontId="0" fillId="3" borderId="25" xfId="0" applyNumberFormat="1" applyFill="1" applyBorder="1" applyAlignment="1">
      <alignment horizontal="center"/>
    </xf>
    <xf numFmtId="0" fontId="0" fillId="0" borderId="79" xfId="0" applyFill="1" applyBorder="1"/>
    <xf numFmtId="1" fontId="0" fillId="0" borderId="80" xfId="0" applyNumberFormat="1" applyFill="1" applyBorder="1" applyAlignment="1">
      <alignment horizontal="center"/>
    </xf>
    <xf numFmtId="0" fontId="4" fillId="2" borderId="0" xfId="0" applyFont="1" applyFill="1" applyBorder="1"/>
    <xf numFmtId="0" fontId="4" fillId="2" borderId="14" xfId="0" applyFont="1" applyFill="1" applyBorder="1"/>
    <xf numFmtId="0" fontId="4" fillId="2" borderId="14" xfId="0" applyFont="1" applyFill="1" applyBorder="1" applyAlignment="1"/>
    <xf numFmtId="0" fontId="4" fillId="2" borderId="12" xfId="0" applyFont="1" applyFill="1" applyBorder="1" applyAlignment="1"/>
    <xf numFmtId="0" fontId="4" fillId="2" borderId="16" xfId="0" applyFont="1" applyFill="1" applyBorder="1"/>
    <xf numFmtId="0" fontId="4" fillId="2" borderId="17" xfId="0" applyFont="1" applyFill="1" applyBorder="1"/>
    <xf numFmtId="0" fontId="21" fillId="2" borderId="0" xfId="0" applyFont="1" applyFill="1" applyBorder="1" applyAlignment="1">
      <alignment horizontal="right"/>
    </xf>
    <xf numFmtId="3" fontId="4" fillId="2" borderId="0" xfId="0" applyNumberFormat="1" applyFont="1" applyFill="1" applyBorder="1" applyAlignment="1"/>
    <xf numFmtId="3" fontId="0" fillId="2" borderId="12" xfId="0" applyNumberFormat="1" applyFill="1" applyBorder="1" applyAlignment="1">
      <alignment horizontal="left"/>
    </xf>
    <xf numFmtId="0" fontId="4" fillId="2" borderId="13" xfId="0" applyFont="1" applyFill="1" applyBorder="1" applyAlignment="1">
      <alignment wrapText="1"/>
    </xf>
    <xf numFmtId="0" fontId="4" fillId="2" borderId="14" xfId="0" applyFont="1" applyFill="1" applyBorder="1" applyAlignment="1">
      <alignment wrapText="1"/>
    </xf>
    <xf numFmtId="0" fontId="4" fillId="2" borderId="12" xfId="0" applyFont="1" applyFill="1" applyBorder="1" applyAlignment="1">
      <alignment wrapText="1"/>
    </xf>
    <xf numFmtId="0" fontId="41" fillId="2" borderId="12" xfId="0" applyFont="1" applyFill="1" applyBorder="1"/>
    <xf numFmtId="0" fontId="41" fillId="2" borderId="0" xfId="0" applyFont="1" applyFill="1"/>
    <xf numFmtId="0" fontId="31" fillId="2" borderId="15" xfId="0" applyNumberFormat="1" applyFont="1" applyFill="1" applyBorder="1" applyAlignment="1"/>
    <xf numFmtId="0" fontId="41" fillId="2" borderId="0" xfId="0" applyNumberFormat="1" applyFont="1" applyFill="1" applyBorder="1"/>
    <xf numFmtId="0" fontId="0" fillId="0" borderId="1" xfId="0" applyFill="1" applyBorder="1" applyAlignment="1">
      <alignment vertical="center"/>
    </xf>
    <xf numFmtId="0" fontId="0" fillId="2" borderId="0" xfId="0" quotePrefix="1" applyFill="1" applyAlignment="1">
      <alignment wrapText="1"/>
    </xf>
    <xf numFmtId="0" fontId="0" fillId="0" borderId="0" xfId="0" applyAlignment="1"/>
    <xf numFmtId="0" fontId="23" fillId="2" borderId="0" xfId="0" applyFont="1" applyFill="1"/>
    <xf numFmtId="0" fontId="5" fillId="2" borderId="0" xfId="0" applyFont="1" applyFill="1" applyAlignment="1">
      <alignment vertical="center"/>
    </xf>
    <xf numFmtId="0" fontId="23" fillId="2" borderId="0" xfId="0" applyFont="1" applyFill="1" applyAlignment="1">
      <alignment vertical="center"/>
    </xf>
    <xf numFmtId="0" fontId="0" fillId="2" borderId="0" xfId="0" applyFill="1" applyAlignment="1">
      <alignment horizontal="centerContinuous"/>
    </xf>
    <xf numFmtId="0" fontId="28" fillId="2" borderId="0" xfId="0" applyFont="1" applyFill="1" applyAlignment="1">
      <alignment horizontal="right"/>
    </xf>
    <xf numFmtId="167" fontId="28" fillId="2" borderId="0" xfId="0" applyNumberFormat="1" applyFont="1" applyFill="1"/>
    <xf numFmtId="0" fontId="29" fillId="2" borderId="0" xfId="0" applyFont="1" applyFill="1" applyAlignment="1">
      <alignment vertical="center"/>
    </xf>
    <xf numFmtId="3" fontId="28" fillId="2" borderId="0" xfId="0" applyNumberFormat="1" applyFont="1" applyFill="1"/>
    <xf numFmtId="0" fontId="28" fillId="2" borderId="0" xfId="0" applyFont="1" applyFill="1"/>
    <xf numFmtId="0" fontId="30" fillId="2" borderId="0" xfId="0" applyFont="1" applyFill="1" applyAlignment="1">
      <alignment horizontal="left"/>
    </xf>
    <xf numFmtId="0" fontId="29" fillId="2" borderId="0" xfId="0" applyFont="1" applyFill="1"/>
    <xf numFmtId="0" fontId="28" fillId="2" borderId="0" xfId="0" applyFont="1" applyFill="1" applyAlignment="1">
      <alignment horizontal="right" vertical="center"/>
    </xf>
    <xf numFmtId="0" fontId="17" fillId="2" borderId="0" xfId="0" applyFont="1" applyFill="1"/>
    <xf numFmtId="0" fontId="42" fillId="0" borderId="0" xfId="0" applyFont="1" applyAlignment="1">
      <alignment horizontal="centerContinuous"/>
    </xf>
    <xf numFmtId="0" fontId="6" fillId="0" borderId="0" xfId="0" applyFont="1" applyAlignment="1">
      <alignment horizontal="right"/>
    </xf>
    <xf numFmtId="0" fontId="5" fillId="0" borderId="0" xfId="0" applyFont="1" applyAlignment="1"/>
    <xf numFmtId="0" fontId="4" fillId="0" borderId="0" xfId="0" applyFont="1" applyFill="1" applyAlignment="1">
      <alignment wrapText="1"/>
    </xf>
    <xf numFmtId="0" fontId="11" fillId="0" borderId="0" xfId="0" applyFont="1" applyFill="1"/>
    <xf numFmtId="0" fontId="4" fillId="0" borderId="0" xfId="0" applyFont="1" applyFill="1" applyAlignment="1">
      <alignment horizontal="left" wrapText="1"/>
    </xf>
    <xf numFmtId="0" fontId="4" fillId="0" borderId="0" xfId="0" applyNumberFormat="1" applyFont="1" applyFill="1" applyAlignment="1">
      <alignment wrapText="1"/>
    </xf>
    <xf numFmtId="0" fontId="0" fillId="0" borderId="0" xfId="0" applyAlignment="1">
      <alignment horizontal="center"/>
    </xf>
    <xf numFmtId="0" fontId="1" fillId="0" borderId="0" xfId="0" applyFont="1"/>
    <xf numFmtId="0" fontId="43" fillId="0" borderId="0" xfId="0" applyFont="1"/>
    <xf numFmtId="0" fontId="11" fillId="0" borderId="0" xfId="0" applyFont="1" applyFill="1" applyAlignment="1">
      <alignment horizontal="center"/>
    </xf>
    <xf numFmtId="3" fontId="11" fillId="0" borderId="0" xfId="0" applyNumberFormat="1" applyFont="1" applyFill="1" applyAlignment="1">
      <alignment horizontal="center"/>
    </xf>
    <xf numFmtId="3" fontId="3" fillId="0" borderId="0" xfId="0" applyNumberFormat="1" applyFont="1" applyFill="1"/>
    <xf numFmtId="167" fontId="11" fillId="0" borderId="0" xfId="0" applyNumberFormat="1" applyFont="1" applyFill="1" applyAlignment="1">
      <alignment horizontal="center"/>
    </xf>
    <xf numFmtId="0" fontId="3" fillId="0" borderId="0" xfId="0" applyFont="1" applyFill="1"/>
    <xf numFmtId="0" fontId="3" fillId="0" borderId="0" xfId="0" applyFont="1" applyFill="1" applyAlignment="1">
      <alignment vertical="center"/>
    </xf>
    <xf numFmtId="1" fontId="11" fillId="0" borderId="0" xfId="0" applyNumberFormat="1" applyFont="1" applyFill="1" applyAlignment="1">
      <alignment horizontal="center"/>
    </xf>
    <xf numFmtId="0" fontId="1" fillId="0" borderId="0" xfId="0" applyFont="1" applyFill="1"/>
    <xf numFmtId="0" fontId="7" fillId="0" borderId="74" xfId="0" applyFont="1" applyBorder="1" applyAlignment="1">
      <alignment horizontal="center"/>
    </xf>
    <xf numFmtId="3" fontId="4" fillId="0" borderId="27" xfId="0" applyNumberFormat="1" applyFont="1" applyBorder="1" applyAlignment="1">
      <alignment horizontal="right"/>
    </xf>
    <xf numFmtId="3" fontId="0" fillId="0" borderId="25" xfId="0" applyNumberFormat="1" applyBorder="1" applyAlignment="1">
      <alignment horizontal="right"/>
    </xf>
    <xf numFmtId="3" fontId="0" fillId="0" borderId="29" xfId="0" applyNumberFormat="1" applyBorder="1" applyAlignment="1">
      <alignment horizontal="right"/>
    </xf>
    <xf numFmtId="0" fontId="43" fillId="0" borderId="0" xfId="0" applyFont="1" applyAlignment="1"/>
    <xf numFmtId="0" fontId="44" fillId="0" borderId="0" xfId="0" applyFont="1"/>
    <xf numFmtId="0" fontId="5" fillId="0" borderId="0" xfId="0" applyFont="1" applyAlignment="1">
      <alignment vertical="top" wrapText="1"/>
    </xf>
    <xf numFmtId="0" fontId="4" fillId="0" borderId="0" xfId="0" applyFont="1" applyAlignment="1">
      <alignment horizontal="centerContinuous"/>
    </xf>
    <xf numFmtId="0" fontId="23" fillId="0" borderId="0" xfId="0" applyFont="1" applyFill="1"/>
    <xf numFmtId="0" fontId="5" fillId="0" borderId="0" xfId="0" applyFont="1" applyFill="1" applyAlignment="1">
      <alignment vertical="center"/>
    </xf>
    <xf numFmtId="0" fontId="23" fillId="0" borderId="0" xfId="0" applyFont="1" applyFill="1" applyAlignment="1">
      <alignment vertical="center"/>
    </xf>
    <xf numFmtId="0" fontId="28" fillId="2" borderId="81" xfId="0" applyFont="1" applyFill="1" applyBorder="1"/>
    <xf numFmtId="0" fontId="28" fillId="2" borderId="82" xfId="0" applyFont="1" applyFill="1" applyBorder="1"/>
    <xf numFmtId="0" fontId="41" fillId="2" borderId="0" xfId="0" applyFont="1" applyFill="1" applyAlignment="1"/>
    <xf numFmtId="166" fontId="4" fillId="3" borderId="3" xfId="0" applyNumberFormat="1" applyFont="1" applyFill="1" applyBorder="1" applyAlignment="1">
      <alignment horizontal="center"/>
    </xf>
    <xf numFmtId="166" fontId="4" fillId="3" borderId="24" xfId="0" applyNumberFormat="1" applyFont="1" applyFill="1" applyBorder="1" applyAlignment="1">
      <alignment horizontal="center"/>
    </xf>
    <xf numFmtId="166" fontId="4" fillId="3" borderId="1" xfId="0" applyNumberFormat="1" applyFont="1" applyFill="1" applyBorder="1" applyAlignment="1">
      <alignment horizontal="center"/>
    </xf>
    <xf numFmtId="166" fontId="4" fillId="3" borderId="25" xfId="0" applyNumberFormat="1" applyFont="1" applyFill="1" applyBorder="1" applyAlignment="1">
      <alignment horizontal="center"/>
    </xf>
    <xf numFmtId="166" fontId="4" fillId="3" borderId="34" xfId="0" applyNumberFormat="1" applyFont="1" applyFill="1" applyBorder="1" applyAlignment="1">
      <alignment horizontal="center"/>
    </xf>
    <xf numFmtId="166" fontId="4" fillId="3" borderId="29" xfId="0" applyNumberFormat="1" applyFont="1" applyFill="1" applyBorder="1" applyAlignment="1">
      <alignment horizontal="center"/>
    </xf>
    <xf numFmtId="1" fontId="0" fillId="0" borderId="5" xfId="0" applyNumberFormat="1" applyFill="1" applyBorder="1" applyAlignment="1" applyProtection="1">
      <alignment horizontal="center" vertical="center"/>
      <protection locked="0"/>
    </xf>
    <xf numFmtId="1" fontId="0" fillId="0" borderId="83" xfId="0" applyNumberFormat="1" applyFill="1" applyBorder="1" applyAlignment="1" applyProtection="1">
      <alignment horizontal="center" vertical="center"/>
      <protection locked="0"/>
    </xf>
    <xf numFmtId="3" fontId="0" fillId="0" borderId="5" xfId="0" applyNumberFormat="1" applyFill="1" applyBorder="1" applyAlignment="1" applyProtection="1">
      <alignment horizontal="center" vertical="center"/>
      <protection locked="0"/>
    </xf>
    <xf numFmtId="3" fontId="0" fillId="0" borderId="56" xfId="0" applyNumberFormat="1" applyFill="1" applyBorder="1" applyAlignment="1" applyProtection="1">
      <alignment horizontal="right" vertical="center"/>
      <protection locked="0"/>
    </xf>
    <xf numFmtId="3" fontId="0" fillId="2" borderId="16" xfId="0" applyNumberFormat="1" applyFill="1" applyBorder="1" applyAlignment="1" applyProtection="1">
      <alignment horizontal="left"/>
      <protection locked="0"/>
    </xf>
    <xf numFmtId="0" fontId="0" fillId="4" borderId="5" xfId="0" applyFill="1" applyBorder="1" applyAlignment="1" applyProtection="1">
      <alignment horizontal="center"/>
      <protection locked="0"/>
    </xf>
    <xf numFmtId="0" fontId="0" fillId="2" borderId="0" xfId="0" applyFill="1" applyAlignment="1" applyProtection="1">
      <alignment horizontal="left" vertical="center"/>
      <protection locked="0"/>
    </xf>
    <xf numFmtId="0" fontId="0" fillId="2" borderId="19" xfId="0" applyFill="1" applyBorder="1" applyAlignment="1" applyProtection="1">
      <protection locked="0"/>
    </xf>
    <xf numFmtId="0" fontId="0" fillId="2" borderId="19" xfId="0" applyFill="1" applyBorder="1" applyProtection="1">
      <protection locked="0"/>
    </xf>
    <xf numFmtId="0" fontId="0" fillId="2" borderId="19" xfId="0" applyNumberFormat="1" applyFill="1" applyBorder="1" applyProtection="1">
      <protection locked="0"/>
    </xf>
    <xf numFmtId="0" fontId="0" fillId="2" borderId="0" xfId="0" applyFill="1" applyAlignment="1" applyProtection="1">
      <alignment horizontal="left"/>
      <protection locked="0"/>
    </xf>
    <xf numFmtId="0" fontId="1" fillId="3" borderId="5" xfId="0" applyFont="1" applyFill="1" applyBorder="1" applyAlignment="1" applyProtection="1">
      <alignment horizontal="center"/>
      <protection locked="0"/>
    </xf>
    <xf numFmtId="0" fontId="11" fillId="0" borderId="0" xfId="0" applyFont="1" applyAlignment="1">
      <alignment horizontal="centerContinuous"/>
    </xf>
    <xf numFmtId="0" fontId="4" fillId="0" borderId="0" xfId="0" applyFont="1" applyAlignment="1"/>
    <xf numFmtId="0" fontId="4" fillId="0" borderId="0" xfId="0" applyFont="1" applyBorder="1" applyAlignment="1"/>
    <xf numFmtId="0" fontId="1" fillId="0" borderId="0" xfId="0" applyFont="1" applyAlignment="1"/>
    <xf numFmtId="0" fontId="43" fillId="0" borderId="0" xfId="0" applyFont="1" applyBorder="1" applyAlignment="1"/>
    <xf numFmtId="0" fontId="1" fillId="0" borderId="0" xfId="0" applyFont="1" applyAlignment="1">
      <alignment vertical="top" wrapText="1"/>
    </xf>
    <xf numFmtId="0" fontId="36" fillId="0" borderId="0" xfId="0" applyFont="1"/>
    <xf numFmtId="0" fontId="4" fillId="2" borderId="0" xfId="0" applyFont="1" applyFill="1" applyAlignment="1">
      <alignment horizontal="left" wrapText="1"/>
    </xf>
    <xf numFmtId="2" fontId="1" fillId="5" borderId="3" xfId="0" applyNumberFormat="1" applyFont="1" applyFill="1" applyBorder="1" applyAlignment="1">
      <alignment horizontal="center"/>
    </xf>
    <xf numFmtId="0" fontId="1" fillId="5" borderId="1" xfId="0" applyFont="1" applyFill="1" applyBorder="1" applyAlignment="1">
      <alignment horizontal="center"/>
    </xf>
    <xf numFmtId="0" fontId="1" fillId="5" borderId="35" xfId="0" applyFont="1" applyFill="1" applyBorder="1" applyAlignment="1">
      <alignment horizontal="center"/>
    </xf>
    <xf numFmtId="3" fontId="1" fillId="5" borderId="36" xfId="0" applyNumberFormat="1" applyFont="1" applyFill="1" applyBorder="1" applyAlignment="1">
      <alignment horizontal="center"/>
    </xf>
    <xf numFmtId="0" fontId="1" fillId="5" borderId="36" xfId="0" applyFont="1" applyFill="1" applyBorder="1" applyAlignment="1">
      <alignment horizontal="center"/>
    </xf>
    <xf numFmtId="0" fontId="0" fillId="5" borderId="6" xfId="0" applyFill="1" applyBorder="1" applyAlignment="1">
      <alignment horizontal="center"/>
    </xf>
    <xf numFmtId="0" fontId="0" fillId="5" borderId="1" xfId="0" applyFill="1" applyBorder="1" applyAlignment="1">
      <alignment horizontal="center"/>
    </xf>
    <xf numFmtId="2" fontId="0" fillId="5" borderId="1" xfId="0" applyNumberFormat="1" applyFill="1" applyBorder="1" applyAlignment="1">
      <alignment horizontal="center"/>
    </xf>
    <xf numFmtId="168" fontId="0" fillId="5" borderId="1" xfId="0" applyNumberFormat="1" applyFill="1" applyBorder="1" applyAlignment="1">
      <alignment horizontal="center"/>
    </xf>
    <xf numFmtId="169" fontId="0" fillId="5" borderId="1" xfId="0" applyNumberFormat="1" applyFill="1" applyBorder="1" applyAlignment="1">
      <alignment horizontal="center"/>
    </xf>
    <xf numFmtId="0" fontId="0" fillId="0" borderId="0" xfId="0" applyBorder="1"/>
    <xf numFmtId="0" fontId="0" fillId="0" borderId="45" xfId="0" applyNumberFormat="1" applyFill="1" applyBorder="1" applyAlignment="1">
      <alignment vertical="center"/>
    </xf>
    <xf numFmtId="0" fontId="0" fillId="0" borderId="78" xfId="0" applyNumberFormat="1" applyFill="1" applyBorder="1" applyAlignment="1">
      <alignment vertical="center"/>
    </xf>
    <xf numFmtId="0" fontId="0" fillId="0" borderId="34" xfId="0" applyNumberFormat="1" applyFill="1" applyBorder="1" applyAlignment="1">
      <alignment vertical="center"/>
    </xf>
    <xf numFmtId="0" fontId="31" fillId="2" borderId="12" xfId="0" applyFont="1" applyFill="1" applyBorder="1"/>
    <xf numFmtId="2" fontId="0" fillId="0" borderId="6" xfId="0" applyNumberFormat="1" applyFill="1" applyBorder="1" applyAlignment="1" applyProtection="1">
      <alignment horizontal="center"/>
      <protection locked="0"/>
    </xf>
    <xf numFmtId="2" fontId="0" fillId="0" borderId="34" xfId="0" applyNumberFormat="1" applyFill="1" applyBorder="1" applyAlignment="1" applyProtection="1">
      <alignment horizontal="center"/>
      <protection locked="0"/>
    </xf>
    <xf numFmtId="0" fontId="0" fillId="3" borderId="3" xfId="0" applyFill="1" applyBorder="1"/>
    <xf numFmtId="0" fontId="0" fillId="3" borderId="1" xfId="0" applyFill="1" applyBorder="1"/>
    <xf numFmtId="1" fontId="0" fillId="0" borderId="0" xfId="0" applyNumberFormat="1" applyBorder="1" applyAlignment="1">
      <alignment horizontal="center"/>
    </xf>
    <xf numFmtId="3" fontId="0" fillId="0" borderId="0" xfId="0" applyNumberFormat="1" applyBorder="1" applyAlignment="1">
      <alignment horizontal="right"/>
    </xf>
    <xf numFmtId="3" fontId="0" fillId="3" borderId="1" xfId="0" applyNumberFormat="1" applyFill="1" applyBorder="1"/>
    <xf numFmtId="166" fontId="0" fillId="0" borderId="0" xfId="0" applyNumberFormat="1" applyBorder="1" applyAlignment="1">
      <alignment horizontal="center"/>
    </xf>
    <xf numFmtId="0" fontId="31" fillId="2" borderId="0" xfId="0" applyFont="1" applyFill="1" applyAlignment="1">
      <alignment wrapText="1"/>
    </xf>
    <xf numFmtId="0" fontId="4" fillId="3" borderId="84" xfId="0" applyFont="1" applyFill="1" applyBorder="1"/>
    <xf numFmtId="0" fontId="4" fillId="3" borderId="85" xfId="0" applyFont="1" applyFill="1" applyBorder="1"/>
    <xf numFmtId="166" fontId="4" fillId="3" borderId="86" xfId="0" applyNumberFormat="1" applyFont="1" applyFill="1" applyBorder="1" applyAlignment="1">
      <alignment horizontal="center"/>
    </xf>
    <xf numFmtId="166" fontId="4" fillId="3" borderId="87" xfId="0" applyNumberFormat="1" applyFont="1" applyFill="1" applyBorder="1" applyAlignment="1">
      <alignment horizontal="center"/>
    </xf>
    <xf numFmtId="0" fontId="45" fillId="2" borderId="0" xfId="0" applyFont="1" applyFill="1"/>
    <xf numFmtId="167" fontId="4" fillId="2" borderId="0" xfId="0" applyNumberFormat="1" applyFont="1" applyFill="1" applyBorder="1" applyAlignment="1" applyProtection="1">
      <alignment horizontal="center"/>
      <protection locked="0"/>
    </xf>
    <xf numFmtId="0" fontId="41" fillId="2" borderId="0" xfId="0" applyFont="1" applyFill="1" applyBorder="1" applyAlignment="1">
      <alignment vertical="top"/>
    </xf>
    <xf numFmtId="0" fontId="46" fillId="2" borderId="0" xfId="0" applyFont="1" applyFill="1"/>
    <xf numFmtId="0" fontId="34" fillId="2" borderId="0" xfId="2" applyFont="1" applyFill="1" applyAlignment="1" applyProtection="1"/>
    <xf numFmtId="0" fontId="20" fillId="2" borderId="0" xfId="0" applyFont="1" applyFill="1" applyAlignment="1"/>
    <xf numFmtId="0" fontId="0" fillId="2" borderId="0" xfId="0" applyFill="1" applyBorder="1" applyProtection="1">
      <protection locked="0"/>
    </xf>
    <xf numFmtId="0" fontId="0" fillId="2" borderId="0" xfId="0" applyFill="1" applyAlignment="1">
      <alignment horizontal="left" wrapText="1"/>
    </xf>
    <xf numFmtId="166" fontId="4" fillId="0" borderId="1" xfId="0" applyNumberFormat="1" applyFont="1" applyBorder="1" applyAlignment="1">
      <alignment horizontal="center"/>
    </xf>
    <xf numFmtId="0" fontId="0" fillId="0" borderId="64" xfId="0" applyBorder="1" applyAlignment="1">
      <alignment horizontal="center"/>
    </xf>
    <xf numFmtId="3" fontId="0" fillId="0" borderId="64" xfId="0" applyNumberFormat="1" applyBorder="1" applyAlignment="1">
      <alignment horizontal="center"/>
    </xf>
    <xf numFmtId="166" fontId="0" fillId="0" borderId="64" xfId="0" applyNumberFormat="1" applyBorder="1" applyAlignment="1">
      <alignment horizontal="center"/>
    </xf>
    <xf numFmtId="2" fontId="0" fillId="0" borderId="29" xfId="0" applyNumberFormat="1" applyFill="1" applyBorder="1" applyAlignment="1" applyProtection="1">
      <alignment horizontal="center"/>
      <protection locked="0"/>
    </xf>
    <xf numFmtId="3" fontId="0" fillId="2" borderId="88" xfId="0" applyNumberFormat="1" applyFill="1" applyBorder="1" applyAlignment="1">
      <alignment horizontal="right" vertical="center"/>
    </xf>
    <xf numFmtId="3" fontId="0" fillId="2" borderId="0" xfId="0" applyNumberFormat="1" applyFill="1" applyBorder="1" applyAlignment="1">
      <alignment horizontal="right"/>
    </xf>
    <xf numFmtId="0" fontId="6" fillId="0" borderId="0" xfId="0" applyFont="1" applyFill="1" applyBorder="1" applyAlignment="1">
      <alignment horizontal="left"/>
    </xf>
    <xf numFmtId="3" fontId="4" fillId="2" borderId="0" xfId="0" applyNumberFormat="1" applyFont="1" applyFill="1" applyBorder="1" applyAlignment="1" applyProtection="1">
      <alignment horizontal="center"/>
      <protection locked="0"/>
    </xf>
    <xf numFmtId="1" fontId="4" fillId="2" borderId="0" xfId="0" applyNumberFormat="1" applyFont="1" applyFill="1" applyBorder="1" applyAlignment="1" applyProtection="1">
      <alignment horizontal="center"/>
      <protection locked="0"/>
    </xf>
    <xf numFmtId="0" fontId="0" fillId="2" borderId="89" xfId="0" applyFill="1" applyBorder="1"/>
    <xf numFmtId="0" fontId="47" fillId="2" borderId="0" xfId="0" applyFont="1" applyFill="1" applyBorder="1" applyAlignment="1"/>
    <xf numFmtId="0" fontId="11" fillId="0" borderId="39" xfId="0" applyFont="1" applyBorder="1" applyAlignment="1">
      <alignment horizontal="center" vertical="center"/>
    </xf>
    <xf numFmtId="0" fontId="5" fillId="0" borderId="0" xfId="0" applyFont="1" applyAlignment="1">
      <alignment horizontal="left" vertical="top" wrapText="1"/>
    </xf>
    <xf numFmtId="2" fontId="0" fillId="0" borderId="25" xfId="0" applyNumberFormat="1" applyFill="1" applyBorder="1" applyAlignment="1" applyProtection="1">
      <alignment horizontal="center"/>
      <protection locked="0"/>
    </xf>
    <xf numFmtId="0" fontId="0" fillId="2" borderId="42" xfId="0" applyFill="1" applyBorder="1"/>
    <xf numFmtId="0" fontId="0" fillId="2" borderId="90" xfId="0" applyFill="1" applyBorder="1"/>
    <xf numFmtId="0" fontId="0" fillId="2" borderId="91" xfId="0" applyFill="1" applyBorder="1"/>
    <xf numFmtId="49" fontId="0" fillId="0" borderId="51" xfId="0" applyNumberFormat="1" applyFill="1" applyBorder="1" applyAlignment="1" applyProtection="1">
      <alignment vertical="center"/>
      <protection locked="0"/>
    </xf>
    <xf numFmtId="49" fontId="0" fillId="0" borderId="32" xfId="0" applyNumberFormat="1" applyFill="1" applyBorder="1" applyAlignment="1" applyProtection="1">
      <alignment vertical="center"/>
      <protection locked="0"/>
    </xf>
    <xf numFmtId="49" fontId="0" fillId="0" borderId="92" xfId="0" applyNumberFormat="1" applyFill="1" applyBorder="1" applyAlignment="1" applyProtection="1">
      <alignment vertical="center"/>
      <protection locked="0"/>
    </xf>
    <xf numFmtId="49" fontId="0" fillId="0" borderId="33" xfId="0" applyNumberFormat="1" applyFill="1" applyBorder="1" applyAlignment="1" applyProtection="1">
      <alignment vertical="center"/>
      <protection locked="0"/>
    </xf>
    <xf numFmtId="0" fontId="0" fillId="2" borderId="93" xfId="0" applyFill="1" applyBorder="1"/>
    <xf numFmtId="0" fontId="0" fillId="2" borderId="32" xfId="0" applyFill="1" applyBorder="1"/>
    <xf numFmtId="0" fontId="0" fillId="2" borderId="92" xfId="0" applyFill="1" applyBorder="1"/>
    <xf numFmtId="0" fontId="0" fillId="2" borderId="94" xfId="0" applyFill="1" applyBorder="1"/>
    <xf numFmtId="0" fontId="0" fillId="2" borderId="95" xfId="0" applyFill="1" applyBorder="1" applyAlignment="1">
      <alignment vertical="center"/>
    </xf>
    <xf numFmtId="0" fontId="0" fillId="2" borderId="32" xfId="0" applyFill="1" applyBorder="1" applyAlignment="1">
      <alignment vertical="center"/>
    </xf>
    <xf numFmtId="0" fontId="0" fillId="2" borderId="33" xfId="0" applyFill="1" applyBorder="1" applyAlignment="1">
      <alignment vertical="center"/>
    </xf>
    <xf numFmtId="0" fontId="0" fillId="2" borderId="27" xfId="0" applyFill="1" applyBorder="1" applyAlignment="1">
      <alignment horizontal="center"/>
    </xf>
    <xf numFmtId="0" fontId="0" fillId="2" borderId="25" xfId="0" applyFill="1" applyBorder="1" applyAlignment="1">
      <alignment horizontal="center"/>
    </xf>
    <xf numFmtId="0" fontId="0" fillId="2" borderId="29" xfId="0" applyFill="1" applyBorder="1" applyAlignment="1">
      <alignment horizontal="center"/>
    </xf>
    <xf numFmtId="0" fontId="0" fillId="2" borderId="96" xfId="0" applyFill="1" applyBorder="1"/>
    <xf numFmtId="0" fontId="0" fillId="2" borderId="52" xfId="0" applyFill="1" applyBorder="1"/>
    <xf numFmtId="0" fontId="0" fillId="2" borderId="97" xfId="0" applyFill="1" applyBorder="1"/>
    <xf numFmtId="2" fontId="0" fillId="0" borderId="35" xfId="0" applyNumberFormat="1" applyFill="1" applyBorder="1" applyAlignment="1" applyProtection="1">
      <alignment horizontal="center"/>
      <protection locked="0"/>
    </xf>
    <xf numFmtId="1" fontId="7" fillId="2" borderId="0" xfId="0" applyNumberFormat="1" applyFont="1" applyFill="1" applyAlignment="1">
      <alignment horizontal="center"/>
    </xf>
    <xf numFmtId="0" fontId="0" fillId="3" borderId="34" xfId="0" applyFill="1" applyBorder="1"/>
    <xf numFmtId="3" fontId="0" fillId="3" borderId="34" xfId="0" applyNumberFormat="1" applyFill="1" applyBorder="1"/>
    <xf numFmtId="0" fontId="31" fillId="2" borderId="0" xfId="0" applyNumberFormat="1" applyFont="1" applyFill="1" applyAlignment="1">
      <alignment wrapText="1"/>
    </xf>
    <xf numFmtId="3" fontId="0" fillId="0" borderId="3" xfId="0" applyNumberFormat="1" applyFill="1" applyBorder="1" applyAlignment="1">
      <alignment horizontal="right" vertical="center"/>
    </xf>
    <xf numFmtId="3" fontId="0" fillId="0" borderId="1" xfId="0" applyNumberFormat="1" applyFill="1" applyBorder="1" applyAlignment="1">
      <alignment horizontal="right" vertical="center"/>
    </xf>
    <xf numFmtId="3" fontId="0" fillId="0" borderId="3" xfId="0" applyNumberFormat="1" applyBorder="1" applyAlignment="1">
      <alignment horizontal="right"/>
    </xf>
    <xf numFmtId="3" fontId="0" fillId="0" borderId="30" xfId="0" applyNumberFormat="1" applyFill="1" applyBorder="1" applyAlignment="1">
      <alignment horizontal="right" vertical="center"/>
    </xf>
    <xf numFmtId="3" fontId="0" fillId="2" borderId="0" xfId="0" applyNumberFormat="1" applyFill="1"/>
    <xf numFmtId="0" fontId="17" fillId="2" borderId="0" xfId="0" applyFont="1" applyFill="1" applyBorder="1" applyAlignment="1" applyProtection="1">
      <alignment horizontal="center"/>
      <protection locked="0"/>
    </xf>
    <xf numFmtId="166" fontId="4" fillId="0" borderId="64" xfId="0" applyNumberFormat="1" applyFont="1" applyBorder="1" applyAlignment="1">
      <alignment horizontal="center"/>
    </xf>
    <xf numFmtId="0" fontId="0" fillId="2" borderId="12" xfId="0" applyFill="1" applyBorder="1" applyAlignment="1">
      <alignment wrapText="1"/>
    </xf>
    <xf numFmtId="0" fontId="0" fillId="2" borderId="0" xfId="0" applyFill="1" applyBorder="1" applyAlignment="1">
      <alignment wrapText="1"/>
    </xf>
    <xf numFmtId="0" fontId="0" fillId="0" borderId="0" xfId="0" applyAlignment="1">
      <alignment wrapText="1"/>
    </xf>
    <xf numFmtId="0" fontId="11" fillId="0" borderId="98" xfId="0" applyFont="1" applyBorder="1" applyAlignment="1">
      <alignment horizontal="center" vertical="center"/>
    </xf>
    <xf numFmtId="0" fontId="7" fillId="0" borderId="58" xfId="0" applyFont="1" applyFill="1" applyBorder="1"/>
    <xf numFmtId="0" fontId="3" fillId="0" borderId="58" xfId="0" applyFont="1" applyFill="1" applyBorder="1" applyAlignment="1">
      <alignment horizontal="center" vertical="center"/>
    </xf>
    <xf numFmtId="3" fontId="0" fillId="2" borderId="12" xfId="0" applyNumberFormat="1" applyFill="1" applyBorder="1"/>
    <xf numFmtId="3" fontId="0" fillId="2" borderId="0" xfId="0" applyNumberFormat="1" applyFill="1" applyBorder="1" applyAlignment="1">
      <alignment wrapText="1"/>
    </xf>
    <xf numFmtId="3" fontId="0" fillId="2" borderId="12" xfId="0" applyNumberFormat="1" applyFill="1" applyBorder="1" applyAlignment="1">
      <alignment wrapText="1"/>
    </xf>
    <xf numFmtId="0" fontId="7" fillId="3" borderId="0" xfId="0" applyFont="1" applyFill="1" applyBorder="1" applyAlignment="1">
      <alignment wrapText="1"/>
    </xf>
    <xf numFmtId="0" fontId="3" fillId="0" borderId="0" xfId="0" applyFont="1"/>
    <xf numFmtId="1" fontId="0" fillId="0" borderId="40" xfId="0" applyNumberFormat="1" applyBorder="1" applyAlignment="1">
      <alignment horizontal="center"/>
    </xf>
    <xf numFmtId="166" fontId="0" fillId="0" borderId="40" xfId="0" applyNumberFormat="1" applyBorder="1" applyAlignment="1">
      <alignment horizontal="center"/>
    </xf>
    <xf numFmtId="3" fontId="0" fillId="2" borderId="99" xfId="0" applyNumberFormat="1" applyFill="1" applyBorder="1" applyAlignment="1">
      <alignment horizontal="right" vertical="center"/>
    </xf>
    <xf numFmtId="0" fontId="29" fillId="2" borderId="0" xfId="0" applyFont="1" applyFill="1" applyAlignment="1">
      <alignment horizontal="left"/>
    </xf>
    <xf numFmtId="1" fontId="28" fillId="2" borderId="0" xfId="0" applyNumberFormat="1" applyFont="1" applyFill="1"/>
    <xf numFmtId="1" fontId="28" fillId="2" borderId="0" xfId="0" applyNumberFormat="1" applyFont="1" applyFill="1" applyAlignment="1">
      <alignment wrapText="1"/>
    </xf>
    <xf numFmtId="0" fontId="44" fillId="0" borderId="0" xfId="0" applyFont="1" applyBorder="1" applyProtection="1"/>
    <xf numFmtId="0" fontId="0" fillId="0" borderId="0" xfId="0" applyBorder="1" applyProtection="1"/>
    <xf numFmtId="0" fontId="0" fillId="3" borderId="0" xfId="0" applyFill="1" applyBorder="1" applyProtection="1"/>
    <xf numFmtId="0" fontId="0" fillId="0" borderId="0" xfId="0" applyProtection="1"/>
    <xf numFmtId="0" fontId="0" fillId="0" borderId="39" xfId="0" applyFill="1" applyBorder="1" applyProtection="1"/>
    <xf numFmtId="0" fontId="0" fillId="0" borderId="40" xfId="0" applyFill="1" applyBorder="1" applyAlignment="1" applyProtection="1">
      <alignment horizontal="center"/>
    </xf>
    <xf numFmtId="0" fontId="0" fillId="0" borderId="21" xfId="0" applyFill="1" applyBorder="1" applyAlignment="1" applyProtection="1">
      <alignment horizontal="center"/>
    </xf>
    <xf numFmtId="0" fontId="0" fillId="0" borderId="39" xfId="0" applyFill="1" applyBorder="1" applyAlignment="1" applyProtection="1">
      <alignment horizontal="center"/>
    </xf>
    <xf numFmtId="0" fontId="0" fillId="0" borderId="100" xfId="0" applyFill="1" applyBorder="1" applyAlignment="1" applyProtection="1">
      <alignment horizontal="center"/>
    </xf>
    <xf numFmtId="0" fontId="0" fillId="0" borderId="42" xfId="0" applyFill="1" applyBorder="1" applyProtection="1"/>
    <xf numFmtId="0" fontId="0" fillId="0" borderId="3" xfId="0" applyFill="1" applyBorder="1" applyAlignment="1" applyProtection="1">
      <alignment horizontal="left" wrapText="1"/>
    </xf>
    <xf numFmtId="2" fontId="1" fillId="0" borderId="3" xfId="0" applyNumberFormat="1" applyFont="1" applyFill="1" applyBorder="1" applyAlignment="1" applyProtection="1">
      <alignment horizontal="center"/>
    </xf>
    <xf numFmtId="0" fontId="12" fillId="6" borderId="101" xfId="0" applyFont="1" applyFill="1" applyBorder="1" applyAlignment="1" applyProtection="1">
      <alignment horizontal="center" vertical="center" wrapText="1"/>
    </xf>
    <xf numFmtId="0" fontId="12" fillId="6" borderId="102" xfId="0" applyFont="1" applyFill="1" applyBorder="1" applyAlignment="1" applyProtection="1">
      <alignment horizontal="center" vertical="center" wrapText="1"/>
    </xf>
    <xf numFmtId="0" fontId="0" fillId="0" borderId="1" xfId="0" applyFill="1" applyBorder="1" applyAlignment="1" applyProtection="1">
      <alignment horizontal="left" wrapText="1"/>
    </xf>
    <xf numFmtId="0" fontId="1" fillId="0" borderId="1" xfId="0" applyFont="1" applyFill="1" applyBorder="1" applyAlignment="1" applyProtection="1">
      <alignment horizontal="center"/>
    </xf>
    <xf numFmtId="0" fontId="12" fillId="6" borderId="91" xfId="0" applyFont="1" applyFill="1" applyBorder="1" applyAlignment="1" applyProtection="1">
      <alignment horizontal="center" vertical="center" wrapText="1"/>
    </xf>
    <xf numFmtId="0" fontId="12" fillId="6" borderId="103" xfId="0" applyFont="1" applyFill="1" applyBorder="1" applyAlignment="1" applyProtection="1">
      <alignment horizontal="center" vertical="center" wrapText="1"/>
    </xf>
    <xf numFmtId="0" fontId="0" fillId="0" borderId="35" xfId="0" applyFill="1" applyBorder="1" applyAlignment="1" applyProtection="1">
      <alignment horizontal="left" wrapText="1"/>
    </xf>
    <xf numFmtId="0" fontId="1" fillId="0" borderId="35" xfId="0" applyFont="1" applyFill="1" applyBorder="1" applyAlignment="1" applyProtection="1">
      <alignment horizontal="center"/>
    </xf>
    <xf numFmtId="0" fontId="0" fillId="0" borderId="30" xfId="0" applyFill="1" applyBorder="1" applyAlignment="1" applyProtection="1">
      <alignment horizontal="left" wrapText="1"/>
    </xf>
    <xf numFmtId="3" fontId="1" fillId="0" borderId="30" xfId="0" applyNumberFormat="1" applyFont="1" applyFill="1" applyBorder="1" applyAlignment="1" applyProtection="1">
      <alignment horizontal="center"/>
    </xf>
    <xf numFmtId="0" fontId="1" fillId="0" borderId="30" xfId="0" applyFont="1" applyFill="1" applyBorder="1" applyAlignment="1" applyProtection="1">
      <alignment horizontal="center"/>
    </xf>
    <xf numFmtId="0" fontId="12" fillId="6" borderId="104" xfId="0" applyFont="1" applyFill="1" applyBorder="1" applyAlignment="1" applyProtection="1">
      <alignment horizontal="center" vertical="center" wrapText="1"/>
    </xf>
    <xf numFmtId="0" fontId="12" fillId="6" borderId="23" xfId="0" applyFont="1" applyFill="1" applyBorder="1" applyAlignment="1" applyProtection="1">
      <alignment horizontal="center" vertical="center" wrapText="1"/>
    </xf>
    <xf numFmtId="0" fontId="0" fillId="0" borderId="3" xfId="0" applyFill="1" applyBorder="1" applyAlignment="1" applyProtection="1">
      <alignment horizontal="left" vertical="center" wrapText="1"/>
    </xf>
    <xf numFmtId="0" fontId="0" fillId="0" borderId="3" xfId="0" applyFill="1" applyBorder="1" applyAlignment="1" applyProtection="1">
      <alignment horizontal="center"/>
    </xf>
    <xf numFmtId="2" fontId="0" fillId="0" borderId="93" xfId="0" applyNumberFormat="1" applyFill="1" applyBorder="1" applyAlignment="1" applyProtection="1">
      <alignment horizontal="center"/>
    </xf>
    <xf numFmtId="2" fontId="0" fillId="0" borderId="24" xfId="0" applyNumberFormat="1" applyFill="1" applyBorder="1" applyAlignment="1" applyProtection="1">
      <alignment horizontal="center"/>
    </xf>
    <xf numFmtId="0" fontId="0" fillId="0" borderId="1" xfId="0" applyFill="1" applyBorder="1" applyAlignment="1" applyProtection="1">
      <alignment horizontal="left" vertical="center" wrapText="1"/>
    </xf>
    <xf numFmtId="0" fontId="0" fillId="0" borderId="1" xfId="0" applyFill="1" applyBorder="1" applyAlignment="1" applyProtection="1">
      <alignment horizontal="center"/>
    </xf>
    <xf numFmtId="2" fontId="0" fillId="0" borderId="1" xfId="0" applyNumberFormat="1" applyFill="1" applyBorder="1" applyAlignment="1" applyProtection="1">
      <alignment horizontal="center"/>
    </xf>
    <xf numFmtId="168" fontId="0" fillId="0" borderId="1" xfId="0" applyNumberFormat="1" applyFill="1" applyBorder="1" applyAlignment="1" applyProtection="1">
      <alignment horizontal="center"/>
    </xf>
    <xf numFmtId="0" fontId="0" fillId="0" borderId="83" xfId="0" applyFill="1" applyBorder="1" applyAlignment="1" applyProtection="1">
      <alignment horizontal="left" wrapText="1"/>
    </xf>
    <xf numFmtId="169" fontId="0" fillId="0" borderId="1" xfId="0" applyNumberFormat="1" applyFill="1" applyBorder="1" applyAlignment="1" applyProtection="1">
      <alignment horizontal="center"/>
    </xf>
    <xf numFmtId="0" fontId="0" fillId="0" borderId="25" xfId="0" applyFill="1" applyBorder="1" applyAlignment="1" applyProtection="1">
      <alignment horizontal="center"/>
    </xf>
    <xf numFmtId="0" fontId="0" fillId="0" borderId="6" xfId="0" applyFill="1" applyBorder="1" applyAlignment="1" applyProtection="1">
      <alignment horizontal="left" vertical="center" wrapText="1"/>
    </xf>
    <xf numFmtId="0" fontId="0" fillId="0" borderId="6" xfId="0" applyFill="1" applyBorder="1" applyAlignment="1" applyProtection="1">
      <alignment horizontal="center"/>
    </xf>
    <xf numFmtId="2" fontId="0" fillId="0" borderId="27" xfId="0" applyNumberFormat="1" applyFill="1" applyBorder="1" applyAlignment="1" applyProtection="1">
      <alignment horizontal="center"/>
    </xf>
    <xf numFmtId="0" fontId="0" fillId="0" borderId="34" xfId="0" applyFill="1" applyBorder="1" applyAlignment="1" applyProtection="1">
      <alignment horizontal="left" vertical="center" wrapText="1"/>
    </xf>
    <xf numFmtId="0" fontId="0" fillId="0" borderId="34" xfId="0" applyFill="1" applyBorder="1" applyAlignment="1" applyProtection="1">
      <alignment horizontal="center"/>
    </xf>
    <xf numFmtId="0" fontId="0" fillId="0" borderId="6" xfId="0" applyNumberFormat="1" applyFill="1" applyBorder="1" applyAlignment="1" applyProtection="1">
      <alignment horizontal="left" wrapText="1"/>
    </xf>
    <xf numFmtId="0" fontId="0" fillId="6" borderId="0" xfId="0" applyFill="1" applyBorder="1" applyProtection="1"/>
    <xf numFmtId="2" fontId="0" fillId="0" borderId="6" xfId="0" applyNumberFormat="1" applyFill="1" applyBorder="1" applyAlignment="1" applyProtection="1">
      <alignment horizontal="center"/>
    </xf>
    <xf numFmtId="0" fontId="0" fillId="0" borderId="11" xfId="0" applyNumberFormat="1" applyFill="1" applyBorder="1" applyAlignment="1" applyProtection="1">
      <alignment horizontal="left" wrapText="1"/>
    </xf>
    <xf numFmtId="0" fontId="0" fillId="6" borderId="58" xfId="0" applyFill="1" applyBorder="1" applyProtection="1"/>
    <xf numFmtId="2" fontId="0" fillId="0" borderId="11" xfId="0" applyNumberFormat="1" applyFill="1" applyBorder="1" applyAlignment="1" applyProtection="1">
      <alignment horizontal="center"/>
    </xf>
    <xf numFmtId="2" fontId="0" fillId="0" borderId="105" xfId="0" applyNumberFormat="1" applyFill="1" applyBorder="1" applyAlignment="1" applyProtection="1">
      <alignment horizontal="center"/>
    </xf>
    <xf numFmtId="0" fontId="36" fillId="2" borderId="0" xfId="0" applyFont="1" applyFill="1" applyProtection="1"/>
    <xf numFmtId="0" fontId="28" fillId="2" borderId="0" xfId="0" applyFont="1" applyFill="1" applyAlignment="1">
      <alignment horizontal="right" vertical="center" wrapText="1"/>
    </xf>
    <xf numFmtId="0" fontId="4" fillId="0" borderId="2" xfId="0" applyFont="1" applyBorder="1" applyAlignment="1">
      <alignment horizontal="center"/>
    </xf>
    <xf numFmtId="0" fontId="1" fillId="6" borderId="4" xfId="0" applyFont="1" applyFill="1" applyBorder="1" applyAlignment="1">
      <alignment horizontal="center"/>
    </xf>
    <xf numFmtId="0" fontId="1" fillId="6" borderId="83" xfId="0" applyFont="1" applyFill="1" applyBorder="1" applyAlignment="1">
      <alignment horizontal="center"/>
    </xf>
    <xf numFmtId="0" fontId="1" fillId="6" borderId="6" xfId="0" applyFont="1" applyFill="1" applyBorder="1" applyAlignment="1">
      <alignment horizontal="center"/>
    </xf>
    <xf numFmtId="2" fontId="0" fillId="0" borderId="87" xfId="0" applyNumberFormat="1" applyFill="1" applyBorder="1" applyAlignment="1" applyProtection="1">
      <alignment horizontal="center"/>
      <protection locked="0"/>
    </xf>
    <xf numFmtId="2" fontId="0" fillId="0" borderId="28" xfId="0" applyNumberFormat="1" applyFill="1" applyBorder="1" applyAlignment="1" applyProtection="1">
      <alignment horizontal="center"/>
      <protection locked="0"/>
    </xf>
    <xf numFmtId="0" fontId="0" fillId="5" borderId="34" xfId="0" applyFill="1" applyBorder="1" applyAlignment="1">
      <alignment horizontal="center"/>
    </xf>
    <xf numFmtId="3" fontId="28" fillId="2" borderId="0" xfId="0" applyNumberFormat="1" applyFont="1" applyFill="1" applyAlignment="1">
      <alignment wrapText="1"/>
    </xf>
    <xf numFmtId="0" fontId="49" fillId="2" borderId="0" xfId="0" applyNumberFormat="1" applyFont="1" applyFill="1" applyAlignment="1">
      <alignment wrapText="1"/>
    </xf>
    <xf numFmtId="3" fontId="28" fillId="2" borderId="0" xfId="0" applyNumberFormat="1" applyFont="1" applyFill="1" applyAlignment="1">
      <alignment horizontal="right"/>
    </xf>
    <xf numFmtId="0" fontId="28" fillId="2" borderId="0" xfId="0" applyFont="1" applyFill="1" applyBorder="1" applyAlignment="1">
      <alignment wrapText="1"/>
    </xf>
    <xf numFmtId="0" fontId="28" fillId="2" borderId="0" xfId="0" applyFont="1" applyFill="1" applyAlignment="1">
      <alignment wrapText="1"/>
    </xf>
    <xf numFmtId="0" fontId="28" fillId="2" borderId="0" xfId="0" applyFont="1" applyFill="1" applyBorder="1" applyAlignment="1">
      <alignment horizontal="right"/>
    </xf>
    <xf numFmtId="0" fontId="0" fillId="2" borderId="0" xfId="1" applyNumberFormat="1" applyFont="1" applyFill="1" applyAlignment="1">
      <alignment horizontal="right"/>
    </xf>
    <xf numFmtId="0" fontId="4" fillId="2" borderId="0" xfId="0" applyFont="1" applyFill="1" applyAlignment="1">
      <alignment wrapText="1"/>
    </xf>
    <xf numFmtId="0" fontId="3" fillId="2" borderId="0" xfId="0" applyFont="1" applyFill="1" applyAlignment="1">
      <alignment horizontal="left"/>
    </xf>
    <xf numFmtId="3" fontId="0" fillId="0" borderId="106" xfId="0" applyNumberFormat="1" applyFill="1" applyBorder="1" applyAlignment="1" applyProtection="1">
      <alignment horizontal="right" vertical="center"/>
      <protection locked="0"/>
    </xf>
    <xf numFmtId="1" fontId="0" fillId="2" borderId="107" xfId="0" applyNumberFormat="1" applyFill="1" applyBorder="1" applyAlignment="1">
      <alignment horizontal="center" vertical="center"/>
    </xf>
    <xf numFmtId="0" fontId="4" fillId="0" borderId="0" xfId="0" applyFont="1" applyFill="1" applyAlignment="1">
      <alignment vertical="center"/>
    </xf>
    <xf numFmtId="0" fontId="43" fillId="0" borderId="0" xfId="0" applyFont="1" applyFill="1" applyAlignment="1"/>
    <xf numFmtId="0" fontId="0" fillId="0" borderId="0" xfId="0" applyFill="1" applyAlignment="1">
      <alignment horizontal="center"/>
    </xf>
    <xf numFmtId="0" fontId="5" fillId="0" borderId="0" xfId="0" applyFont="1" applyFill="1" applyAlignment="1">
      <alignment vertical="top" wrapText="1"/>
    </xf>
    <xf numFmtId="0" fontId="4" fillId="0" borderId="0" xfId="0" applyFont="1" applyFill="1" applyAlignment="1">
      <alignment vertical="center" wrapText="1"/>
    </xf>
    <xf numFmtId="3" fontId="4" fillId="0" borderId="0" xfId="0" applyNumberFormat="1" applyFont="1" applyFill="1"/>
    <xf numFmtId="3" fontId="0" fillId="0" borderId="16" xfId="0" applyNumberFormat="1" applyFill="1" applyBorder="1" applyAlignment="1" applyProtection="1">
      <alignment horizontal="center"/>
    </xf>
    <xf numFmtId="0" fontId="0" fillId="0" borderId="2" xfId="0" applyFill="1" applyBorder="1" applyAlignment="1" applyProtection="1">
      <alignment horizontal="center"/>
    </xf>
    <xf numFmtId="0" fontId="0" fillId="0" borderId="74" xfId="0" applyFill="1" applyBorder="1" applyAlignment="1" applyProtection="1">
      <alignment horizontal="center"/>
    </xf>
    <xf numFmtId="0" fontId="4" fillId="0" borderId="2" xfId="0" applyFont="1" applyFill="1" applyBorder="1" applyAlignment="1" applyProtection="1">
      <alignment horizontal="center"/>
    </xf>
    <xf numFmtId="0" fontId="4" fillId="0" borderId="98" xfId="0" applyFont="1" applyFill="1" applyBorder="1" applyAlignment="1" applyProtection="1">
      <alignment horizontal="center"/>
    </xf>
    <xf numFmtId="0" fontId="12" fillId="6" borderId="4" xfId="0" applyFont="1" applyFill="1" applyBorder="1" applyAlignment="1" applyProtection="1">
      <alignment horizontal="center"/>
    </xf>
    <xf numFmtId="0" fontId="12" fillId="6" borderId="83" xfId="0" applyFont="1" applyFill="1" applyBorder="1" applyAlignment="1" applyProtection="1">
      <alignment horizontal="center"/>
    </xf>
    <xf numFmtId="0" fontId="12" fillId="6" borderId="6" xfId="0" applyFont="1" applyFill="1" applyBorder="1" applyAlignment="1" applyProtection="1">
      <alignment horizontal="center"/>
    </xf>
    <xf numFmtId="2" fontId="0" fillId="0" borderId="108" xfId="0" applyNumberFormat="1" applyFill="1" applyBorder="1" applyAlignment="1" applyProtection="1">
      <alignment horizontal="center"/>
      <protection locked="0"/>
    </xf>
    <xf numFmtId="2" fontId="0" fillId="0" borderId="109" xfId="0" applyNumberFormat="1" applyFill="1" applyBorder="1" applyAlignment="1" applyProtection="1">
      <alignment horizontal="center"/>
      <protection locked="0"/>
    </xf>
    <xf numFmtId="11" fontId="0" fillId="0" borderId="109" xfId="0" applyNumberFormat="1" applyFill="1" applyBorder="1" applyAlignment="1" applyProtection="1">
      <alignment horizontal="center"/>
      <protection locked="0"/>
    </xf>
    <xf numFmtId="2" fontId="0" fillId="0" borderId="110" xfId="0" applyNumberFormat="1" applyFill="1" applyBorder="1" applyAlignment="1" applyProtection="1">
      <alignment horizontal="center"/>
      <protection locked="0"/>
    </xf>
    <xf numFmtId="2" fontId="0" fillId="0" borderId="32" xfId="0" applyNumberFormat="1" applyFill="1" applyBorder="1" applyAlignment="1" applyProtection="1">
      <alignment horizontal="center"/>
    </xf>
    <xf numFmtId="2" fontId="0" fillId="0" borderId="25" xfId="0" applyNumberFormat="1" applyFill="1" applyBorder="1" applyAlignment="1" applyProtection="1">
      <alignment horizontal="center"/>
    </xf>
    <xf numFmtId="2" fontId="0" fillId="0" borderId="33" xfId="0" applyNumberFormat="1" applyFill="1" applyBorder="1" applyAlignment="1" applyProtection="1">
      <alignment horizontal="center"/>
    </xf>
    <xf numFmtId="2" fontId="0" fillId="0" borderId="29" xfId="0" applyNumberFormat="1" applyFill="1" applyBorder="1" applyAlignment="1" applyProtection="1">
      <alignment horizontal="center"/>
    </xf>
    <xf numFmtId="0" fontId="0" fillId="0" borderId="35" xfId="0" applyFill="1" applyBorder="1" applyAlignment="1" applyProtection="1">
      <alignment horizontal="left" vertical="center" wrapText="1"/>
    </xf>
    <xf numFmtId="0" fontId="0" fillId="0" borderId="35" xfId="0" applyFill="1" applyBorder="1" applyAlignment="1" applyProtection="1">
      <alignment horizontal="center"/>
    </xf>
    <xf numFmtId="2" fontId="0" fillId="0" borderId="92" xfId="0" applyNumberFormat="1" applyFill="1" applyBorder="1" applyAlignment="1" applyProtection="1">
      <alignment horizontal="center"/>
    </xf>
    <xf numFmtId="2" fontId="0" fillId="0" borderId="28" xfId="0" applyNumberFormat="1" applyFill="1" applyBorder="1" applyAlignment="1" applyProtection="1">
      <alignment horizontal="center"/>
    </xf>
    <xf numFmtId="0" fontId="11" fillId="0" borderId="111" xfId="0" applyFont="1" applyFill="1" applyBorder="1" applyAlignment="1" applyProtection="1">
      <alignment horizontal="center" vertical="center" textRotation="90"/>
    </xf>
    <xf numFmtId="0" fontId="0" fillId="0" borderId="111" xfId="0" applyFill="1" applyBorder="1" applyAlignment="1" applyProtection="1">
      <alignment horizontal="left" vertical="center" wrapText="1"/>
    </xf>
    <xf numFmtId="0" fontId="0" fillId="0" borderId="111" xfId="0" applyFill="1" applyBorder="1" applyAlignment="1" applyProtection="1">
      <alignment horizontal="center"/>
    </xf>
    <xf numFmtId="2" fontId="0" fillId="0" borderId="111" xfId="0" applyNumberFormat="1" applyFill="1" applyBorder="1" applyAlignment="1" applyProtection="1">
      <alignment horizontal="center"/>
    </xf>
    <xf numFmtId="0" fontId="1" fillId="0" borderId="36" xfId="0" applyFont="1" applyFill="1" applyBorder="1" applyAlignment="1" applyProtection="1">
      <alignment horizontal="left" vertical="center" wrapText="1"/>
    </xf>
    <xf numFmtId="0" fontId="0" fillId="0" borderId="91" xfId="0" applyBorder="1"/>
    <xf numFmtId="1" fontId="7" fillId="0" borderId="0" xfId="0" applyNumberFormat="1" applyFont="1" applyFill="1" applyAlignment="1">
      <alignment horizontal="center"/>
    </xf>
    <xf numFmtId="3" fontId="52" fillId="0" borderId="40" xfId="0" applyNumberFormat="1" applyFont="1" applyBorder="1" applyAlignment="1">
      <alignment horizontal="center" vertical="center"/>
    </xf>
    <xf numFmtId="3" fontId="52" fillId="0" borderId="0" xfId="0" applyNumberFormat="1" applyFont="1" applyAlignment="1">
      <alignment horizontal="center" vertical="center"/>
    </xf>
    <xf numFmtId="3" fontId="52" fillId="0" borderId="58" xfId="0" applyNumberFormat="1" applyFont="1" applyBorder="1" applyAlignment="1">
      <alignment horizontal="center" vertical="center"/>
    </xf>
    <xf numFmtId="3" fontId="53" fillId="0" borderId="0" xfId="0" applyNumberFormat="1" applyFont="1" applyAlignment="1">
      <alignment horizontal="center" vertical="center" wrapText="1"/>
    </xf>
    <xf numFmtId="0" fontId="53" fillId="0" borderId="58" xfId="0" applyFont="1" applyBorder="1" applyAlignment="1">
      <alignment horizontal="center" vertical="center" wrapText="1"/>
    </xf>
    <xf numFmtId="0" fontId="28" fillId="2" borderId="0" xfId="0" applyNumberFormat="1" applyFont="1" applyFill="1" applyAlignment="1">
      <alignment horizontal="left" wrapText="1"/>
    </xf>
    <xf numFmtId="0" fontId="28" fillId="2" borderId="114" xfId="0" applyFont="1" applyFill="1" applyBorder="1" applyAlignment="1">
      <alignment horizontal="left" wrapText="1"/>
    </xf>
    <xf numFmtId="0" fontId="28" fillId="2" borderId="115" xfId="0" applyFont="1" applyFill="1" applyBorder="1" applyAlignment="1">
      <alignment horizontal="left" wrapText="1"/>
    </xf>
    <xf numFmtId="0" fontId="28" fillId="2" borderId="122" xfId="0" applyFont="1" applyFill="1" applyBorder="1" applyAlignment="1">
      <alignment horizontal="left" wrapText="1"/>
    </xf>
    <xf numFmtId="0" fontId="28" fillId="2" borderId="123" xfId="0" applyFont="1" applyFill="1" applyBorder="1" applyAlignment="1">
      <alignment horizontal="left" wrapText="1"/>
    </xf>
    <xf numFmtId="0" fontId="28" fillId="2" borderId="135" xfId="0" applyFont="1" applyFill="1" applyBorder="1" applyAlignment="1">
      <alignment horizontal="left"/>
    </xf>
    <xf numFmtId="0" fontId="28" fillId="2" borderId="136" xfId="0" applyFont="1" applyFill="1" applyBorder="1" applyAlignment="1">
      <alignment horizontal="left"/>
    </xf>
    <xf numFmtId="0" fontId="34" fillId="2" borderId="124" xfId="2" applyFont="1" applyFill="1" applyBorder="1" applyAlignment="1" applyProtection="1">
      <alignment horizontal="center" vertical="center"/>
    </xf>
    <xf numFmtId="0" fontId="34" fillId="2" borderId="125" xfId="2" applyFont="1" applyFill="1" applyBorder="1" applyAlignment="1" applyProtection="1">
      <alignment horizontal="center" vertical="center"/>
    </xf>
    <xf numFmtId="0" fontId="34" fillId="2" borderId="128" xfId="2" applyFont="1" applyFill="1" applyBorder="1" applyAlignment="1" applyProtection="1">
      <alignment horizontal="center" vertical="center"/>
    </xf>
    <xf numFmtId="0" fontId="34" fillId="2" borderId="14" xfId="2" applyFont="1" applyFill="1" applyBorder="1" applyAlignment="1" applyProtection="1">
      <alignment horizontal="center" vertical="center"/>
    </xf>
    <xf numFmtId="0" fontId="34" fillId="2" borderId="131" xfId="2" applyFont="1" applyFill="1" applyBorder="1" applyAlignment="1" applyProtection="1">
      <alignment horizontal="center" vertical="center"/>
    </xf>
    <xf numFmtId="0" fontId="34" fillId="2" borderId="132" xfId="2" applyFont="1" applyFill="1" applyBorder="1" applyAlignment="1" applyProtection="1">
      <alignment horizontal="center" vertical="center"/>
    </xf>
    <xf numFmtId="0" fontId="34" fillId="2" borderId="112" xfId="2" applyFont="1" applyFill="1" applyBorder="1" applyAlignment="1" applyProtection="1">
      <alignment horizontal="center" vertical="center"/>
    </xf>
    <xf numFmtId="0" fontId="34" fillId="2" borderId="127" xfId="2" applyFont="1" applyFill="1" applyBorder="1" applyAlignment="1" applyProtection="1">
      <alignment horizontal="center" vertical="center"/>
    </xf>
    <xf numFmtId="0" fontId="28" fillId="2" borderId="120" xfId="0" applyFont="1" applyFill="1" applyBorder="1" applyAlignment="1">
      <alignment horizontal="left" wrapText="1"/>
    </xf>
    <xf numFmtId="0" fontId="28" fillId="2" borderId="121" xfId="0" applyFont="1" applyFill="1" applyBorder="1" applyAlignment="1">
      <alignment horizontal="left" wrapText="1"/>
    </xf>
    <xf numFmtId="0" fontId="40" fillId="2" borderId="0" xfId="2" applyFont="1" applyFill="1" applyAlignment="1" applyProtection="1">
      <alignment horizontal="left"/>
    </xf>
    <xf numFmtId="0" fontId="28" fillId="2" borderId="0" xfId="0" applyFont="1" applyFill="1" applyAlignment="1">
      <alignment horizontal="left"/>
    </xf>
    <xf numFmtId="0" fontId="34" fillId="2" borderId="129" xfId="2" applyFont="1" applyFill="1" applyBorder="1" applyAlignment="1" applyProtection="1">
      <alignment horizontal="center"/>
    </xf>
    <xf numFmtId="0" fontId="34" fillId="2" borderId="130" xfId="2" applyFont="1" applyFill="1" applyBorder="1" applyAlignment="1" applyProtection="1">
      <alignment horizontal="center"/>
    </xf>
    <xf numFmtId="0" fontId="0" fillId="2" borderId="0" xfId="0" quotePrefix="1" applyFill="1" applyAlignment="1">
      <alignment horizontal="left" wrapText="1"/>
    </xf>
    <xf numFmtId="0" fontId="34" fillId="2" borderId="116" xfId="2" applyFont="1" applyFill="1" applyBorder="1" applyAlignment="1" applyProtection="1">
      <alignment horizontal="center"/>
    </xf>
    <xf numFmtId="0" fontId="34" fillId="2" borderId="117" xfId="2" applyFont="1" applyFill="1" applyBorder="1" applyAlignment="1" applyProtection="1">
      <alignment horizontal="center"/>
    </xf>
    <xf numFmtId="0" fontId="28" fillId="2" borderId="118" xfId="0" applyFont="1" applyFill="1" applyBorder="1" applyAlignment="1">
      <alignment horizontal="left" wrapText="1"/>
    </xf>
    <xf numFmtId="0" fontId="28" fillId="2" borderId="119" xfId="0" applyFont="1" applyFill="1" applyBorder="1" applyAlignment="1">
      <alignment horizontal="left" wrapText="1"/>
    </xf>
    <xf numFmtId="0" fontId="28" fillId="2" borderId="19" xfId="0" applyFont="1" applyFill="1" applyBorder="1" applyAlignment="1">
      <alignment horizontal="left" wrapText="1"/>
    </xf>
    <xf numFmtId="0" fontId="28" fillId="2" borderId="20" xfId="0" applyFont="1" applyFill="1" applyBorder="1" applyAlignment="1">
      <alignment horizontal="left" wrapText="1"/>
    </xf>
    <xf numFmtId="0" fontId="4" fillId="2" borderId="0" xfId="0" quotePrefix="1" applyFont="1" applyFill="1" applyAlignment="1">
      <alignment horizontal="left" wrapText="1"/>
    </xf>
    <xf numFmtId="0" fontId="34" fillId="2" borderId="126" xfId="2" applyFont="1" applyFill="1" applyBorder="1" applyAlignment="1" applyProtection="1">
      <alignment horizontal="center" vertical="center"/>
    </xf>
    <xf numFmtId="0" fontId="34" fillId="2" borderId="113" xfId="2" applyFont="1" applyFill="1" applyBorder="1" applyAlignment="1" applyProtection="1">
      <alignment horizontal="center" vertical="center"/>
    </xf>
    <xf numFmtId="0" fontId="0" fillId="0" borderId="115" xfId="0"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34" fillId="0" borderId="127" xfId="2" applyFont="1" applyBorder="1" applyAlignment="1" applyProtection="1">
      <alignment horizontal="center" vertical="center"/>
    </xf>
    <xf numFmtId="0" fontId="34" fillId="0" borderId="128" xfId="2" applyFont="1" applyBorder="1" applyAlignment="1" applyProtection="1">
      <alignment horizontal="center" vertical="center"/>
    </xf>
    <xf numFmtId="0" fontId="34" fillId="0" borderId="14" xfId="2" applyFont="1" applyBorder="1" applyAlignment="1" applyProtection="1">
      <alignment horizontal="center" vertical="center"/>
    </xf>
    <xf numFmtId="0" fontId="34" fillId="2" borderId="133" xfId="2" applyFont="1" applyFill="1" applyBorder="1" applyAlignment="1" applyProtection="1">
      <alignment horizontal="center"/>
    </xf>
    <xf numFmtId="0" fontId="34" fillId="2" borderId="134" xfId="2" applyFont="1" applyFill="1" applyBorder="1" applyAlignment="1" applyProtection="1">
      <alignment horizontal="center"/>
    </xf>
    <xf numFmtId="0" fontId="0" fillId="3" borderId="18"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19"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0" fillId="3" borderId="14" xfId="0" applyFill="1" applyBorder="1" applyAlignment="1" applyProtection="1">
      <alignment horizontal="left" vertical="top" wrapText="1"/>
      <protection locked="0"/>
    </xf>
    <xf numFmtId="0" fontId="0" fillId="3" borderId="15" xfId="0" applyFill="1" applyBorder="1" applyAlignment="1" applyProtection="1">
      <alignment horizontal="left" vertical="top" wrapText="1"/>
      <protection locked="0"/>
    </xf>
    <xf numFmtId="0" fontId="0" fillId="3" borderId="16" xfId="0" applyFill="1" applyBorder="1" applyAlignment="1" applyProtection="1">
      <alignment horizontal="left" vertical="top" wrapText="1"/>
      <protection locked="0"/>
    </xf>
    <xf numFmtId="0" fontId="0" fillId="3" borderId="17" xfId="0" applyFill="1" applyBorder="1" applyAlignment="1" applyProtection="1">
      <alignment horizontal="left" vertical="top" wrapText="1"/>
      <protection locked="0"/>
    </xf>
    <xf numFmtId="0" fontId="0" fillId="2" borderId="0" xfId="0" applyFill="1" applyAlignment="1">
      <alignment horizontal="left" vertical="center"/>
    </xf>
    <xf numFmtId="0" fontId="0" fillId="2" borderId="0" xfId="0" applyFill="1" applyBorder="1"/>
    <xf numFmtId="0" fontId="11" fillId="2" borderId="137" xfId="0" applyFont="1" applyFill="1" applyBorder="1" applyAlignment="1">
      <alignment horizontal="center" vertical="center"/>
    </xf>
    <xf numFmtId="0" fontId="11" fillId="2" borderId="138" xfId="0" applyFont="1" applyFill="1" applyBorder="1" applyAlignment="1">
      <alignment vertical="center"/>
    </xf>
    <xf numFmtId="0" fontId="4" fillId="3" borderId="139" xfId="0" applyFont="1" applyFill="1" applyBorder="1" applyAlignment="1" applyProtection="1">
      <alignment horizontal="left"/>
      <protection locked="0"/>
    </xf>
    <xf numFmtId="0" fontId="0" fillId="3" borderId="140" xfId="0" applyFill="1" applyBorder="1" applyAlignment="1" applyProtection="1">
      <alignment horizontal="left"/>
      <protection locked="0"/>
    </xf>
    <xf numFmtId="0" fontId="0" fillId="3" borderId="141" xfId="0" applyFill="1" applyBorder="1" applyAlignment="1" applyProtection="1">
      <alignment horizontal="left"/>
      <protection locked="0"/>
    </xf>
    <xf numFmtId="1" fontId="31" fillId="2" borderId="18" xfId="0" applyNumberFormat="1" applyFont="1" applyFill="1" applyBorder="1" applyAlignment="1">
      <alignment horizontal="left" wrapText="1"/>
    </xf>
    <xf numFmtId="0" fontId="19" fillId="0" borderId="12" xfId="0" applyFont="1" applyBorder="1"/>
    <xf numFmtId="0" fontId="19" fillId="0" borderId="13" xfId="0" applyFont="1" applyBorder="1"/>
    <xf numFmtId="0" fontId="19" fillId="0" borderId="19" xfId="0" applyFont="1" applyBorder="1"/>
    <xf numFmtId="0" fontId="19" fillId="0" borderId="0" xfId="0" applyFont="1"/>
    <xf numFmtId="0" fontId="19" fillId="0" borderId="14" xfId="0" applyFont="1" applyBorder="1"/>
    <xf numFmtId="0" fontId="41" fillId="2" borderId="0" xfId="0" applyFont="1" applyFill="1" applyBorder="1" applyAlignment="1">
      <alignment horizontal="left" vertical="center" wrapText="1"/>
    </xf>
    <xf numFmtId="0" fontId="41" fillId="2" borderId="14" xfId="0" applyFont="1" applyFill="1" applyBorder="1" applyAlignment="1">
      <alignment horizontal="left" vertical="center" wrapText="1"/>
    </xf>
    <xf numFmtId="0" fontId="31" fillId="2" borderId="12" xfId="0" applyFont="1" applyFill="1" applyBorder="1" applyAlignment="1">
      <alignment horizontal="left" vertical="top" wrapText="1"/>
    </xf>
    <xf numFmtId="0" fontId="0" fillId="0" borderId="12" xfId="0" applyBorder="1" applyAlignment="1">
      <alignment vertical="top"/>
    </xf>
    <xf numFmtId="0" fontId="0" fillId="0" borderId="0" xfId="0" applyAlignment="1">
      <alignment vertical="top"/>
    </xf>
    <xf numFmtId="0" fontId="0" fillId="2" borderId="0" xfId="0" applyFill="1" applyAlignment="1">
      <alignment horizontal="left" wrapText="1"/>
    </xf>
    <xf numFmtId="0" fontId="0" fillId="6" borderId="21" xfId="0" applyFill="1" applyBorder="1" applyAlignment="1">
      <alignment horizontal="center" wrapText="1"/>
    </xf>
    <xf numFmtId="0" fontId="0" fillId="6" borderId="11" xfId="0" applyFill="1" applyBorder="1" applyAlignment="1">
      <alignment horizontal="center" wrapText="1"/>
    </xf>
    <xf numFmtId="0" fontId="7" fillId="2" borderId="58" xfId="0" applyFont="1" applyFill="1" applyBorder="1" applyAlignment="1">
      <alignment horizontal="center"/>
    </xf>
    <xf numFmtId="0" fontId="12" fillId="6" borderId="101" xfId="0" applyFont="1" applyFill="1" applyBorder="1" applyAlignment="1">
      <alignment horizontal="center" vertical="center" wrapText="1"/>
    </xf>
    <xf numFmtId="0" fontId="12" fillId="6" borderId="102" xfId="0" applyFont="1" applyFill="1" applyBorder="1" applyAlignment="1">
      <alignment horizontal="center" vertical="center" wrapText="1"/>
    </xf>
    <xf numFmtId="0" fontId="12" fillId="6" borderId="91" xfId="0" applyFont="1" applyFill="1" applyBorder="1" applyAlignment="1">
      <alignment horizontal="center" vertical="center" wrapText="1"/>
    </xf>
    <xf numFmtId="0" fontId="12" fillId="6" borderId="103" xfId="0" applyFont="1" applyFill="1" applyBorder="1" applyAlignment="1">
      <alignment horizontal="center" vertical="center" wrapText="1"/>
    </xf>
    <xf numFmtId="0" fontId="7" fillId="2" borderId="0" xfId="0" applyFont="1" applyFill="1" applyBorder="1" applyAlignment="1">
      <alignment horizontal="center" wrapText="1"/>
    </xf>
    <xf numFmtId="0" fontId="7" fillId="2" borderId="58" xfId="0" applyFont="1" applyFill="1" applyBorder="1" applyAlignment="1">
      <alignment horizontal="center" wrapText="1"/>
    </xf>
    <xf numFmtId="0" fontId="11" fillId="2" borderId="101" xfId="0" applyFont="1" applyFill="1" applyBorder="1" applyAlignment="1">
      <alignment horizontal="center" vertical="center" textRotation="90"/>
    </xf>
    <xf numFmtId="0" fontId="11" fillId="2" borderId="91" xfId="0" applyFont="1" applyFill="1" applyBorder="1" applyAlignment="1">
      <alignment horizontal="center" vertical="center" textRotation="90"/>
    </xf>
    <xf numFmtId="0" fontId="11" fillId="2" borderId="104" xfId="0" applyFont="1" applyFill="1" applyBorder="1" applyAlignment="1">
      <alignment horizontal="center" vertical="center" textRotation="90"/>
    </xf>
    <xf numFmtId="0" fontId="31" fillId="2" borderId="0" xfId="0" applyFont="1" applyFill="1" applyAlignment="1">
      <alignment horizontal="center"/>
    </xf>
    <xf numFmtId="0" fontId="0" fillId="2" borderId="39" xfId="0" applyFill="1" applyBorder="1" applyAlignment="1">
      <alignment horizontal="center"/>
    </xf>
    <xf numFmtId="0" fontId="0" fillId="2" borderId="98" xfId="0" applyFill="1" applyBorder="1" applyAlignment="1">
      <alignment horizontal="center"/>
    </xf>
    <xf numFmtId="0" fontId="0" fillId="5" borderId="21" xfId="0" applyFill="1" applyBorder="1" applyAlignment="1">
      <alignment horizontal="center" wrapText="1"/>
    </xf>
    <xf numFmtId="0" fontId="0" fillId="5" borderId="2" xfId="0" applyFill="1" applyBorder="1" applyAlignment="1">
      <alignment horizontal="center" wrapText="1"/>
    </xf>
    <xf numFmtId="0" fontId="0" fillId="5" borderId="21" xfId="0" applyFill="1" applyBorder="1" applyAlignment="1">
      <alignment horizontal="center"/>
    </xf>
    <xf numFmtId="0" fontId="0" fillId="5" borderId="2" xfId="0" applyFill="1" applyBorder="1" applyAlignment="1">
      <alignment horizontal="center"/>
    </xf>
    <xf numFmtId="0" fontId="0" fillId="2" borderId="16" xfId="0" applyFill="1" applyBorder="1" applyAlignment="1">
      <alignment horizontal="left"/>
    </xf>
    <xf numFmtId="0" fontId="0" fillId="2" borderId="100" xfId="0" applyFill="1" applyBorder="1" applyAlignment="1">
      <alignment horizontal="center"/>
    </xf>
    <xf numFmtId="0" fontId="0" fillId="2" borderId="74" xfId="0" applyFill="1" applyBorder="1" applyAlignment="1">
      <alignment horizontal="center"/>
    </xf>
    <xf numFmtId="0" fontId="11" fillId="2" borderId="142" xfId="0" applyFont="1" applyFill="1" applyBorder="1" applyAlignment="1">
      <alignment horizontal="center" vertical="center" textRotation="90" wrapText="1"/>
    </xf>
    <xf numFmtId="0" fontId="11" fillId="2" borderId="143" xfId="0" applyFont="1" applyFill="1" applyBorder="1" applyAlignment="1">
      <alignment horizontal="center" vertical="center" textRotation="90" wrapText="1"/>
    </xf>
    <xf numFmtId="0" fontId="11" fillId="2" borderId="55" xfId="0" applyFont="1" applyFill="1" applyBorder="1" applyAlignment="1">
      <alignment horizontal="center" vertical="center" textRotation="90" wrapText="1"/>
    </xf>
    <xf numFmtId="0" fontId="0" fillId="6" borderId="39" xfId="0" applyFill="1" applyBorder="1" applyAlignment="1">
      <alignment horizontal="center"/>
    </xf>
    <xf numFmtId="0" fontId="0" fillId="6" borderId="144" xfId="0" applyFill="1" applyBorder="1" applyAlignment="1">
      <alignment horizontal="center"/>
    </xf>
    <xf numFmtId="0" fontId="0" fillId="6" borderId="100" xfId="0" applyFill="1" applyBorder="1" applyAlignment="1">
      <alignment horizontal="center" wrapText="1"/>
    </xf>
    <xf numFmtId="0" fontId="0" fillId="6" borderId="105" xfId="0" applyFill="1" applyBorder="1" applyAlignment="1">
      <alignment horizontal="center" wrapText="1"/>
    </xf>
    <xf numFmtId="0" fontId="0" fillId="2" borderId="39" xfId="0" applyFill="1" applyBorder="1" applyAlignment="1">
      <alignment horizontal="center" wrapText="1"/>
    </xf>
    <xf numFmtId="0" fontId="0" fillId="2" borderId="98" xfId="0" applyFill="1" applyBorder="1" applyAlignment="1">
      <alignment horizontal="center" wrapText="1"/>
    </xf>
    <xf numFmtId="0" fontId="0" fillId="2" borderId="19" xfId="0" applyFill="1" applyBorder="1" applyAlignment="1">
      <alignment horizontal="left" vertical="top" wrapText="1"/>
    </xf>
    <xf numFmtId="0" fontId="0" fillId="2" borderId="0" xfId="0" applyFill="1" applyBorder="1" applyAlignment="1">
      <alignment horizontal="left" vertical="top" wrapText="1"/>
    </xf>
    <xf numFmtId="0" fontId="0" fillId="2" borderId="14" xfId="0" applyFill="1" applyBorder="1" applyAlignment="1">
      <alignment horizontal="left" vertical="top" wrapText="1"/>
    </xf>
    <xf numFmtId="0" fontId="0" fillId="2" borderId="15" xfId="0" applyFill="1" applyBorder="1" applyAlignment="1">
      <alignment horizontal="left" vertical="top" wrapText="1"/>
    </xf>
    <xf numFmtId="0" fontId="0" fillId="2" borderId="16" xfId="0" applyFill="1" applyBorder="1" applyAlignment="1">
      <alignment horizontal="left" vertical="top" wrapText="1"/>
    </xf>
    <xf numFmtId="0" fontId="0" fillId="2" borderId="17" xfId="0" applyFill="1" applyBorder="1" applyAlignment="1">
      <alignment horizontal="left" vertical="top" wrapText="1"/>
    </xf>
    <xf numFmtId="0" fontId="31" fillId="2" borderId="0" xfId="0" applyFont="1" applyFill="1" applyBorder="1" applyAlignment="1">
      <alignment horizontal="left" wrapText="1"/>
    </xf>
    <xf numFmtId="0" fontId="0" fillId="2" borderId="0" xfId="0" applyFill="1" applyAlignment="1">
      <alignment horizontal="right" wrapText="1"/>
    </xf>
    <xf numFmtId="0" fontId="11" fillId="0" borderId="4" xfId="0" applyFont="1" applyFill="1" applyBorder="1" applyAlignment="1">
      <alignment horizontal="center" vertical="center"/>
    </xf>
    <xf numFmtId="0" fontId="0" fillId="0" borderId="2" xfId="0" applyBorder="1" applyAlignment="1">
      <alignment vertical="center"/>
    </xf>
    <xf numFmtId="0" fontId="11" fillId="0" borderId="4" xfId="0" applyFont="1" applyBorder="1" applyAlignment="1">
      <alignment horizontal="center" vertical="center"/>
    </xf>
    <xf numFmtId="0" fontId="0" fillId="0" borderId="2" xfId="0" applyBorder="1" applyAlignment="1">
      <alignment horizontal="center" vertical="center"/>
    </xf>
    <xf numFmtId="0" fontId="23" fillId="2" borderId="0" xfId="0" applyFont="1" applyFill="1" applyAlignment="1">
      <alignment horizontal="left" vertical="center" wrapText="1"/>
    </xf>
    <xf numFmtId="0" fontId="49" fillId="2" borderId="0" xfId="0" applyNumberFormat="1" applyFont="1" applyFill="1" applyAlignment="1">
      <alignment horizontal="left" wrapText="1"/>
    </xf>
    <xf numFmtId="0" fontId="11" fillId="0" borderId="145" xfId="0" applyFont="1" applyBorder="1" applyAlignment="1">
      <alignment horizontal="center"/>
    </xf>
    <xf numFmtId="0" fontId="11" fillId="0" borderId="146" xfId="0" applyFont="1" applyBorder="1" applyAlignment="1">
      <alignment horizontal="center"/>
    </xf>
    <xf numFmtId="0" fontId="11" fillId="0" borderId="148" xfId="0" applyFont="1" applyBorder="1" applyAlignment="1">
      <alignment horizontal="center"/>
    </xf>
    <xf numFmtId="0" fontId="11" fillId="0" borderId="149" xfId="0" applyFont="1" applyBorder="1" applyAlignment="1">
      <alignment horizontal="center"/>
    </xf>
    <xf numFmtId="0" fontId="11" fillId="2" borderId="0" xfId="0" applyFont="1" applyFill="1" applyAlignment="1">
      <alignment horizontal="left" wrapText="1"/>
    </xf>
    <xf numFmtId="0" fontId="11" fillId="0" borderId="147" xfId="0" applyFont="1" applyBorder="1" applyAlignment="1">
      <alignment horizontal="center"/>
    </xf>
    <xf numFmtId="0" fontId="48" fillId="2" borderId="0" xfId="0" applyFont="1" applyFill="1" applyAlignment="1">
      <alignment horizontal="left" wrapText="1"/>
    </xf>
    <xf numFmtId="0" fontId="11" fillId="0" borderId="39" xfId="0" applyFont="1" applyBorder="1" applyAlignment="1">
      <alignment horizontal="center" vertical="center"/>
    </xf>
    <xf numFmtId="0" fontId="0" fillId="0" borderId="98" xfId="0" applyBorder="1" applyAlignment="1">
      <alignment horizontal="center" vertical="center"/>
    </xf>
    <xf numFmtId="0" fontId="19" fillId="2" borderId="16" xfId="0" applyFont="1" applyFill="1" applyBorder="1" applyAlignment="1">
      <alignment horizontal="left"/>
    </xf>
    <xf numFmtId="0" fontId="11" fillId="3" borderId="149" xfId="0" applyFont="1" applyFill="1" applyBorder="1" applyAlignment="1">
      <alignment horizontal="center"/>
    </xf>
    <xf numFmtId="0" fontId="0" fillId="3" borderId="149" xfId="0" applyFill="1" applyBorder="1" applyAlignment="1">
      <alignment horizontal="center"/>
    </xf>
    <xf numFmtId="0" fontId="0" fillId="3" borderId="38" xfId="0" applyFill="1" applyBorder="1" applyAlignment="1">
      <alignment horizontal="center"/>
    </xf>
    <xf numFmtId="0" fontId="11" fillId="3" borderId="90" xfId="0" applyFont="1" applyFill="1" applyBorder="1" applyAlignment="1">
      <alignment horizontal="center" vertical="center"/>
    </xf>
    <xf numFmtId="0" fontId="0" fillId="0" borderId="40" xfId="0" applyBorder="1" applyAlignment="1">
      <alignment horizontal="center" vertical="center"/>
    </xf>
    <xf numFmtId="0" fontId="0" fillId="0" borderId="150" xfId="0" applyBorder="1" applyAlignment="1">
      <alignment horizontal="center" vertical="center"/>
    </xf>
    <xf numFmtId="0" fontId="0" fillId="0" borderId="10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1" fillId="0" borderId="98" xfId="0" applyFont="1" applyBorder="1" applyAlignment="1">
      <alignment horizontal="center" vertical="center"/>
    </xf>
    <xf numFmtId="0" fontId="0" fillId="0" borderId="146" xfId="0" applyBorder="1"/>
    <xf numFmtId="0" fontId="0" fillId="0" borderId="147" xfId="0" applyBorder="1"/>
    <xf numFmtId="170" fontId="22" fillId="0" borderId="0" xfId="0" applyNumberFormat="1" applyFont="1" applyAlignment="1">
      <alignment horizontal="left"/>
    </xf>
    <xf numFmtId="0" fontId="4" fillId="0" borderId="0" xfId="0" applyNumberFormat="1" applyFont="1" applyFill="1" applyAlignment="1">
      <alignment horizontal="left" wrapText="1"/>
    </xf>
    <xf numFmtId="0" fontId="11" fillId="0" borderId="38" xfId="0" applyFont="1" applyBorder="1" applyAlignment="1">
      <alignment horizontal="center"/>
    </xf>
    <xf numFmtId="0" fontId="6" fillId="0" borderId="0" xfId="0" applyFont="1" applyFill="1" applyBorder="1" applyAlignment="1">
      <alignment horizontal="left"/>
    </xf>
    <xf numFmtId="0" fontId="5" fillId="0" borderId="0" xfId="0" applyFont="1" applyAlignment="1">
      <alignment horizontal="left" vertical="top" wrapText="1"/>
    </xf>
    <xf numFmtId="0" fontId="7" fillId="3" borderId="58" xfId="0" applyFont="1" applyFill="1" applyBorder="1" applyAlignment="1" applyProtection="1">
      <alignment horizontal="center"/>
    </xf>
    <xf numFmtId="0" fontId="7" fillId="3" borderId="0" xfId="0" applyFont="1" applyFill="1" applyBorder="1" applyAlignment="1" applyProtection="1">
      <alignment horizontal="center" wrapText="1"/>
    </xf>
    <xf numFmtId="0" fontId="7" fillId="3" borderId="58" xfId="0" applyFont="1" applyFill="1" applyBorder="1" applyAlignment="1" applyProtection="1">
      <alignment horizontal="center" wrapText="1"/>
    </xf>
    <xf numFmtId="0" fontId="11" fillId="0" borderId="151" xfId="0" applyFont="1" applyFill="1" applyBorder="1" applyAlignment="1" applyProtection="1">
      <alignment horizontal="center" vertical="center" textRotation="90"/>
    </xf>
    <xf numFmtId="0" fontId="11" fillId="0" borderId="42" xfId="0" applyFont="1" applyFill="1" applyBorder="1" applyAlignment="1" applyProtection="1">
      <alignment horizontal="center" vertical="center" textRotation="90"/>
    </xf>
    <xf numFmtId="0" fontId="11" fillId="0" borderId="151" xfId="0" applyFont="1" applyFill="1" applyBorder="1" applyAlignment="1" applyProtection="1">
      <alignment horizontal="center" vertical="center" textRotation="90" wrapText="1"/>
    </xf>
    <xf numFmtId="0" fontId="11" fillId="0" borderId="42" xfId="0" applyFont="1" applyFill="1" applyBorder="1" applyAlignment="1" applyProtection="1">
      <alignment horizontal="center" vertical="center" textRotation="90" wrapText="1"/>
    </xf>
    <xf numFmtId="0" fontId="11" fillId="0" borderId="144" xfId="0" applyFont="1" applyFill="1" applyBorder="1" applyAlignment="1" applyProtection="1">
      <alignment horizontal="center" vertical="center" textRotation="90" wrapText="1"/>
    </xf>
    <xf numFmtId="0" fontId="4" fillId="0" borderId="0" xfId="0" applyFont="1" applyFill="1" applyAlignment="1">
      <alignment horizontal="left" vertical="center" wrapText="1"/>
    </xf>
    <xf numFmtId="0" fontId="4" fillId="0" borderId="0" xfId="0" applyFont="1" applyFill="1" applyAlignment="1">
      <alignment horizontal="left" wrapText="1"/>
    </xf>
    <xf numFmtId="0" fontId="11" fillId="0" borderId="98" xfId="0" applyFont="1" applyFill="1" applyBorder="1" applyAlignment="1" applyProtection="1">
      <alignment horizontal="center" vertical="center" textRotation="90"/>
    </xf>
    <xf numFmtId="0" fontId="20" fillId="0" borderId="0" xfId="0" applyFont="1" applyFill="1" applyAlignment="1">
      <alignment horizontal="left" wrapText="1"/>
    </xf>
    <xf numFmtId="0" fontId="0" fillId="0" borderId="0" xfId="0" applyAlignment="1">
      <alignment horizontal="left" wrapText="1"/>
    </xf>
    <xf numFmtId="0" fontId="11" fillId="0" borderId="151" xfId="0" applyFont="1" applyFill="1" applyBorder="1" applyAlignment="1">
      <alignment horizontal="center" vertical="center" textRotation="90"/>
    </xf>
    <xf numFmtId="0" fontId="11" fillId="0" borderId="42" xfId="0" applyFont="1" applyFill="1" applyBorder="1" applyAlignment="1">
      <alignment horizontal="center" vertical="center" textRotation="90"/>
    </xf>
    <xf numFmtId="0" fontId="11" fillId="0" borderId="98" xfId="0" applyFont="1" applyFill="1" applyBorder="1" applyAlignment="1">
      <alignment horizontal="center" vertical="center" textRotation="90"/>
    </xf>
    <xf numFmtId="0" fontId="11" fillId="0" borderId="151" xfId="0" applyFont="1" applyFill="1" applyBorder="1" applyAlignment="1">
      <alignment horizontal="center" vertical="center" textRotation="90" wrapText="1"/>
    </xf>
    <xf numFmtId="0" fontId="11" fillId="0" borderId="42" xfId="0" applyFont="1" applyFill="1" applyBorder="1" applyAlignment="1">
      <alignment horizontal="center" vertical="center" textRotation="90" wrapText="1"/>
    </xf>
    <xf numFmtId="0" fontId="11" fillId="0" borderId="144" xfId="0" applyFont="1" applyFill="1" applyBorder="1" applyAlignment="1">
      <alignment horizontal="center" vertical="center" textRotation="90" wrapText="1"/>
    </xf>
  </cellXfs>
  <cellStyles count="3">
    <cellStyle name="Comma" xfId="1" builtinId="3"/>
    <cellStyle name="Hyperlink" xfId="2" builtinId="8"/>
    <cellStyle name="Normal" xfId="0" builtinId="0"/>
  </cellStyles>
  <dxfs count="8">
    <dxf>
      <fill>
        <patternFill>
          <bgColor indexed="9"/>
        </patternFill>
      </fill>
      <border>
        <left style="thin">
          <color indexed="64"/>
        </left>
        <right style="thin">
          <color indexed="64"/>
        </right>
        <top style="thin">
          <color indexed="64"/>
        </top>
        <bottom style="thin">
          <color indexed="64"/>
        </bottom>
      </border>
    </dxf>
    <dxf>
      <font>
        <condense val="0"/>
        <extend val="0"/>
        <color indexed="41"/>
      </font>
      <fill>
        <patternFill>
          <bgColor indexed="41"/>
        </patternFill>
      </fill>
    </dxf>
    <dxf>
      <fill>
        <patternFill>
          <bgColor indexed="9"/>
        </patternFill>
      </fill>
      <border>
        <left style="thin">
          <color indexed="64"/>
        </left>
        <right style="thin">
          <color indexed="64"/>
        </right>
        <top style="thin">
          <color indexed="64"/>
        </top>
        <bottom style="thin">
          <color indexed="64"/>
        </bottom>
      </border>
    </dxf>
    <dxf>
      <font>
        <condense val="0"/>
        <extend val="0"/>
        <color indexed="41"/>
      </font>
      <fill>
        <patternFill>
          <bgColor indexed="41"/>
        </patternFill>
      </fill>
    </dxf>
    <dxf>
      <fill>
        <patternFill>
          <bgColor indexed="9"/>
        </patternFill>
      </fill>
      <border>
        <left style="thin">
          <color indexed="64"/>
        </left>
        <right style="thin">
          <color indexed="64"/>
        </right>
        <top style="thin">
          <color indexed="64"/>
        </top>
        <bottom style="thin">
          <color indexed="64"/>
        </bottom>
      </border>
    </dxf>
    <dxf>
      <font>
        <condense val="0"/>
        <extend val="0"/>
        <color indexed="41"/>
      </font>
      <fill>
        <patternFill>
          <bgColor indexed="41"/>
        </patternFill>
      </fill>
    </dxf>
    <dxf>
      <fill>
        <patternFill>
          <bgColor indexed="9"/>
        </patternFill>
      </fill>
      <border>
        <left style="thin">
          <color indexed="64"/>
        </left>
        <right style="thin">
          <color indexed="64"/>
        </right>
        <top style="thin">
          <color indexed="64"/>
        </top>
        <bottom style="thin">
          <color indexed="64"/>
        </bottom>
      </border>
    </dxf>
    <dxf>
      <font>
        <condense val="0"/>
        <extend val="0"/>
        <color indexed="41"/>
      </font>
      <fill>
        <patternFill>
          <bgColor indexed="4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9DEED"/>
      <rgbColor rgb="00D1CEBF"/>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D7053240-CE69-11CD-A777-00DD01143C57}"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D7053240-CE69-11CD-A777-00DD01143C57}" ax:persistence="persistStreamInit" r:id="rId1"/>
</file>

<file path=xl/activeX/activeX18.xml><?xml version="1.0" encoding="utf-8"?>
<ax:ocx xmlns:ax="http://schemas.microsoft.com/office/2006/activeX" xmlns:r="http://schemas.openxmlformats.org/officeDocument/2006/relationships" ax:classid="{D7053240-CE69-11CD-A777-00DD01143C57}" ax:persistence="persistStreamInit" r:id="rId1"/>
</file>

<file path=xl/activeX/activeX19.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D7053240-CE69-11CD-A777-00DD01143C57}"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Megagrams Per Year</a:t>
            </a:r>
          </a:p>
        </c:rich>
      </c:tx>
      <c:layout>
        <c:manualLayout>
          <c:xMode val="edge"/>
          <c:yMode val="edge"/>
          <c:x val="0.37731958762886597"/>
          <c:y val="3.4591301196753382E-2"/>
        </c:manualLayout>
      </c:layout>
      <c:overlay val="0"/>
      <c:spPr>
        <a:noFill/>
        <a:ln w="25400">
          <a:noFill/>
        </a:ln>
      </c:spPr>
    </c:title>
    <c:autoTitleDeleted val="0"/>
    <c:plotArea>
      <c:layout>
        <c:manualLayout>
          <c:layoutTarget val="inner"/>
          <c:xMode val="edge"/>
          <c:yMode val="edge"/>
          <c:x val="0.19175257731958764"/>
          <c:y val="0.15408852351281052"/>
          <c:w val="0.78144329896907216"/>
          <c:h val="0.50000153548034432"/>
        </c:manualLayout>
      </c:layout>
      <c:lineChart>
        <c:grouping val="standard"/>
        <c:varyColors val="0"/>
        <c:ser>
          <c:idx val="1"/>
          <c:order val="0"/>
          <c:tx>
            <c:strRef>
              <c:f>RESULTS!$F$7</c:f>
              <c:strCache>
                <c:ptCount val="1"/>
              </c:strCache>
            </c:strRef>
          </c:tx>
          <c:spPr>
            <a:ln w="25400">
              <a:solidFill>
                <a:srgbClr val="000000"/>
              </a:solidFill>
              <a:prstDash val="solid"/>
            </a:ln>
          </c:spPr>
          <c:marker>
            <c:symbol val="none"/>
          </c:marker>
          <c:cat>
            <c:numRef>
              <c:f>RESULTS!$A$9:$A$149</c:f>
              <c:numCache>
                <c:formatCode>0</c:formatCode>
                <c:ptCount val="141"/>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pt idx="76">
                  <c:v>2094</c:v>
                </c:pt>
                <c:pt idx="77">
                  <c:v>2095</c:v>
                </c:pt>
                <c:pt idx="78">
                  <c:v>2096</c:v>
                </c:pt>
                <c:pt idx="79">
                  <c:v>2097</c:v>
                </c:pt>
                <c:pt idx="80">
                  <c:v>2098</c:v>
                </c:pt>
                <c:pt idx="81">
                  <c:v>2099</c:v>
                </c:pt>
                <c:pt idx="82">
                  <c:v>2100</c:v>
                </c:pt>
                <c:pt idx="83">
                  <c:v>2101</c:v>
                </c:pt>
                <c:pt idx="84">
                  <c:v>2102</c:v>
                </c:pt>
                <c:pt idx="85">
                  <c:v>2103</c:v>
                </c:pt>
                <c:pt idx="86">
                  <c:v>2104</c:v>
                </c:pt>
                <c:pt idx="87">
                  <c:v>2105</c:v>
                </c:pt>
                <c:pt idx="88">
                  <c:v>2106</c:v>
                </c:pt>
                <c:pt idx="89">
                  <c:v>2107</c:v>
                </c:pt>
                <c:pt idx="90">
                  <c:v>2108</c:v>
                </c:pt>
                <c:pt idx="91">
                  <c:v>2109</c:v>
                </c:pt>
                <c:pt idx="92">
                  <c:v>2110</c:v>
                </c:pt>
                <c:pt idx="93">
                  <c:v>2111</c:v>
                </c:pt>
                <c:pt idx="94">
                  <c:v>2112</c:v>
                </c:pt>
                <c:pt idx="95">
                  <c:v>2113</c:v>
                </c:pt>
                <c:pt idx="96">
                  <c:v>2114</c:v>
                </c:pt>
                <c:pt idx="97">
                  <c:v>2115</c:v>
                </c:pt>
                <c:pt idx="98">
                  <c:v>2116</c:v>
                </c:pt>
                <c:pt idx="99">
                  <c:v>2117</c:v>
                </c:pt>
                <c:pt idx="100">
                  <c:v>2118</c:v>
                </c:pt>
                <c:pt idx="101">
                  <c:v>2119</c:v>
                </c:pt>
                <c:pt idx="102">
                  <c:v>2120</c:v>
                </c:pt>
                <c:pt idx="103">
                  <c:v>2121</c:v>
                </c:pt>
                <c:pt idx="104">
                  <c:v>2122</c:v>
                </c:pt>
                <c:pt idx="105">
                  <c:v>2123</c:v>
                </c:pt>
                <c:pt idx="106">
                  <c:v>2124</c:v>
                </c:pt>
                <c:pt idx="107">
                  <c:v>2125</c:v>
                </c:pt>
                <c:pt idx="108">
                  <c:v>2126</c:v>
                </c:pt>
                <c:pt idx="109">
                  <c:v>2127</c:v>
                </c:pt>
                <c:pt idx="110">
                  <c:v>2128</c:v>
                </c:pt>
                <c:pt idx="111">
                  <c:v>2129</c:v>
                </c:pt>
                <c:pt idx="112">
                  <c:v>2130</c:v>
                </c:pt>
                <c:pt idx="113">
                  <c:v>2131</c:v>
                </c:pt>
                <c:pt idx="114">
                  <c:v>2132</c:v>
                </c:pt>
                <c:pt idx="115">
                  <c:v>2133</c:v>
                </c:pt>
                <c:pt idx="116">
                  <c:v>2134</c:v>
                </c:pt>
                <c:pt idx="117">
                  <c:v>2135</c:v>
                </c:pt>
                <c:pt idx="118">
                  <c:v>2136</c:v>
                </c:pt>
                <c:pt idx="119">
                  <c:v>2137</c:v>
                </c:pt>
                <c:pt idx="120">
                  <c:v>2138</c:v>
                </c:pt>
                <c:pt idx="121">
                  <c:v>2139</c:v>
                </c:pt>
                <c:pt idx="122">
                  <c:v>2140</c:v>
                </c:pt>
                <c:pt idx="123">
                  <c:v>2141</c:v>
                </c:pt>
                <c:pt idx="124">
                  <c:v>2142</c:v>
                </c:pt>
                <c:pt idx="125">
                  <c:v>2143</c:v>
                </c:pt>
                <c:pt idx="126">
                  <c:v>2144</c:v>
                </c:pt>
                <c:pt idx="127">
                  <c:v>2145</c:v>
                </c:pt>
                <c:pt idx="128">
                  <c:v>2146</c:v>
                </c:pt>
                <c:pt idx="129">
                  <c:v>2147</c:v>
                </c:pt>
                <c:pt idx="130">
                  <c:v>2148</c:v>
                </c:pt>
                <c:pt idx="131">
                  <c:v>2149</c:v>
                </c:pt>
                <c:pt idx="132">
                  <c:v>2150</c:v>
                </c:pt>
                <c:pt idx="133">
                  <c:v>2151</c:v>
                </c:pt>
                <c:pt idx="134">
                  <c:v>2152</c:v>
                </c:pt>
                <c:pt idx="135">
                  <c:v>2153</c:v>
                </c:pt>
                <c:pt idx="136">
                  <c:v>2154</c:v>
                </c:pt>
                <c:pt idx="137">
                  <c:v>2155</c:v>
                </c:pt>
                <c:pt idx="138">
                  <c:v>2156</c:v>
                </c:pt>
                <c:pt idx="139">
                  <c:v>2157</c:v>
                </c:pt>
                <c:pt idx="140">
                  <c:v>2158</c:v>
                </c:pt>
              </c:numCache>
            </c:numRef>
          </c:cat>
          <c:val>
            <c:numRef>
              <c:f>RESULTS!$F$9:$F$149</c:f>
              <c:numCache>
                <c:formatCode>0.000E+00</c:formatCode>
                <c:ptCount val="141"/>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numCache>
            </c:numRef>
          </c:val>
          <c:smooth val="0"/>
        </c:ser>
        <c:ser>
          <c:idx val="2"/>
          <c:order val="1"/>
          <c:tx>
            <c:strRef>
              <c:f>RESULTS!$I$7</c:f>
              <c:strCache>
                <c:ptCount val="1"/>
              </c:strCache>
            </c:strRef>
          </c:tx>
          <c:spPr>
            <a:ln w="25400">
              <a:solidFill>
                <a:srgbClr val="00CCFF"/>
              </a:solidFill>
              <a:prstDash val="solid"/>
            </a:ln>
          </c:spPr>
          <c:marker>
            <c:symbol val="none"/>
          </c:marker>
          <c:cat>
            <c:numRef>
              <c:f>RESULTS!$A$9:$A$149</c:f>
              <c:numCache>
                <c:formatCode>0</c:formatCode>
                <c:ptCount val="141"/>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pt idx="76">
                  <c:v>2094</c:v>
                </c:pt>
                <c:pt idx="77">
                  <c:v>2095</c:v>
                </c:pt>
                <c:pt idx="78">
                  <c:v>2096</c:v>
                </c:pt>
                <c:pt idx="79">
                  <c:v>2097</c:v>
                </c:pt>
                <c:pt idx="80">
                  <c:v>2098</c:v>
                </c:pt>
                <c:pt idx="81">
                  <c:v>2099</c:v>
                </c:pt>
                <c:pt idx="82">
                  <c:v>2100</c:v>
                </c:pt>
                <c:pt idx="83">
                  <c:v>2101</c:v>
                </c:pt>
                <c:pt idx="84">
                  <c:v>2102</c:v>
                </c:pt>
                <c:pt idx="85">
                  <c:v>2103</c:v>
                </c:pt>
                <c:pt idx="86">
                  <c:v>2104</c:v>
                </c:pt>
                <c:pt idx="87">
                  <c:v>2105</c:v>
                </c:pt>
                <c:pt idx="88">
                  <c:v>2106</c:v>
                </c:pt>
                <c:pt idx="89">
                  <c:v>2107</c:v>
                </c:pt>
                <c:pt idx="90">
                  <c:v>2108</c:v>
                </c:pt>
                <c:pt idx="91">
                  <c:v>2109</c:v>
                </c:pt>
                <c:pt idx="92">
                  <c:v>2110</c:v>
                </c:pt>
                <c:pt idx="93">
                  <c:v>2111</c:v>
                </c:pt>
                <c:pt idx="94">
                  <c:v>2112</c:v>
                </c:pt>
                <c:pt idx="95">
                  <c:v>2113</c:v>
                </c:pt>
                <c:pt idx="96">
                  <c:v>2114</c:v>
                </c:pt>
                <c:pt idx="97">
                  <c:v>2115</c:v>
                </c:pt>
                <c:pt idx="98">
                  <c:v>2116</c:v>
                </c:pt>
                <c:pt idx="99">
                  <c:v>2117</c:v>
                </c:pt>
                <c:pt idx="100">
                  <c:v>2118</c:v>
                </c:pt>
                <c:pt idx="101">
                  <c:v>2119</c:v>
                </c:pt>
                <c:pt idx="102">
                  <c:v>2120</c:v>
                </c:pt>
                <c:pt idx="103">
                  <c:v>2121</c:v>
                </c:pt>
                <c:pt idx="104">
                  <c:v>2122</c:v>
                </c:pt>
                <c:pt idx="105">
                  <c:v>2123</c:v>
                </c:pt>
                <c:pt idx="106">
                  <c:v>2124</c:v>
                </c:pt>
                <c:pt idx="107">
                  <c:v>2125</c:v>
                </c:pt>
                <c:pt idx="108">
                  <c:v>2126</c:v>
                </c:pt>
                <c:pt idx="109">
                  <c:v>2127</c:v>
                </c:pt>
                <c:pt idx="110">
                  <c:v>2128</c:v>
                </c:pt>
                <c:pt idx="111">
                  <c:v>2129</c:v>
                </c:pt>
                <c:pt idx="112">
                  <c:v>2130</c:v>
                </c:pt>
                <c:pt idx="113">
                  <c:v>2131</c:v>
                </c:pt>
                <c:pt idx="114">
                  <c:v>2132</c:v>
                </c:pt>
                <c:pt idx="115">
                  <c:v>2133</c:v>
                </c:pt>
                <c:pt idx="116">
                  <c:v>2134</c:v>
                </c:pt>
                <c:pt idx="117">
                  <c:v>2135</c:v>
                </c:pt>
                <c:pt idx="118">
                  <c:v>2136</c:v>
                </c:pt>
                <c:pt idx="119">
                  <c:v>2137</c:v>
                </c:pt>
                <c:pt idx="120">
                  <c:v>2138</c:v>
                </c:pt>
                <c:pt idx="121">
                  <c:v>2139</c:v>
                </c:pt>
                <c:pt idx="122">
                  <c:v>2140</c:v>
                </c:pt>
                <c:pt idx="123">
                  <c:v>2141</c:v>
                </c:pt>
                <c:pt idx="124">
                  <c:v>2142</c:v>
                </c:pt>
                <c:pt idx="125">
                  <c:v>2143</c:v>
                </c:pt>
                <c:pt idx="126">
                  <c:v>2144</c:v>
                </c:pt>
                <c:pt idx="127">
                  <c:v>2145</c:v>
                </c:pt>
                <c:pt idx="128">
                  <c:v>2146</c:v>
                </c:pt>
                <c:pt idx="129">
                  <c:v>2147</c:v>
                </c:pt>
                <c:pt idx="130">
                  <c:v>2148</c:v>
                </c:pt>
                <c:pt idx="131">
                  <c:v>2149</c:v>
                </c:pt>
                <c:pt idx="132">
                  <c:v>2150</c:v>
                </c:pt>
                <c:pt idx="133">
                  <c:v>2151</c:v>
                </c:pt>
                <c:pt idx="134">
                  <c:v>2152</c:v>
                </c:pt>
                <c:pt idx="135">
                  <c:v>2153</c:v>
                </c:pt>
                <c:pt idx="136">
                  <c:v>2154</c:v>
                </c:pt>
                <c:pt idx="137">
                  <c:v>2155</c:v>
                </c:pt>
                <c:pt idx="138">
                  <c:v>2156</c:v>
                </c:pt>
                <c:pt idx="139">
                  <c:v>2157</c:v>
                </c:pt>
                <c:pt idx="140">
                  <c:v>2158</c:v>
                </c:pt>
              </c:numCache>
            </c:numRef>
          </c:cat>
          <c:val>
            <c:numRef>
              <c:f>RESULTS!$I$9:$I$149</c:f>
              <c:numCache>
                <c:formatCode>0.000E+00</c:formatCode>
                <c:ptCount val="141"/>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numCache>
            </c:numRef>
          </c:val>
          <c:smooth val="0"/>
        </c:ser>
        <c:ser>
          <c:idx val="3"/>
          <c:order val="2"/>
          <c:tx>
            <c:strRef>
              <c:f>RESULTS!$L$7</c:f>
              <c:strCache>
                <c:ptCount val="1"/>
                <c:pt idx="0">
                  <c:v>Carbon dioxide</c:v>
                </c:pt>
              </c:strCache>
            </c:strRef>
          </c:tx>
          <c:spPr>
            <a:ln w="25400">
              <a:solidFill>
                <a:srgbClr val="FF00FF"/>
              </a:solidFill>
              <a:prstDash val="solid"/>
            </a:ln>
          </c:spPr>
          <c:marker>
            <c:symbol val="none"/>
          </c:marker>
          <c:cat>
            <c:numRef>
              <c:f>RESULTS!$A$9:$A$149</c:f>
              <c:numCache>
                <c:formatCode>0</c:formatCode>
                <c:ptCount val="141"/>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pt idx="76">
                  <c:v>2094</c:v>
                </c:pt>
                <c:pt idx="77">
                  <c:v>2095</c:v>
                </c:pt>
                <c:pt idx="78">
                  <c:v>2096</c:v>
                </c:pt>
                <c:pt idx="79">
                  <c:v>2097</c:v>
                </c:pt>
                <c:pt idx="80">
                  <c:v>2098</c:v>
                </c:pt>
                <c:pt idx="81">
                  <c:v>2099</c:v>
                </c:pt>
                <c:pt idx="82">
                  <c:v>2100</c:v>
                </c:pt>
                <c:pt idx="83">
                  <c:v>2101</c:v>
                </c:pt>
                <c:pt idx="84">
                  <c:v>2102</c:v>
                </c:pt>
                <c:pt idx="85">
                  <c:v>2103</c:v>
                </c:pt>
                <c:pt idx="86">
                  <c:v>2104</c:v>
                </c:pt>
                <c:pt idx="87">
                  <c:v>2105</c:v>
                </c:pt>
                <c:pt idx="88">
                  <c:v>2106</c:v>
                </c:pt>
                <c:pt idx="89">
                  <c:v>2107</c:v>
                </c:pt>
                <c:pt idx="90">
                  <c:v>2108</c:v>
                </c:pt>
                <c:pt idx="91">
                  <c:v>2109</c:v>
                </c:pt>
                <c:pt idx="92">
                  <c:v>2110</c:v>
                </c:pt>
                <c:pt idx="93">
                  <c:v>2111</c:v>
                </c:pt>
                <c:pt idx="94">
                  <c:v>2112</c:v>
                </c:pt>
                <c:pt idx="95">
                  <c:v>2113</c:v>
                </c:pt>
                <c:pt idx="96">
                  <c:v>2114</c:v>
                </c:pt>
                <c:pt idx="97">
                  <c:v>2115</c:v>
                </c:pt>
                <c:pt idx="98">
                  <c:v>2116</c:v>
                </c:pt>
                <c:pt idx="99">
                  <c:v>2117</c:v>
                </c:pt>
                <c:pt idx="100">
                  <c:v>2118</c:v>
                </c:pt>
                <c:pt idx="101">
                  <c:v>2119</c:v>
                </c:pt>
                <c:pt idx="102">
                  <c:v>2120</c:v>
                </c:pt>
                <c:pt idx="103">
                  <c:v>2121</c:v>
                </c:pt>
                <c:pt idx="104">
                  <c:v>2122</c:v>
                </c:pt>
                <c:pt idx="105">
                  <c:v>2123</c:v>
                </c:pt>
                <c:pt idx="106">
                  <c:v>2124</c:v>
                </c:pt>
                <c:pt idx="107">
                  <c:v>2125</c:v>
                </c:pt>
                <c:pt idx="108">
                  <c:v>2126</c:v>
                </c:pt>
                <c:pt idx="109">
                  <c:v>2127</c:v>
                </c:pt>
                <c:pt idx="110">
                  <c:v>2128</c:v>
                </c:pt>
                <c:pt idx="111">
                  <c:v>2129</c:v>
                </c:pt>
                <c:pt idx="112">
                  <c:v>2130</c:v>
                </c:pt>
                <c:pt idx="113">
                  <c:v>2131</c:v>
                </c:pt>
                <c:pt idx="114">
                  <c:v>2132</c:v>
                </c:pt>
                <c:pt idx="115">
                  <c:v>2133</c:v>
                </c:pt>
                <c:pt idx="116">
                  <c:v>2134</c:v>
                </c:pt>
                <c:pt idx="117">
                  <c:v>2135</c:v>
                </c:pt>
                <c:pt idx="118">
                  <c:v>2136</c:v>
                </c:pt>
                <c:pt idx="119">
                  <c:v>2137</c:v>
                </c:pt>
                <c:pt idx="120">
                  <c:v>2138</c:v>
                </c:pt>
                <c:pt idx="121">
                  <c:v>2139</c:v>
                </c:pt>
                <c:pt idx="122">
                  <c:v>2140</c:v>
                </c:pt>
                <c:pt idx="123">
                  <c:v>2141</c:v>
                </c:pt>
                <c:pt idx="124">
                  <c:v>2142</c:v>
                </c:pt>
                <c:pt idx="125">
                  <c:v>2143</c:v>
                </c:pt>
                <c:pt idx="126">
                  <c:v>2144</c:v>
                </c:pt>
                <c:pt idx="127">
                  <c:v>2145</c:v>
                </c:pt>
                <c:pt idx="128">
                  <c:v>2146</c:v>
                </c:pt>
                <c:pt idx="129">
                  <c:v>2147</c:v>
                </c:pt>
                <c:pt idx="130">
                  <c:v>2148</c:v>
                </c:pt>
                <c:pt idx="131">
                  <c:v>2149</c:v>
                </c:pt>
                <c:pt idx="132">
                  <c:v>2150</c:v>
                </c:pt>
                <c:pt idx="133">
                  <c:v>2151</c:v>
                </c:pt>
                <c:pt idx="134">
                  <c:v>2152</c:v>
                </c:pt>
                <c:pt idx="135">
                  <c:v>2153</c:v>
                </c:pt>
                <c:pt idx="136">
                  <c:v>2154</c:v>
                </c:pt>
                <c:pt idx="137">
                  <c:v>2155</c:v>
                </c:pt>
                <c:pt idx="138">
                  <c:v>2156</c:v>
                </c:pt>
                <c:pt idx="139">
                  <c:v>2157</c:v>
                </c:pt>
                <c:pt idx="140">
                  <c:v>2158</c:v>
                </c:pt>
              </c:numCache>
            </c:numRef>
          </c:cat>
          <c:val>
            <c:numRef>
              <c:f>RESULTS!$L$9:$L$149</c:f>
              <c:numCache>
                <c:formatCode>0.000E+00</c:formatCode>
                <c:ptCount val="141"/>
                <c:pt idx="0" formatCode="#,##0">
                  <c:v>0</c:v>
                </c:pt>
                <c:pt idx="1">
                  <c:v>906.56662871066976</c:v>
                </c:pt>
                <c:pt idx="2">
                  <c:v>2278.1728000799362</c:v>
                </c:pt>
                <c:pt idx="3">
                  <c:v>3548.214853082291</c:v>
                </c:pt>
                <c:pt idx="4">
                  <c:v>4096.2497315889177</c:v>
                </c:pt>
                <c:pt idx="5">
                  <c:v>5028.0807427860918</c:v>
                </c:pt>
                <c:pt idx="6">
                  <c:v>5975.5198660121559</c:v>
                </c:pt>
                <c:pt idx="7">
                  <c:v>6940.4434795679235</c:v>
                </c:pt>
                <c:pt idx="8">
                  <c:v>7924.7694575561727</c:v>
                </c:pt>
                <c:pt idx="9">
                  <c:v>8930.4747210825662</c:v>
                </c:pt>
                <c:pt idx="10">
                  <c:v>9959.5833338522516</c:v>
                </c:pt>
                <c:pt idx="11">
                  <c:v>11014.174242819399</c:v>
                </c:pt>
                <c:pt idx="12">
                  <c:v>12096.393509890146</c:v>
                </c:pt>
                <c:pt idx="13">
                  <c:v>13208.446885739062</c:v>
                </c:pt>
                <c:pt idx="14">
                  <c:v>14352.616647653642</c:v>
                </c:pt>
                <c:pt idx="15">
                  <c:v>15531.258598882889</c:v>
                </c:pt>
                <c:pt idx="16">
                  <c:v>16746.803980211764</c:v>
                </c:pt>
                <c:pt idx="17">
                  <c:v>18001.775690287686</c:v>
                </c:pt>
                <c:pt idx="18">
                  <c:v>19298.784691664354</c:v>
                </c:pt>
                <c:pt idx="19">
                  <c:v>20640.540941472504</c:v>
                </c:pt>
                <c:pt idx="20">
                  <c:v>22029.849509787022</c:v>
                </c:pt>
                <c:pt idx="21">
                  <c:v>23469.626028469669</c:v>
                </c:pt>
                <c:pt idx="22">
                  <c:v>24962.901945116686</c:v>
                </c:pt>
                <c:pt idx="23">
                  <c:v>26512.829570996171</c:v>
                </c:pt>
                <c:pt idx="24">
                  <c:v>28122.686931053009</c:v>
                </c:pt>
                <c:pt idx="25">
                  <c:v>29795.88242374246</c:v>
                </c:pt>
                <c:pt idx="26">
                  <c:v>31535.968887286148</c:v>
                </c:pt>
                <c:pt idx="27">
                  <c:v>33346.652319813897</c:v>
                </c:pt>
                <c:pt idx="28">
                  <c:v>35231.785873877699</c:v>
                </c:pt>
                <c:pt idx="29">
                  <c:v>37195.397648424951</c:v>
                </c:pt>
                <c:pt idx="30">
                  <c:v>39241.679034483364</c:v>
                </c:pt>
                <c:pt idx="31">
                  <c:v>41375.011874367585</c:v>
                </c:pt>
                <c:pt idx="32">
                  <c:v>39752.674453694352</c:v>
                </c:pt>
                <c:pt idx="33">
                  <c:v>38193.949793169879</c:v>
                </c:pt>
                <c:pt idx="34">
                  <c:v>36696.343600791675</c:v>
                </c:pt>
                <c:pt idx="35">
                  <c:v>35257.45938714558</c:v>
                </c:pt>
                <c:pt idx="36">
                  <c:v>33874.994630511421</c:v>
                </c:pt>
                <c:pt idx="37">
                  <c:v>32546.737092337018</c:v>
                </c:pt>
                <c:pt idx="38">
                  <c:v>31270.561277184599</c:v>
                </c:pt>
                <c:pt idx="39">
                  <c:v>30044.425031484545</c:v>
                </c:pt>
                <c:pt idx="40">
                  <c:v>28866.366275654065</c:v>
                </c:pt>
                <c:pt idx="41">
                  <c:v>27734.499864351208</c:v>
                </c:pt>
                <c:pt idx="42">
                  <c:v>26647.014569840179</c:v>
                </c:pt>
                <c:pt idx="43">
                  <c:v>25602.170183640534</c:v>
                </c:pt>
                <c:pt idx="44">
                  <c:v>24598.29473182232</c:v>
                </c:pt>
                <c:pt idx="45">
                  <c:v>23633.781799491109</c:v>
                </c:pt>
                <c:pt idx="46">
                  <c:v>22707.087960181445</c:v>
                </c:pt>
                <c:pt idx="47">
                  <c:v>21816.730306045207</c:v>
                </c:pt>
                <c:pt idx="48">
                  <c:v>20961.284074882667</c:v>
                </c:pt>
                <c:pt idx="49">
                  <c:v>20139.380370219042</c:v>
                </c:pt>
                <c:pt idx="50">
                  <c:v>19349.703970778057</c:v>
                </c:pt>
                <c:pt idx="51">
                  <c:v>18590.991225847334</c:v>
                </c:pt>
                <c:pt idx="52">
                  <c:v>17862.028033167619</c:v>
                </c:pt>
                <c:pt idx="53">
                  <c:v>17161.647896110193</c:v>
                </c:pt>
                <c:pt idx="54">
                  <c:v>16488.730057033361</c:v>
                </c:pt>
                <c:pt idx="55">
                  <c:v>15842.197703831132</c:v>
                </c:pt>
                <c:pt idx="56">
                  <c:v>15221.01624680414</c:v>
                </c:pt>
                <c:pt idx="57">
                  <c:v>14624.191663095346</c:v>
                </c:pt>
                <c:pt idx="58">
                  <c:v>14050.76890604146</c:v>
                </c:pt>
                <c:pt idx="59">
                  <c:v>13499.830376894477</c:v>
                </c:pt>
                <c:pt idx="60">
                  <c:v>12970.494456467937</c:v>
                </c:pt>
                <c:pt idx="61">
                  <c:v>12461.91409435815</c:v>
                </c:pt>
                <c:pt idx="62">
                  <c:v>11973.2754534828</c:v>
                </c:pt>
                <c:pt idx="63">
                  <c:v>11503.796607768014</c:v>
                </c:pt>
                <c:pt idx="64">
                  <c:v>11052.726290899829</c:v>
                </c:pt>
                <c:pt idx="65">
                  <c:v>10619.342694137784</c:v>
                </c:pt>
                <c:pt idx="66">
                  <c:v>10202.952311266963</c:v>
                </c:pt>
                <c:pt idx="67">
                  <c:v>9802.8888288400867</c:v>
                </c:pt>
                <c:pt idx="68">
                  <c:v>9418.5120599338406</c:v>
                </c:pt>
                <c:pt idx="69">
                  <c:v>9049.2069197132278</c:v>
                </c:pt>
                <c:pt idx="70">
                  <c:v>8694.3824411645928</c:v>
                </c:pt>
                <c:pt idx="71">
                  <c:v>8353.4708294223365</c:v>
                </c:pt>
                <c:pt idx="72">
                  <c:v>8025.9265531759793</c:v>
                </c:pt>
                <c:pt idx="73">
                  <c:v>7711.2254717036885</c:v>
                </c:pt>
                <c:pt idx="74">
                  <c:v>7408.8639961352947</c:v>
                </c:pt>
                <c:pt idx="75">
                  <c:v>7118.358283602669</c:v>
                </c:pt>
                <c:pt idx="76">
                  <c:v>6839.2434629879044</c:v>
                </c:pt>
                <c:pt idx="77">
                  <c:v>6571.0728910303378</c:v>
                </c:pt>
                <c:pt idx="78">
                  <c:v>6313.4174376020756</c:v>
                </c:pt>
                <c:pt idx="79">
                  <c:v>6065.8647990081963</c:v>
                </c:pt>
                <c:pt idx="80">
                  <c:v>5828.0188382129036</c:v>
                </c:pt>
                <c:pt idx="81">
                  <c:v>5599.4989509357492</c:v>
                </c:pt>
                <c:pt idx="82">
                  <c:v>5379.9394566035835</c:v>
                </c:pt>
                <c:pt idx="83">
                  <c:v>5168.9890131836082</c:v>
                </c:pt>
                <c:pt idx="84">
                  <c:v>4966.3100549612009</c:v>
                </c:pt>
                <c:pt idx="85">
                  <c:v>4771.5782523627158</c:v>
                </c:pt>
                <c:pt idx="86">
                  <c:v>4584.4819929589967</c:v>
                </c:pt>
                <c:pt idx="87">
                  <c:v>4404.7218828189998</c:v>
                </c:pt>
                <c:pt idx="88">
                  <c:v>4232.0102674156315</c:v>
                </c:pt>
                <c:pt idx="89">
                  <c:v>4066.0707713171382</c:v>
                </c:pt>
                <c:pt idx="90">
                  <c:v>3906.6378559274472</c:v>
                </c:pt>
                <c:pt idx="91">
                  <c:v>3753.456394567766</c:v>
                </c:pt>
                <c:pt idx="92">
                  <c:v>3606.2812642194658</c:v>
                </c:pt>
                <c:pt idx="93">
                  <c:v>3464.8769532749511</c:v>
                </c:pt>
                <c:pt idx="94">
                  <c:v>3329.0171846688504</c:v>
                </c:pt>
                <c:pt idx="95">
                  <c:v>3198.4845537864308</c:v>
                </c:pt>
                <c:pt idx="96">
                  <c:v>3073.0701805698341</c:v>
                </c:pt>
                <c:pt idx="97">
                  <c:v>2952.5733752654191</c:v>
                </c:pt>
                <c:pt idx="98">
                  <c:v>2836.801317277344</c:v>
                </c:pt>
                <c:pt idx="99">
                  <c:v>2725.5687466134705</c:v>
                </c:pt>
                <c:pt idx="100">
                  <c:v>2618.6976674298571</c:v>
                </c:pt>
                <c:pt idx="101">
                  <c:v>2516.0170631994297</c:v>
                </c:pt>
                <c:pt idx="102">
                  <c:v>2417.3626230490549</c:v>
                </c:pt>
                <c:pt idx="103">
                  <c:v>2322.5764788270908</c:v>
                </c:pt>
                <c:pt idx="104">
                  <c:v>2231.5069524806581</c:v>
                </c:pt>
                <c:pt idx="105">
                  <c:v>2144.0083133384019</c:v>
                </c:pt>
                <c:pt idx="106">
                  <c:v>2059.9405449103215</c:v>
                </c:pt>
                <c:pt idx="107">
                  <c:v>1979.169120831519</c:v>
                </c:pt>
                <c:pt idx="108">
                  <c:v>1901.5647895913121</c:v>
                </c:pt>
                <c:pt idx="109">
                  <c:v>1827.003367703242</c:v>
                </c:pt>
                <c:pt idx="110">
                  <c:v>1755.3655409850035</c:v>
                </c:pt>
                <c:pt idx="111">
                  <c:v>1686.536673630296</c:v>
                </c:pt>
                <c:pt idx="112">
                  <c:v>1620.4066247670767</c:v>
                </c:pt>
                <c:pt idx="113">
                  <c:v>1556.8695722086682</c:v>
                </c:pt>
                <c:pt idx="114">
                  <c:v>1495.823843115684</c:v>
                </c:pt>
                <c:pt idx="115">
                  <c:v>1437.1717512977909</c:v>
                </c:pt>
                <c:pt idx="116">
                  <c:v>1380.8194408949664</c:v>
                </c:pt>
                <c:pt idx="117">
                  <c:v>1326.6767361880993</c:v>
                </c:pt>
                <c:pt idx="118">
                  <c:v>1274.6569972985988</c:v>
                </c:pt>
                <c:pt idx="119">
                  <c:v>1224.6769815461053</c:v>
                </c:pt>
                <c:pt idx="120">
                  <c:v>1176.6567102424422</c:v>
                </c:pt>
                <c:pt idx="121">
                  <c:v>1130.5193407086542</c:v>
                </c:pt>
                <c:pt idx="122">
                  <c:v>1086.1910433103214</c:v>
                </c:pt>
                <c:pt idx="123">
                  <c:v>1043.6008833144008</c:v>
                </c:pt>
                <c:pt idx="124">
                  <c:v>1002.6807073785122</c:v>
                </c:pt>
                <c:pt idx="125">
                  <c:v>963.36503449105544</c:v>
                </c:pt>
                <c:pt idx="126">
                  <c:v>925.59095118761957</c:v>
                </c:pt>
                <c:pt idx="127">
                  <c:v>889.29801087601857</c:v>
                </c:pt>
                <c:pt idx="128">
                  <c:v>854.42813710884639</c:v>
                </c:pt>
                <c:pt idx="129">
                  <c:v>820.92553064877279</c:v>
                </c:pt>
                <c:pt idx="130">
                  <c:v>788.73658017785795</c:v>
                </c:pt>
                <c:pt idx="131">
                  <c:v>757.80977650800548</c:v>
                </c:pt>
                <c:pt idx="132">
                  <c:v>728.09563015527397</c:v>
                </c:pt>
                <c:pt idx="133">
                  <c:v>699.54659214614298</c:v>
                </c:pt>
                <c:pt idx="134">
                  <c:v>672.1169779290118</c:v>
                </c:pt>
                <c:pt idx="135">
                  <c:v>645.76289426916958</c:v>
                </c:pt>
                <c:pt idx="136">
                  <c:v>620.44216901025641</c:v>
                </c:pt>
                <c:pt idx="137">
                  <c:v>596.11428358981516</c:v>
                </c:pt>
                <c:pt idx="138">
                  <c:v>572.74030820094754</c:v>
                </c:pt>
                <c:pt idx="139">
                  <c:v>550.28283949631702</c:v>
                </c:pt>
                <c:pt idx="140">
                  <c:v>528.70594073481436</c:v>
                </c:pt>
              </c:numCache>
            </c:numRef>
          </c:val>
          <c:smooth val="0"/>
        </c:ser>
        <c:ser>
          <c:idx val="4"/>
          <c:order val="3"/>
          <c:tx>
            <c:strRef>
              <c:f>RESULTS!$O$7</c:f>
              <c:strCache>
                <c:ptCount val="1"/>
              </c:strCache>
            </c:strRef>
          </c:tx>
          <c:spPr>
            <a:ln w="25400">
              <a:solidFill>
                <a:srgbClr val="99CC00"/>
              </a:solidFill>
              <a:prstDash val="solid"/>
            </a:ln>
          </c:spPr>
          <c:marker>
            <c:symbol val="none"/>
          </c:marker>
          <c:cat>
            <c:numRef>
              <c:f>RESULTS!$A$9:$A$149</c:f>
              <c:numCache>
                <c:formatCode>0</c:formatCode>
                <c:ptCount val="141"/>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pt idx="76">
                  <c:v>2094</c:v>
                </c:pt>
                <c:pt idx="77">
                  <c:v>2095</c:v>
                </c:pt>
                <c:pt idx="78">
                  <c:v>2096</c:v>
                </c:pt>
                <c:pt idx="79">
                  <c:v>2097</c:v>
                </c:pt>
                <c:pt idx="80">
                  <c:v>2098</c:v>
                </c:pt>
                <c:pt idx="81">
                  <c:v>2099</c:v>
                </c:pt>
                <c:pt idx="82">
                  <c:v>2100</c:v>
                </c:pt>
                <c:pt idx="83">
                  <c:v>2101</c:v>
                </c:pt>
                <c:pt idx="84">
                  <c:v>2102</c:v>
                </c:pt>
                <c:pt idx="85">
                  <c:v>2103</c:v>
                </c:pt>
                <c:pt idx="86">
                  <c:v>2104</c:v>
                </c:pt>
                <c:pt idx="87">
                  <c:v>2105</c:v>
                </c:pt>
                <c:pt idx="88">
                  <c:v>2106</c:v>
                </c:pt>
                <c:pt idx="89">
                  <c:v>2107</c:v>
                </c:pt>
                <c:pt idx="90">
                  <c:v>2108</c:v>
                </c:pt>
                <c:pt idx="91">
                  <c:v>2109</c:v>
                </c:pt>
                <c:pt idx="92">
                  <c:v>2110</c:v>
                </c:pt>
                <c:pt idx="93">
                  <c:v>2111</c:v>
                </c:pt>
                <c:pt idx="94">
                  <c:v>2112</c:v>
                </c:pt>
                <c:pt idx="95">
                  <c:v>2113</c:v>
                </c:pt>
                <c:pt idx="96">
                  <c:v>2114</c:v>
                </c:pt>
                <c:pt idx="97">
                  <c:v>2115</c:v>
                </c:pt>
                <c:pt idx="98">
                  <c:v>2116</c:v>
                </c:pt>
                <c:pt idx="99">
                  <c:v>2117</c:v>
                </c:pt>
                <c:pt idx="100">
                  <c:v>2118</c:v>
                </c:pt>
                <c:pt idx="101">
                  <c:v>2119</c:v>
                </c:pt>
                <c:pt idx="102">
                  <c:v>2120</c:v>
                </c:pt>
                <c:pt idx="103">
                  <c:v>2121</c:v>
                </c:pt>
                <c:pt idx="104">
                  <c:v>2122</c:v>
                </c:pt>
                <c:pt idx="105">
                  <c:v>2123</c:v>
                </c:pt>
                <c:pt idx="106">
                  <c:v>2124</c:v>
                </c:pt>
                <c:pt idx="107">
                  <c:v>2125</c:v>
                </c:pt>
                <c:pt idx="108">
                  <c:v>2126</c:v>
                </c:pt>
                <c:pt idx="109">
                  <c:v>2127</c:v>
                </c:pt>
                <c:pt idx="110">
                  <c:v>2128</c:v>
                </c:pt>
                <c:pt idx="111">
                  <c:v>2129</c:v>
                </c:pt>
                <c:pt idx="112">
                  <c:v>2130</c:v>
                </c:pt>
                <c:pt idx="113">
                  <c:v>2131</c:v>
                </c:pt>
                <c:pt idx="114">
                  <c:v>2132</c:v>
                </c:pt>
                <c:pt idx="115">
                  <c:v>2133</c:v>
                </c:pt>
                <c:pt idx="116">
                  <c:v>2134</c:v>
                </c:pt>
                <c:pt idx="117">
                  <c:v>2135</c:v>
                </c:pt>
                <c:pt idx="118">
                  <c:v>2136</c:v>
                </c:pt>
                <c:pt idx="119">
                  <c:v>2137</c:v>
                </c:pt>
                <c:pt idx="120">
                  <c:v>2138</c:v>
                </c:pt>
                <c:pt idx="121">
                  <c:v>2139</c:v>
                </c:pt>
                <c:pt idx="122">
                  <c:v>2140</c:v>
                </c:pt>
                <c:pt idx="123">
                  <c:v>2141</c:v>
                </c:pt>
                <c:pt idx="124">
                  <c:v>2142</c:v>
                </c:pt>
                <c:pt idx="125">
                  <c:v>2143</c:v>
                </c:pt>
                <c:pt idx="126">
                  <c:v>2144</c:v>
                </c:pt>
                <c:pt idx="127">
                  <c:v>2145</c:v>
                </c:pt>
                <c:pt idx="128">
                  <c:v>2146</c:v>
                </c:pt>
                <c:pt idx="129">
                  <c:v>2147</c:v>
                </c:pt>
                <c:pt idx="130">
                  <c:v>2148</c:v>
                </c:pt>
                <c:pt idx="131">
                  <c:v>2149</c:v>
                </c:pt>
                <c:pt idx="132">
                  <c:v>2150</c:v>
                </c:pt>
                <c:pt idx="133">
                  <c:v>2151</c:v>
                </c:pt>
                <c:pt idx="134">
                  <c:v>2152</c:v>
                </c:pt>
                <c:pt idx="135">
                  <c:v>2153</c:v>
                </c:pt>
                <c:pt idx="136">
                  <c:v>2154</c:v>
                </c:pt>
                <c:pt idx="137">
                  <c:v>2155</c:v>
                </c:pt>
                <c:pt idx="138">
                  <c:v>2156</c:v>
                </c:pt>
                <c:pt idx="139">
                  <c:v>2157</c:v>
                </c:pt>
                <c:pt idx="140">
                  <c:v>2158</c:v>
                </c:pt>
              </c:numCache>
            </c:numRef>
          </c:cat>
          <c:val>
            <c:numRef>
              <c:f>RESULTS!$O$9:$O$149</c:f>
              <c:numCache>
                <c:formatCode>0.000E+00</c:formatCode>
                <c:ptCount val="141"/>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numCache>
            </c:numRef>
          </c:val>
          <c:smooth val="0"/>
        </c:ser>
        <c:dLbls>
          <c:showLegendKey val="0"/>
          <c:showVal val="0"/>
          <c:showCatName val="0"/>
          <c:showSerName val="0"/>
          <c:showPercent val="0"/>
          <c:showBubbleSize val="0"/>
        </c:dLbls>
        <c:marker val="1"/>
        <c:smooth val="0"/>
        <c:axId val="169777408"/>
        <c:axId val="169783680"/>
      </c:lineChart>
      <c:catAx>
        <c:axId val="16977740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Year</a:t>
                </a:r>
              </a:p>
            </c:rich>
          </c:tx>
          <c:layout>
            <c:manualLayout>
              <c:xMode val="edge"/>
              <c:yMode val="edge"/>
              <c:x val="0.5525773195876289"/>
              <c:y val="0.7641532900737337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69783680"/>
        <c:crosses val="autoZero"/>
        <c:auto val="1"/>
        <c:lblAlgn val="ctr"/>
        <c:lblOffset val="100"/>
        <c:tickLblSkip val="10"/>
        <c:tickMarkSkip val="1"/>
        <c:noMultiLvlLbl val="0"/>
      </c:catAx>
      <c:valAx>
        <c:axId val="16978368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Emissions</a:t>
                </a:r>
              </a:p>
            </c:rich>
          </c:tx>
          <c:layout>
            <c:manualLayout>
              <c:xMode val="edge"/>
              <c:yMode val="edge"/>
              <c:x val="2.268041237113402E-2"/>
              <c:y val="0.30503238328046162"/>
            </c:manualLayout>
          </c:layout>
          <c:overlay val="0"/>
          <c:spPr>
            <a:noFill/>
            <a:ln w="25400">
              <a:noFill/>
            </a:ln>
          </c:spPr>
        </c:title>
        <c:numFmt formatCode="0.000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69777408"/>
        <c:crosses val="autoZero"/>
        <c:crossBetween val="between"/>
      </c:valAx>
      <c:spPr>
        <a:noFill/>
        <a:ln w="12700">
          <a:solidFill>
            <a:srgbClr val="808080"/>
          </a:solidFill>
          <a:prstDash val="solid"/>
        </a:ln>
      </c:spPr>
    </c:plotArea>
    <c:legend>
      <c:legendPos val="b"/>
      <c:layout>
        <c:manualLayout>
          <c:xMode val="edge"/>
          <c:yMode val="edge"/>
          <c:x val="1.0309278350515464E-2"/>
          <c:y val="0.83648055621239992"/>
          <c:w val="0.98144329896907212"/>
          <c:h val="0.1540885235128105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Cubic Meters Per Year</a:t>
            </a:r>
          </a:p>
        </c:rich>
      </c:tx>
      <c:layout>
        <c:manualLayout>
          <c:xMode val="edge"/>
          <c:yMode val="edge"/>
          <c:x val="0.36831349728631624"/>
          <c:y val="3.4591301196753382E-2"/>
        </c:manualLayout>
      </c:layout>
      <c:overlay val="0"/>
      <c:spPr>
        <a:noFill/>
        <a:ln w="25400">
          <a:noFill/>
        </a:ln>
      </c:spPr>
    </c:title>
    <c:autoTitleDeleted val="0"/>
    <c:plotArea>
      <c:layout>
        <c:manualLayout>
          <c:layoutTarget val="inner"/>
          <c:xMode val="edge"/>
          <c:yMode val="edge"/>
          <c:x val="0.19135840920462241"/>
          <c:y val="0.15408852351281052"/>
          <c:w val="0.78189457524469375"/>
          <c:h val="0.50000153548034432"/>
        </c:manualLayout>
      </c:layout>
      <c:lineChart>
        <c:grouping val="standard"/>
        <c:varyColors val="0"/>
        <c:ser>
          <c:idx val="1"/>
          <c:order val="0"/>
          <c:tx>
            <c:strRef>
              <c:f>RESULTS!$F$7</c:f>
              <c:strCache>
                <c:ptCount val="1"/>
              </c:strCache>
            </c:strRef>
          </c:tx>
          <c:spPr>
            <a:ln w="25400">
              <a:solidFill>
                <a:srgbClr val="000000"/>
              </a:solidFill>
              <a:prstDash val="solid"/>
            </a:ln>
          </c:spPr>
          <c:marker>
            <c:symbol val="none"/>
          </c:marker>
          <c:cat>
            <c:numRef>
              <c:f>RESULTS!$A$9:$A$149</c:f>
              <c:numCache>
                <c:formatCode>0</c:formatCode>
                <c:ptCount val="141"/>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pt idx="76">
                  <c:v>2094</c:v>
                </c:pt>
                <c:pt idx="77">
                  <c:v>2095</c:v>
                </c:pt>
                <c:pt idx="78">
                  <c:v>2096</c:v>
                </c:pt>
                <c:pt idx="79">
                  <c:v>2097</c:v>
                </c:pt>
                <c:pt idx="80">
                  <c:v>2098</c:v>
                </c:pt>
                <c:pt idx="81">
                  <c:v>2099</c:v>
                </c:pt>
                <c:pt idx="82">
                  <c:v>2100</c:v>
                </c:pt>
                <c:pt idx="83">
                  <c:v>2101</c:v>
                </c:pt>
                <c:pt idx="84">
                  <c:v>2102</c:v>
                </c:pt>
                <c:pt idx="85">
                  <c:v>2103</c:v>
                </c:pt>
                <c:pt idx="86">
                  <c:v>2104</c:v>
                </c:pt>
                <c:pt idx="87">
                  <c:v>2105</c:v>
                </c:pt>
                <c:pt idx="88">
                  <c:v>2106</c:v>
                </c:pt>
                <c:pt idx="89">
                  <c:v>2107</c:v>
                </c:pt>
                <c:pt idx="90">
                  <c:v>2108</c:v>
                </c:pt>
                <c:pt idx="91">
                  <c:v>2109</c:v>
                </c:pt>
                <c:pt idx="92">
                  <c:v>2110</c:v>
                </c:pt>
                <c:pt idx="93">
                  <c:v>2111</c:v>
                </c:pt>
                <c:pt idx="94">
                  <c:v>2112</c:v>
                </c:pt>
                <c:pt idx="95">
                  <c:v>2113</c:v>
                </c:pt>
                <c:pt idx="96">
                  <c:v>2114</c:v>
                </c:pt>
                <c:pt idx="97">
                  <c:v>2115</c:v>
                </c:pt>
                <c:pt idx="98">
                  <c:v>2116</c:v>
                </c:pt>
                <c:pt idx="99">
                  <c:v>2117</c:v>
                </c:pt>
                <c:pt idx="100">
                  <c:v>2118</c:v>
                </c:pt>
                <c:pt idx="101">
                  <c:v>2119</c:v>
                </c:pt>
                <c:pt idx="102">
                  <c:v>2120</c:v>
                </c:pt>
                <c:pt idx="103">
                  <c:v>2121</c:v>
                </c:pt>
                <c:pt idx="104">
                  <c:v>2122</c:v>
                </c:pt>
                <c:pt idx="105">
                  <c:v>2123</c:v>
                </c:pt>
                <c:pt idx="106">
                  <c:v>2124</c:v>
                </c:pt>
                <c:pt idx="107">
                  <c:v>2125</c:v>
                </c:pt>
                <c:pt idx="108">
                  <c:v>2126</c:v>
                </c:pt>
                <c:pt idx="109">
                  <c:v>2127</c:v>
                </c:pt>
                <c:pt idx="110">
                  <c:v>2128</c:v>
                </c:pt>
                <c:pt idx="111">
                  <c:v>2129</c:v>
                </c:pt>
                <c:pt idx="112">
                  <c:v>2130</c:v>
                </c:pt>
                <c:pt idx="113">
                  <c:v>2131</c:v>
                </c:pt>
                <c:pt idx="114">
                  <c:v>2132</c:v>
                </c:pt>
                <c:pt idx="115">
                  <c:v>2133</c:v>
                </c:pt>
                <c:pt idx="116">
                  <c:v>2134</c:v>
                </c:pt>
                <c:pt idx="117">
                  <c:v>2135</c:v>
                </c:pt>
                <c:pt idx="118">
                  <c:v>2136</c:v>
                </c:pt>
                <c:pt idx="119">
                  <c:v>2137</c:v>
                </c:pt>
                <c:pt idx="120">
                  <c:v>2138</c:v>
                </c:pt>
                <c:pt idx="121">
                  <c:v>2139</c:v>
                </c:pt>
                <c:pt idx="122">
                  <c:v>2140</c:v>
                </c:pt>
                <c:pt idx="123">
                  <c:v>2141</c:v>
                </c:pt>
                <c:pt idx="124">
                  <c:v>2142</c:v>
                </c:pt>
                <c:pt idx="125">
                  <c:v>2143</c:v>
                </c:pt>
                <c:pt idx="126">
                  <c:v>2144</c:v>
                </c:pt>
                <c:pt idx="127">
                  <c:v>2145</c:v>
                </c:pt>
                <c:pt idx="128">
                  <c:v>2146</c:v>
                </c:pt>
                <c:pt idx="129">
                  <c:v>2147</c:v>
                </c:pt>
                <c:pt idx="130">
                  <c:v>2148</c:v>
                </c:pt>
                <c:pt idx="131">
                  <c:v>2149</c:v>
                </c:pt>
                <c:pt idx="132">
                  <c:v>2150</c:v>
                </c:pt>
                <c:pt idx="133">
                  <c:v>2151</c:v>
                </c:pt>
                <c:pt idx="134">
                  <c:v>2152</c:v>
                </c:pt>
                <c:pt idx="135">
                  <c:v>2153</c:v>
                </c:pt>
                <c:pt idx="136">
                  <c:v>2154</c:v>
                </c:pt>
                <c:pt idx="137">
                  <c:v>2155</c:v>
                </c:pt>
                <c:pt idx="138">
                  <c:v>2156</c:v>
                </c:pt>
                <c:pt idx="139">
                  <c:v>2157</c:v>
                </c:pt>
                <c:pt idx="140">
                  <c:v>2158</c:v>
                </c:pt>
              </c:numCache>
            </c:numRef>
          </c:cat>
          <c:val>
            <c:numRef>
              <c:f>RESULTS!$G$9:$G$149</c:f>
              <c:numCache>
                <c:formatCode>0.000E+00</c:formatCode>
                <c:ptCount val="141"/>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numCache>
            </c:numRef>
          </c:val>
          <c:smooth val="0"/>
        </c:ser>
        <c:ser>
          <c:idx val="2"/>
          <c:order val="1"/>
          <c:tx>
            <c:strRef>
              <c:f>RESULTS!$I$7</c:f>
              <c:strCache>
                <c:ptCount val="1"/>
              </c:strCache>
            </c:strRef>
          </c:tx>
          <c:spPr>
            <a:ln w="25400">
              <a:solidFill>
                <a:srgbClr val="00CCFF"/>
              </a:solidFill>
              <a:prstDash val="solid"/>
            </a:ln>
          </c:spPr>
          <c:marker>
            <c:symbol val="none"/>
          </c:marker>
          <c:cat>
            <c:numRef>
              <c:f>RESULTS!$A$9:$A$149</c:f>
              <c:numCache>
                <c:formatCode>0</c:formatCode>
                <c:ptCount val="141"/>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pt idx="76">
                  <c:v>2094</c:v>
                </c:pt>
                <c:pt idx="77">
                  <c:v>2095</c:v>
                </c:pt>
                <c:pt idx="78">
                  <c:v>2096</c:v>
                </c:pt>
                <c:pt idx="79">
                  <c:v>2097</c:v>
                </c:pt>
                <c:pt idx="80">
                  <c:v>2098</c:v>
                </c:pt>
                <c:pt idx="81">
                  <c:v>2099</c:v>
                </c:pt>
                <c:pt idx="82">
                  <c:v>2100</c:v>
                </c:pt>
                <c:pt idx="83">
                  <c:v>2101</c:v>
                </c:pt>
                <c:pt idx="84">
                  <c:v>2102</c:v>
                </c:pt>
                <c:pt idx="85">
                  <c:v>2103</c:v>
                </c:pt>
                <c:pt idx="86">
                  <c:v>2104</c:v>
                </c:pt>
                <c:pt idx="87">
                  <c:v>2105</c:v>
                </c:pt>
                <c:pt idx="88">
                  <c:v>2106</c:v>
                </c:pt>
                <c:pt idx="89">
                  <c:v>2107</c:v>
                </c:pt>
                <c:pt idx="90">
                  <c:v>2108</c:v>
                </c:pt>
                <c:pt idx="91">
                  <c:v>2109</c:v>
                </c:pt>
                <c:pt idx="92">
                  <c:v>2110</c:v>
                </c:pt>
                <c:pt idx="93">
                  <c:v>2111</c:v>
                </c:pt>
                <c:pt idx="94">
                  <c:v>2112</c:v>
                </c:pt>
                <c:pt idx="95">
                  <c:v>2113</c:v>
                </c:pt>
                <c:pt idx="96">
                  <c:v>2114</c:v>
                </c:pt>
                <c:pt idx="97">
                  <c:v>2115</c:v>
                </c:pt>
                <c:pt idx="98">
                  <c:v>2116</c:v>
                </c:pt>
                <c:pt idx="99">
                  <c:v>2117</c:v>
                </c:pt>
                <c:pt idx="100">
                  <c:v>2118</c:v>
                </c:pt>
                <c:pt idx="101">
                  <c:v>2119</c:v>
                </c:pt>
                <c:pt idx="102">
                  <c:v>2120</c:v>
                </c:pt>
                <c:pt idx="103">
                  <c:v>2121</c:v>
                </c:pt>
                <c:pt idx="104">
                  <c:v>2122</c:v>
                </c:pt>
                <c:pt idx="105">
                  <c:v>2123</c:v>
                </c:pt>
                <c:pt idx="106">
                  <c:v>2124</c:v>
                </c:pt>
                <c:pt idx="107">
                  <c:v>2125</c:v>
                </c:pt>
                <c:pt idx="108">
                  <c:v>2126</c:v>
                </c:pt>
                <c:pt idx="109">
                  <c:v>2127</c:v>
                </c:pt>
                <c:pt idx="110">
                  <c:v>2128</c:v>
                </c:pt>
                <c:pt idx="111">
                  <c:v>2129</c:v>
                </c:pt>
                <c:pt idx="112">
                  <c:v>2130</c:v>
                </c:pt>
                <c:pt idx="113">
                  <c:v>2131</c:v>
                </c:pt>
                <c:pt idx="114">
                  <c:v>2132</c:v>
                </c:pt>
                <c:pt idx="115">
                  <c:v>2133</c:v>
                </c:pt>
                <c:pt idx="116">
                  <c:v>2134</c:v>
                </c:pt>
                <c:pt idx="117">
                  <c:v>2135</c:v>
                </c:pt>
                <c:pt idx="118">
                  <c:v>2136</c:v>
                </c:pt>
                <c:pt idx="119">
                  <c:v>2137</c:v>
                </c:pt>
                <c:pt idx="120">
                  <c:v>2138</c:v>
                </c:pt>
                <c:pt idx="121">
                  <c:v>2139</c:v>
                </c:pt>
                <c:pt idx="122">
                  <c:v>2140</c:v>
                </c:pt>
                <c:pt idx="123">
                  <c:v>2141</c:v>
                </c:pt>
                <c:pt idx="124">
                  <c:v>2142</c:v>
                </c:pt>
                <c:pt idx="125">
                  <c:v>2143</c:v>
                </c:pt>
                <c:pt idx="126">
                  <c:v>2144</c:v>
                </c:pt>
                <c:pt idx="127">
                  <c:v>2145</c:v>
                </c:pt>
                <c:pt idx="128">
                  <c:v>2146</c:v>
                </c:pt>
                <c:pt idx="129">
                  <c:v>2147</c:v>
                </c:pt>
                <c:pt idx="130">
                  <c:v>2148</c:v>
                </c:pt>
                <c:pt idx="131">
                  <c:v>2149</c:v>
                </c:pt>
                <c:pt idx="132">
                  <c:v>2150</c:v>
                </c:pt>
                <c:pt idx="133">
                  <c:v>2151</c:v>
                </c:pt>
                <c:pt idx="134">
                  <c:v>2152</c:v>
                </c:pt>
                <c:pt idx="135">
                  <c:v>2153</c:v>
                </c:pt>
                <c:pt idx="136">
                  <c:v>2154</c:v>
                </c:pt>
                <c:pt idx="137">
                  <c:v>2155</c:v>
                </c:pt>
                <c:pt idx="138">
                  <c:v>2156</c:v>
                </c:pt>
                <c:pt idx="139">
                  <c:v>2157</c:v>
                </c:pt>
                <c:pt idx="140">
                  <c:v>2158</c:v>
                </c:pt>
              </c:numCache>
            </c:numRef>
          </c:cat>
          <c:val>
            <c:numRef>
              <c:f>RESULTS!$J$9:$J$149</c:f>
              <c:numCache>
                <c:formatCode>0.000E+00</c:formatCode>
                <c:ptCount val="141"/>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numCache>
            </c:numRef>
          </c:val>
          <c:smooth val="0"/>
        </c:ser>
        <c:ser>
          <c:idx val="3"/>
          <c:order val="2"/>
          <c:tx>
            <c:strRef>
              <c:f>RESULTS!$L$7</c:f>
              <c:strCache>
                <c:ptCount val="1"/>
                <c:pt idx="0">
                  <c:v>Carbon dioxide</c:v>
                </c:pt>
              </c:strCache>
            </c:strRef>
          </c:tx>
          <c:spPr>
            <a:ln w="25400">
              <a:solidFill>
                <a:srgbClr val="FF00FF"/>
              </a:solidFill>
              <a:prstDash val="solid"/>
            </a:ln>
          </c:spPr>
          <c:marker>
            <c:symbol val="none"/>
          </c:marker>
          <c:cat>
            <c:numRef>
              <c:f>RESULTS!$A$9:$A$149</c:f>
              <c:numCache>
                <c:formatCode>0</c:formatCode>
                <c:ptCount val="141"/>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pt idx="76">
                  <c:v>2094</c:v>
                </c:pt>
                <c:pt idx="77">
                  <c:v>2095</c:v>
                </c:pt>
                <c:pt idx="78">
                  <c:v>2096</c:v>
                </c:pt>
                <c:pt idx="79">
                  <c:v>2097</c:v>
                </c:pt>
                <c:pt idx="80">
                  <c:v>2098</c:v>
                </c:pt>
                <c:pt idx="81">
                  <c:v>2099</c:v>
                </c:pt>
                <c:pt idx="82">
                  <c:v>2100</c:v>
                </c:pt>
                <c:pt idx="83">
                  <c:v>2101</c:v>
                </c:pt>
                <c:pt idx="84">
                  <c:v>2102</c:v>
                </c:pt>
                <c:pt idx="85">
                  <c:v>2103</c:v>
                </c:pt>
                <c:pt idx="86">
                  <c:v>2104</c:v>
                </c:pt>
                <c:pt idx="87">
                  <c:v>2105</c:v>
                </c:pt>
                <c:pt idx="88">
                  <c:v>2106</c:v>
                </c:pt>
                <c:pt idx="89">
                  <c:v>2107</c:v>
                </c:pt>
                <c:pt idx="90">
                  <c:v>2108</c:v>
                </c:pt>
                <c:pt idx="91">
                  <c:v>2109</c:v>
                </c:pt>
                <c:pt idx="92">
                  <c:v>2110</c:v>
                </c:pt>
                <c:pt idx="93">
                  <c:v>2111</c:v>
                </c:pt>
                <c:pt idx="94">
                  <c:v>2112</c:v>
                </c:pt>
                <c:pt idx="95">
                  <c:v>2113</c:v>
                </c:pt>
                <c:pt idx="96">
                  <c:v>2114</c:v>
                </c:pt>
                <c:pt idx="97">
                  <c:v>2115</c:v>
                </c:pt>
                <c:pt idx="98">
                  <c:v>2116</c:v>
                </c:pt>
                <c:pt idx="99">
                  <c:v>2117</c:v>
                </c:pt>
                <c:pt idx="100">
                  <c:v>2118</c:v>
                </c:pt>
                <c:pt idx="101">
                  <c:v>2119</c:v>
                </c:pt>
                <c:pt idx="102">
                  <c:v>2120</c:v>
                </c:pt>
                <c:pt idx="103">
                  <c:v>2121</c:v>
                </c:pt>
                <c:pt idx="104">
                  <c:v>2122</c:v>
                </c:pt>
                <c:pt idx="105">
                  <c:v>2123</c:v>
                </c:pt>
                <c:pt idx="106">
                  <c:v>2124</c:v>
                </c:pt>
                <c:pt idx="107">
                  <c:v>2125</c:v>
                </c:pt>
                <c:pt idx="108">
                  <c:v>2126</c:v>
                </c:pt>
                <c:pt idx="109">
                  <c:v>2127</c:v>
                </c:pt>
                <c:pt idx="110">
                  <c:v>2128</c:v>
                </c:pt>
                <c:pt idx="111">
                  <c:v>2129</c:v>
                </c:pt>
                <c:pt idx="112">
                  <c:v>2130</c:v>
                </c:pt>
                <c:pt idx="113">
                  <c:v>2131</c:v>
                </c:pt>
                <c:pt idx="114">
                  <c:v>2132</c:v>
                </c:pt>
                <c:pt idx="115">
                  <c:v>2133</c:v>
                </c:pt>
                <c:pt idx="116">
                  <c:v>2134</c:v>
                </c:pt>
                <c:pt idx="117">
                  <c:v>2135</c:v>
                </c:pt>
                <c:pt idx="118">
                  <c:v>2136</c:v>
                </c:pt>
                <c:pt idx="119">
                  <c:v>2137</c:v>
                </c:pt>
                <c:pt idx="120">
                  <c:v>2138</c:v>
                </c:pt>
                <c:pt idx="121">
                  <c:v>2139</c:v>
                </c:pt>
                <c:pt idx="122">
                  <c:v>2140</c:v>
                </c:pt>
                <c:pt idx="123">
                  <c:v>2141</c:v>
                </c:pt>
                <c:pt idx="124">
                  <c:v>2142</c:v>
                </c:pt>
                <c:pt idx="125">
                  <c:v>2143</c:v>
                </c:pt>
                <c:pt idx="126">
                  <c:v>2144</c:v>
                </c:pt>
                <c:pt idx="127">
                  <c:v>2145</c:v>
                </c:pt>
                <c:pt idx="128">
                  <c:v>2146</c:v>
                </c:pt>
                <c:pt idx="129">
                  <c:v>2147</c:v>
                </c:pt>
                <c:pt idx="130">
                  <c:v>2148</c:v>
                </c:pt>
                <c:pt idx="131">
                  <c:v>2149</c:v>
                </c:pt>
                <c:pt idx="132">
                  <c:v>2150</c:v>
                </c:pt>
                <c:pt idx="133">
                  <c:v>2151</c:v>
                </c:pt>
                <c:pt idx="134">
                  <c:v>2152</c:v>
                </c:pt>
                <c:pt idx="135">
                  <c:v>2153</c:v>
                </c:pt>
                <c:pt idx="136">
                  <c:v>2154</c:v>
                </c:pt>
                <c:pt idx="137">
                  <c:v>2155</c:v>
                </c:pt>
                <c:pt idx="138">
                  <c:v>2156</c:v>
                </c:pt>
                <c:pt idx="139">
                  <c:v>2157</c:v>
                </c:pt>
                <c:pt idx="140">
                  <c:v>2158</c:v>
                </c:pt>
              </c:numCache>
            </c:numRef>
          </c:cat>
          <c:val>
            <c:numRef>
              <c:f>RESULTS!$M$9:$M$149</c:f>
              <c:numCache>
                <c:formatCode>0.000E+00</c:formatCode>
                <c:ptCount val="141"/>
                <c:pt idx="0" formatCode="#,##0">
                  <c:v>0</c:v>
                </c:pt>
                <c:pt idx="1">
                  <c:v>495256.61160523619</c:v>
                </c:pt>
                <c:pt idx="2">
                  <c:v>1244563.9469692991</c:v>
                </c:pt>
                <c:pt idx="3">
                  <c:v>1938386.8871106883</c:v>
                </c:pt>
                <c:pt idx="4">
                  <c:v>2237777.8953112583</c:v>
                </c:pt>
                <c:pt idx="5">
                  <c:v>2746836.4185116305</c:v>
                </c:pt>
                <c:pt idx="6">
                  <c:v>3264421.6406133031</c:v>
                </c:pt>
                <c:pt idx="7">
                  <c:v>3791558.6255552294</c:v>
                </c:pt>
                <c:pt idx="8">
                  <c:v>4329295.1063992139</c:v>
                </c:pt>
                <c:pt idx="9">
                  <c:v>4878711.0735366885</c:v>
                </c:pt>
                <c:pt idx="10">
                  <c:v>5440912.2713228269</c:v>
                </c:pt>
                <c:pt idx="11">
                  <c:v>6017034.426787083</c:v>
                </c:pt>
                <c:pt idx="12">
                  <c:v>6608249.9318025643</c:v>
                </c:pt>
                <c:pt idx="13">
                  <c:v>7215763.7861679997</c:v>
                </c:pt>
                <c:pt idx="14">
                  <c:v>7840822.7961084964</c:v>
                </c:pt>
                <c:pt idx="15">
                  <c:v>8484713.9350221027</c:v>
                </c:pt>
                <c:pt idx="16">
                  <c:v>9148765.3877713773</c:v>
                </c:pt>
                <c:pt idx="17">
                  <c:v>9834355.4118345641</c:v>
                </c:pt>
                <c:pt idx="18">
                  <c:v>10542910.373930248</c:v>
                </c:pt>
                <c:pt idx="19">
                  <c:v>11275910.721433897</c:v>
                </c:pt>
                <c:pt idx="20">
                  <c:v>12034888.861844981</c:v>
                </c:pt>
                <c:pt idx="21">
                  <c:v>12821437.602477174</c:v>
                </c:pt>
                <c:pt idx="22">
                  <c:v>13637213.020685662</c:v>
                </c:pt>
                <c:pt idx="23">
                  <c:v>14483937.221551217</c:v>
                </c:pt>
                <c:pt idx="24">
                  <c:v>15363400.987433951</c:v>
                </c:pt>
                <c:pt idx="25">
                  <c:v>16277466.32363661</c:v>
                </c:pt>
                <c:pt idx="26">
                  <c:v>17228074.142788783</c:v>
                </c:pt>
                <c:pt idx="27">
                  <c:v>18217249.028653268</c:v>
                </c:pt>
                <c:pt idx="28">
                  <c:v>19247095.955333982</c:v>
                </c:pt>
                <c:pt idx="29">
                  <c:v>20319815.470008273</c:v>
                </c:pt>
                <c:pt idx="30">
                  <c:v>21437697.326184109</c:v>
                </c:pt>
                <c:pt idx="31">
                  <c:v>22603135.32075255</c:v>
                </c:pt>
                <c:pt idx="32">
                  <c:v>21716853.707909912</c:v>
                </c:pt>
                <c:pt idx="33">
                  <c:v>20865323.694175813</c:v>
                </c:pt>
                <c:pt idx="34">
                  <c:v>20047182.649858858</c:v>
                </c:pt>
                <c:pt idx="35">
                  <c:v>19261121.37474208</c:v>
                </c:pt>
                <c:pt idx="36">
                  <c:v>18505882.00308327</c:v>
                </c:pt>
                <c:pt idx="37">
                  <c:v>17780255.99076144</c:v>
                </c:pt>
                <c:pt idx="38">
                  <c:v>17083082.181348421</c:v>
                </c:pt>
                <c:pt idx="39">
                  <c:v>16413244.948010795</c:v>
                </c:pt>
                <c:pt idx="40">
                  <c:v>15769672.408268997</c:v>
                </c:pt>
                <c:pt idx="41">
                  <c:v>15151334.708756635</c:v>
                </c:pt>
                <c:pt idx="42">
                  <c:v>14557242.377235416</c:v>
                </c:pt>
                <c:pt idx="43">
                  <c:v>13986444.73922845</c:v>
                </c:pt>
                <c:pt idx="44">
                  <c:v>13438028.396738263</c:v>
                </c:pt>
                <c:pt idx="45">
                  <c:v>12911115.766615147</c:v>
                </c:pt>
                <c:pt idx="46">
                  <c:v>12404863.676236885</c:v>
                </c:pt>
                <c:pt idx="47">
                  <c:v>11918462.014252665</c:v>
                </c:pt>
                <c:pt idx="48">
                  <c:v>11451132.434232084</c:v>
                </c:pt>
                <c:pt idx="49">
                  <c:v>11002127.109144824</c:v>
                </c:pt>
                <c:pt idx="50">
                  <c:v>10570727.534677824</c:v>
                </c:pt>
                <c:pt idx="51">
                  <c:v>10156243.379475128</c:v>
                </c:pt>
                <c:pt idx="52">
                  <c:v>9758011.380460402</c:v>
                </c:pt>
                <c:pt idx="53">
                  <c:v>9375394.2814745381</c:v>
                </c:pt>
                <c:pt idx="54">
                  <c:v>9007779.8135298211</c:v>
                </c:pt>
                <c:pt idx="55">
                  <c:v>8654579.7150489334</c:v>
                </c:pt>
                <c:pt idx="56">
                  <c:v>8315228.7905209381</c:v>
                </c:pt>
                <c:pt idx="57">
                  <c:v>7989184.0060678618</c:v>
                </c:pt>
                <c:pt idx="58">
                  <c:v>7675923.6204746524</c:v>
                </c:pt>
                <c:pt idx="59">
                  <c:v>7374946.3502919124</c:v>
                </c:pt>
                <c:pt idx="60">
                  <c:v>7085770.5676754387</c:v>
                </c:pt>
                <c:pt idx="61">
                  <c:v>6807933.529678924</c:v>
                </c:pt>
                <c:pt idx="62">
                  <c:v>6540990.6377665093</c:v>
                </c:pt>
                <c:pt idx="63">
                  <c:v>6284514.726360281</c:v>
                </c:pt>
                <c:pt idx="64">
                  <c:v>6038095.3792842096</c:v>
                </c:pt>
                <c:pt idx="65">
                  <c:v>5801338.2730107103</c:v>
                </c:pt>
                <c:pt idx="66">
                  <c:v>5573864.5456588678</c:v>
                </c:pt>
                <c:pt idx="67">
                  <c:v>5355310.1907346034</c:v>
                </c:pt>
                <c:pt idx="68">
                  <c:v>5145325.4746426204</c:v>
                </c:pt>
                <c:pt idx="69">
                  <c:v>4943574.3770380449</c:v>
                </c:pt>
                <c:pt idx="70">
                  <c:v>4749734.0531221787</c:v>
                </c:pt>
                <c:pt idx="71">
                  <c:v>4563494.3170219483</c:v>
                </c:pt>
                <c:pt idx="72">
                  <c:v>4384557.145426332</c:v>
                </c:pt>
                <c:pt idx="73">
                  <c:v>4212636.2006854778</c:v>
                </c:pt>
                <c:pt idx="74">
                  <c:v>4047456.3726093732</c:v>
                </c:pt>
                <c:pt idx="75">
                  <c:v>3888753.3382328553</c:v>
                </c:pt>
                <c:pt idx="76">
                  <c:v>3736273.1388424709</c:v>
                </c:pt>
                <c:pt idx="77">
                  <c:v>3589771.7735883463</c:v>
                </c:pt>
                <c:pt idx="78">
                  <c:v>3449014.8090307885</c:v>
                </c:pt>
                <c:pt idx="79">
                  <c:v>3313777.0039967489</c:v>
                </c:pt>
                <c:pt idx="80">
                  <c:v>3183841.9491459015</c:v>
                </c:pt>
                <c:pt idx="81">
                  <c:v>3059001.7206695299</c:v>
                </c:pt>
                <c:pt idx="82">
                  <c:v>2939056.5475680707</c:v>
                </c:pt>
                <c:pt idx="83">
                  <c:v>2823814.4919748888</c:v>
                </c:pt>
                <c:pt idx="84">
                  <c:v>2713091.1420147563</c:v>
                </c:pt>
                <c:pt idx="85">
                  <c:v>2606709.3167054937</c:v>
                </c:pt>
                <c:pt idx="86">
                  <c:v>2504498.7824306074</c:v>
                </c:pt>
                <c:pt idx="87">
                  <c:v>2406295.9805291798</c:v>
                </c:pt>
                <c:pt idx="88">
                  <c:v>2311943.7655671202</c:v>
                </c:pt>
                <c:pt idx="89">
                  <c:v>2221291.1538709435</c:v>
                </c:pt>
                <c:pt idx="90">
                  <c:v>2134193.0819216808</c:v>
                </c:pt>
                <c:pt idx="91">
                  <c:v>2050510.1742222994</c:v>
                </c:pt>
                <c:pt idx="92">
                  <c:v>1970108.520267176</c:v>
                </c:pt>
                <c:pt idx="93">
                  <c:v>1892859.4602567134</c:v>
                </c:pt>
                <c:pt idx="94">
                  <c:v>1818639.3792142165</c:v>
                </c:pt>
                <c:pt idx="95">
                  <c:v>1747329.5091755567</c:v>
                </c:pt>
                <c:pt idx="96">
                  <c:v>1678815.7391350872</c:v>
                </c:pt>
                <c:pt idx="97">
                  <c:v>1612988.4324436935</c:v>
                </c:pt>
                <c:pt idx="98">
                  <c:v>1549742.251366761</c:v>
                </c:pt>
                <c:pt idx="99">
                  <c:v>1488975.9885213287</c:v>
                </c:pt>
                <c:pt idx="100">
                  <c:v>1430592.4049226835</c:v>
                </c:pt>
                <c:pt idx="101">
                  <c:v>1374498.0743812385</c:v>
                </c:pt>
                <c:pt idx="102">
                  <c:v>1320603.2340006984</c:v>
                </c:pt>
                <c:pt idx="103">
                  <c:v>1268821.6405382755</c:v>
                </c:pt>
                <c:pt idx="104">
                  <c:v>1219070.4323971004</c:v>
                </c:pt>
                <c:pt idx="105">
                  <c:v>1171269.9970299902</c:v>
                </c:pt>
                <c:pt idx="106">
                  <c:v>1125343.8435423875</c:v>
                </c:pt>
                <c:pt idx="107">
                  <c:v>1081218.4802906103</c:v>
                </c:pt>
                <c:pt idx="108">
                  <c:v>1038823.2972795429</c:v>
                </c:pt>
                <c:pt idx="109">
                  <c:v>998090.45317157917</c:v>
                </c:pt>
                <c:pt idx="110">
                  <c:v>958954.76672600931</c:v>
                </c:pt>
                <c:pt idx="111">
                  <c:v>921353.61249512958</c:v>
                </c:pt>
                <c:pt idx="112">
                  <c:v>885226.82061016245</c:v>
                </c:pt>
                <c:pt idx="113">
                  <c:v>850516.58049663191</c:v>
                </c:pt>
                <c:pt idx="114">
                  <c:v>817167.34836511093</c:v>
                </c:pt>
                <c:pt idx="115">
                  <c:v>785125.75832930615</c:v>
                </c:pt>
                <c:pt idx="116">
                  <c:v>754340.53700925631</c:v>
                </c:pt>
                <c:pt idx="117">
                  <c:v>724762.42148298572</c:v>
                </c:pt>
                <c:pt idx="118">
                  <c:v>696344.08045531763</c:v>
                </c:pt>
                <c:pt idx="119">
                  <c:v>669040.03851770493</c:v>
                </c:pt>
                <c:pt idx="120">
                  <c:v>642806.60337787424</c:v>
                </c:pt>
                <c:pt idx="121">
                  <c:v>617601.79594283795</c:v>
                </c:pt>
                <c:pt idx="122">
                  <c:v>593385.28314338648</c:v>
                </c:pt>
                <c:pt idx="123">
                  <c:v>570118.31339257688</c:v>
                </c:pt>
                <c:pt idx="124">
                  <c:v>547763.65457492252</c:v>
                </c:pt>
                <c:pt idx="125">
                  <c:v>526285.53446706675</c:v>
                </c:pt>
                <c:pt idx="126">
                  <c:v>505649.58349459362</c:v>
                </c:pt>
                <c:pt idx="127">
                  <c:v>485822.77973337646</c:v>
                </c:pt>
                <c:pt idx="128">
                  <c:v>466773.39606745337</c:v>
                </c:pt>
                <c:pt idx="129">
                  <c:v>448470.94941887376</c:v>
                </c:pt>
                <c:pt idx="130">
                  <c:v>430886.15196826973</c:v>
                </c:pt>
                <c:pt idx="131">
                  <c:v>413990.86428809661</c:v>
                </c:pt>
                <c:pt idx="132">
                  <c:v>397758.0503135458</c:v>
                </c:pt>
                <c:pt idx="133">
                  <c:v>382161.73407907324</c:v>
                </c:pt>
                <c:pt idx="134">
                  <c:v>367176.95815131214</c:v>
                </c:pt>
                <c:pt idx="135">
                  <c:v>352779.74369185517</c:v>
                </c:pt>
                <c:pt idx="136">
                  <c:v>338947.05208599789</c:v>
                </c:pt>
                <c:pt idx="137">
                  <c:v>325656.74807603913</c:v>
                </c:pt>
                <c:pt idx="138">
                  <c:v>312887.56434014713</c:v>
                </c:pt>
                <c:pt idx="139">
                  <c:v>300619.06746010634</c:v>
                </c:pt>
                <c:pt idx="140">
                  <c:v>288831.62522349</c:v>
                </c:pt>
              </c:numCache>
            </c:numRef>
          </c:val>
          <c:smooth val="0"/>
        </c:ser>
        <c:ser>
          <c:idx val="4"/>
          <c:order val="3"/>
          <c:tx>
            <c:strRef>
              <c:f>RESULTS!$O$7</c:f>
              <c:strCache>
                <c:ptCount val="1"/>
              </c:strCache>
            </c:strRef>
          </c:tx>
          <c:spPr>
            <a:ln w="25400">
              <a:solidFill>
                <a:srgbClr val="99CC00"/>
              </a:solidFill>
              <a:prstDash val="solid"/>
            </a:ln>
          </c:spPr>
          <c:marker>
            <c:symbol val="none"/>
          </c:marker>
          <c:cat>
            <c:numRef>
              <c:f>RESULTS!$A$9:$A$149</c:f>
              <c:numCache>
                <c:formatCode>0</c:formatCode>
                <c:ptCount val="141"/>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pt idx="76">
                  <c:v>2094</c:v>
                </c:pt>
                <c:pt idx="77">
                  <c:v>2095</c:v>
                </c:pt>
                <c:pt idx="78">
                  <c:v>2096</c:v>
                </c:pt>
                <c:pt idx="79">
                  <c:v>2097</c:v>
                </c:pt>
                <c:pt idx="80">
                  <c:v>2098</c:v>
                </c:pt>
                <c:pt idx="81">
                  <c:v>2099</c:v>
                </c:pt>
                <c:pt idx="82">
                  <c:v>2100</c:v>
                </c:pt>
                <c:pt idx="83">
                  <c:v>2101</c:v>
                </c:pt>
                <c:pt idx="84">
                  <c:v>2102</c:v>
                </c:pt>
                <c:pt idx="85">
                  <c:v>2103</c:v>
                </c:pt>
                <c:pt idx="86">
                  <c:v>2104</c:v>
                </c:pt>
                <c:pt idx="87">
                  <c:v>2105</c:v>
                </c:pt>
                <c:pt idx="88">
                  <c:v>2106</c:v>
                </c:pt>
                <c:pt idx="89">
                  <c:v>2107</c:v>
                </c:pt>
                <c:pt idx="90">
                  <c:v>2108</c:v>
                </c:pt>
                <c:pt idx="91">
                  <c:v>2109</c:v>
                </c:pt>
                <c:pt idx="92">
                  <c:v>2110</c:v>
                </c:pt>
                <c:pt idx="93">
                  <c:v>2111</c:v>
                </c:pt>
                <c:pt idx="94">
                  <c:v>2112</c:v>
                </c:pt>
                <c:pt idx="95">
                  <c:v>2113</c:v>
                </c:pt>
                <c:pt idx="96">
                  <c:v>2114</c:v>
                </c:pt>
                <c:pt idx="97">
                  <c:v>2115</c:v>
                </c:pt>
                <c:pt idx="98">
                  <c:v>2116</c:v>
                </c:pt>
                <c:pt idx="99">
                  <c:v>2117</c:v>
                </c:pt>
                <c:pt idx="100">
                  <c:v>2118</c:v>
                </c:pt>
                <c:pt idx="101">
                  <c:v>2119</c:v>
                </c:pt>
                <c:pt idx="102">
                  <c:v>2120</c:v>
                </c:pt>
                <c:pt idx="103">
                  <c:v>2121</c:v>
                </c:pt>
                <c:pt idx="104">
                  <c:v>2122</c:v>
                </c:pt>
                <c:pt idx="105">
                  <c:v>2123</c:v>
                </c:pt>
                <c:pt idx="106">
                  <c:v>2124</c:v>
                </c:pt>
                <c:pt idx="107">
                  <c:v>2125</c:v>
                </c:pt>
                <c:pt idx="108">
                  <c:v>2126</c:v>
                </c:pt>
                <c:pt idx="109">
                  <c:v>2127</c:v>
                </c:pt>
                <c:pt idx="110">
                  <c:v>2128</c:v>
                </c:pt>
                <c:pt idx="111">
                  <c:v>2129</c:v>
                </c:pt>
                <c:pt idx="112">
                  <c:v>2130</c:v>
                </c:pt>
                <c:pt idx="113">
                  <c:v>2131</c:v>
                </c:pt>
                <c:pt idx="114">
                  <c:v>2132</c:v>
                </c:pt>
                <c:pt idx="115">
                  <c:v>2133</c:v>
                </c:pt>
                <c:pt idx="116">
                  <c:v>2134</c:v>
                </c:pt>
                <c:pt idx="117">
                  <c:v>2135</c:v>
                </c:pt>
                <c:pt idx="118">
                  <c:v>2136</c:v>
                </c:pt>
                <c:pt idx="119">
                  <c:v>2137</c:v>
                </c:pt>
                <c:pt idx="120">
                  <c:v>2138</c:v>
                </c:pt>
                <c:pt idx="121">
                  <c:v>2139</c:v>
                </c:pt>
                <c:pt idx="122">
                  <c:v>2140</c:v>
                </c:pt>
                <c:pt idx="123">
                  <c:v>2141</c:v>
                </c:pt>
                <c:pt idx="124">
                  <c:v>2142</c:v>
                </c:pt>
                <c:pt idx="125">
                  <c:v>2143</c:v>
                </c:pt>
                <c:pt idx="126">
                  <c:v>2144</c:v>
                </c:pt>
                <c:pt idx="127">
                  <c:v>2145</c:v>
                </c:pt>
                <c:pt idx="128">
                  <c:v>2146</c:v>
                </c:pt>
                <c:pt idx="129">
                  <c:v>2147</c:v>
                </c:pt>
                <c:pt idx="130">
                  <c:v>2148</c:v>
                </c:pt>
                <c:pt idx="131">
                  <c:v>2149</c:v>
                </c:pt>
                <c:pt idx="132">
                  <c:v>2150</c:v>
                </c:pt>
                <c:pt idx="133">
                  <c:v>2151</c:v>
                </c:pt>
                <c:pt idx="134">
                  <c:v>2152</c:v>
                </c:pt>
                <c:pt idx="135">
                  <c:v>2153</c:v>
                </c:pt>
                <c:pt idx="136">
                  <c:v>2154</c:v>
                </c:pt>
                <c:pt idx="137">
                  <c:v>2155</c:v>
                </c:pt>
                <c:pt idx="138">
                  <c:v>2156</c:v>
                </c:pt>
                <c:pt idx="139">
                  <c:v>2157</c:v>
                </c:pt>
                <c:pt idx="140">
                  <c:v>2158</c:v>
                </c:pt>
              </c:numCache>
            </c:numRef>
          </c:cat>
          <c:val>
            <c:numRef>
              <c:f>RESULTS!$P$9:$P$149</c:f>
              <c:numCache>
                <c:formatCode>0.000E+00</c:formatCode>
                <c:ptCount val="141"/>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numCache>
            </c:numRef>
          </c:val>
          <c:smooth val="0"/>
        </c:ser>
        <c:dLbls>
          <c:showLegendKey val="0"/>
          <c:showVal val="0"/>
          <c:showCatName val="0"/>
          <c:showSerName val="0"/>
          <c:showPercent val="0"/>
          <c:showBubbleSize val="0"/>
        </c:dLbls>
        <c:marker val="1"/>
        <c:smooth val="0"/>
        <c:axId val="257106304"/>
        <c:axId val="257108992"/>
      </c:lineChart>
      <c:catAx>
        <c:axId val="25710630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Year</a:t>
                </a:r>
              </a:p>
            </c:rich>
          </c:tx>
          <c:layout>
            <c:manualLayout>
              <c:xMode val="edge"/>
              <c:yMode val="edge"/>
              <c:x val="0.55349905458111215"/>
              <c:y val="0.7641532900737337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257108992"/>
        <c:crosses val="autoZero"/>
        <c:auto val="1"/>
        <c:lblAlgn val="ctr"/>
        <c:lblOffset val="100"/>
        <c:tickLblSkip val="10"/>
        <c:tickMarkSkip val="1"/>
        <c:noMultiLvlLbl val="0"/>
      </c:catAx>
      <c:valAx>
        <c:axId val="25710899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Emissions</a:t>
                </a:r>
              </a:p>
            </c:rich>
          </c:tx>
          <c:layout>
            <c:manualLayout>
              <c:xMode val="edge"/>
              <c:yMode val="edge"/>
              <c:x val="2.2633790336030607E-2"/>
              <c:y val="0.30503238328046162"/>
            </c:manualLayout>
          </c:layout>
          <c:overlay val="0"/>
          <c:spPr>
            <a:noFill/>
            <a:ln w="25400">
              <a:noFill/>
            </a:ln>
          </c:spPr>
        </c:title>
        <c:numFmt formatCode="0.000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7106304"/>
        <c:crosses val="autoZero"/>
        <c:crossBetween val="between"/>
      </c:valAx>
      <c:spPr>
        <a:noFill/>
        <a:ln w="12700">
          <a:solidFill>
            <a:srgbClr val="808080"/>
          </a:solidFill>
          <a:prstDash val="solid"/>
        </a:ln>
      </c:spPr>
    </c:plotArea>
    <c:legend>
      <c:legendPos val="b"/>
      <c:layout>
        <c:manualLayout>
          <c:xMode val="edge"/>
          <c:yMode val="edge"/>
          <c:x val="1.0288086516377548E-2"/>
          <c:y val="0.83648055621239992"/>
          <c:w val="0.9794258363591426"/>
          <c:h val="0.1540885235128105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sz="800" b="1" i="0" u="none" strike="noStrike" baseline="0">
                <a:solidFill>
                  <a:srgbClr val="000000"/>
                </a:solidFill>
                <a:latin typeface="Arial"/>
                <a:cs typeface="Arial"/>
              </a:rPr>
              <a:t>User-specified Unit </a:t>
            </a:r>
            <a:r>
              <a:rPr lang="en-US" sz="800" b="0" i="0" u="none" strike="noStrike" baseline="0">
                <a:solidFill>
                  <a:srgbClr val="000000"/>
                </a:solidFill>
                <a:latin typeface="Arial"/>
                <a:cs typeface="Arial"/>
              </a:rPr>
              <a:t>(units shown in legend below)</a:t>
            </a:r>
          </a:p>
        </c:rich>
      </c:tx>
      <c:layout>
        <c:manualLayout>
          <c:xMode val="edge"/>
          <c:yMode val="edge"/>
          <c:x val="0.23613986715127208"/>
          <c:y val="3.4482811402226504E-2"/>
        </c:manualLayout>
      </c:layout>
      <c:overlay val="0"/>
      <c:spPr>
        <a:noFill/>
        <a:ln w="25400">
          <a:noFill/>
        </a:ln>
      </c:spPr>
    </c:title>
    <c:autoTitleDeleted val="0"/>
    <c:plotArea>
      <c:layout>
        <c:manualLayout>
          <c:layoutTarget val="inner"/>
          <c:xMode val="edge"/>
          <c:yMode val="edge"/>
          <c:x val="0.17864494297531019"/>
          <c:y val="0.10971803627981161"/>
          <c:w val="0.80082215816518365"/>
          <c:h val="0.54545538036249197"/>
        </c:manualLayout>
      </c:layout>
      <c:lineChart>
        <c:grouping val="standard"/>
        <c:varyColors val="0"/>
        <c:ser>
          <c:idx val="1"/>
          <c:order val="0"/>
          <c:tx>
            <c:strRef>
              <c:f>RESULTS!$H$7:$H$8</c:f>
              <c:strCache>
                <c:ptCount val="1"/>
                <c:pt idx="0">
                  <c:v>Waste-In-Place (av ft^3/min)</c:v>
                </c:pt>
              </c:strCache>
            </c:strRef>
          </c:tx>
          <c:spPr>
            <a:ln w="25400">
              <a:solidFill>
                <a:srgbClr val="000000"/>
              </a:solidFill>
              <a:prstDash val="solid"/>
            </a:ln>
          </c:spPr>
          <c:marker>
            <c:symbol val="none"/>
          </c:marker>
          <c:cat>
            <c:numRef>
              <c:f>RESULTS!$A$9:$A$149</c:f>
              <c:numCache>
                <c:formatCode>0</c:formatCode>
                <c:ptCount val="141"/>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pt idx="76">
                  <c:v>2094</c:v>
                </c:pt>
                <c:pt idx="77">
                  <c:v>2095</c:v>
                </c:pt>
                <c:pt idx="78">
                  <c:v>2096</c:v>
                </c:pt>
                <c:pt idx="79">
                  <c:v>2097</c:v>
                </c:pt>
                <c:pt idx="80">
                  <c:v>2098</c:v>
                </c:pt>
                <c:pt idx="81">
                  <c:v>2099</c:v>
                </c:pt>
                <c:pt idx="82">
                  <c:v>2100</c:v>
                </c:pt>
                <c:pt idx="83">
                  <c:v>2101</c:v>
                </c:pt>
                <c:pt idx="84">
                  <c:v>2102</c:v>
                </c:pt>
                <c:pt idx="85">
                  <c:v>2103</c:v>
                </c:pt>
                <c:pt idx="86">
                  <c:v>2104</c:v>
                </c:pt>
                <c:pt idx="87">
                  <c:v>2105</c:v>
                </c:pt>
                <c:pt idx="88">
                  <c:v>2106</c:v>
                </c:pt>
                <c:pt idx="89">
                  <c:v>2107</c:v>
                </c:pt>
                <c:pt idx="90">
                  <c:v>2108</c:v>
                </c:pt>
                <c:pt idx="91">
                  <c:v>2109</c:v>
                </c:pt>
                <c:pt idx="92">
                  <c:v>2110</c:v>
                </c:pt>
                <c:pt idx="93">
                  <c:v>2111</c:v>
                </c:pt>
                <c:pt idx="94">
                  <c:v>2112</c:v>
                </c:pt>
                <c:pt idx="95">
                  <c:v>2113</c:v>
                </c:pt>
                <c:pt idx="96">
                  <c:v>2114</c:v>
                </c:pt>
                <c:pt idx="97">
                  <c:v>2115</c:v>
                </c:pt>
                <c:pt idx="98">
                  <c:v>2116</c:v>
                </c:pt>
                <c:pt idx="99">
                  <c:v>2117</c:v>
                </c:pt>
                <c:pt idx="100">
                  <c:v>2118</c:v>
                </c:pt>
                <c:pt idx="101">
                  <c:v>2119</c:v>
                </c:pt>
                <c:pt idx="102">
                  <c:v>2120</c:v>
                </c:pt>
                <c:pt idx="103">
                  <c:v>2121</c:v>
                </c:pt>
                <c:pt idx="104">
                  <c:v>2122</c:v>
                </c:pt>
                <c:pt idx="105">
                  <c:v>2123</c:v>
                </c:pt>
                <c:pt idx="106">
                  <c:v>2124</c:v>
                </c:pt>
                <c:pt idx="107">
                  <c:v>2125</c:v>
                </c:pt>
                <c:pt idx="108">
                  <c:v>2126</c:v>
                </c:pt>
                <c:pt idx="109">
                  <c:v>2127</c:v>
                </c:pt>
                <c:pt idx="110">
                  <c:v>2128</c:v>
                </c:pt>
                <c:pt idx="111">
                  <c:v>2129</c:v>
                </c:pt>
                <c:pt idx="112">
                  <c:v>2130</c:v>
                </c:pt>
                <c:pt idx="113">
                  <c:v>2131</c:v>
                </c:pt>
                <c:pt idx="114">
                  <c:v>2132</c:v>
                </c:pt>
                <c:pt idx="115">
                  <c:v>2133</c:v>
                </c:pt>
                <c:pt idx="116">
                  <c:v>2134</c:v>
                </c:pt>
                <c:pt idx="117">
                  <c:v>2135</c:v>
                </c:pt>
                <c:pt idx="118">
                  <c:v>2136</c:v>
                </c:pt>
                <c:pt idx="119">
                  <c:v>2137</c:v>
                </c:pt>
                <c:pt idx="120">
                  <c:v>2138</c:v>
                </c:pt>
                <c:pt idx="121">
                  <c:v>2139</c:v>
                </c:pt>
                <c:pt idx="122">
                  <c:v>2140</c:v>
                </c:pt>
                <c:pt idx="123">
                  <c:v>2141</c:v>
                </c:pt>
                <c:pt idx="124">
                  <c:v>2142</c:v>
                </c:pt>
                <c:pt idx="125">
                  <c:v>2143</c:v>
                </c:pt>
                <c:pt idx="126">
                  <c:v>2144</c:v>
                </c:pt>
                <c:pt idx="127">
                  <c:v>2145</c:v>
                </c:pt>
                <c:pt idx="128">
                  <c:v>2146</c:v>
                </c:pt>
                <c:pt idx="129">
                  <c:v>2147</c:v>
                </c:pt>
                <c:pt idx="130">
                  <c:v>2148</c:v>
                </c:pt>
                <c:pt idx="131">
                  <c:v>2149</c:v>
                </c:pt>
                <c:pt idx="132">
                  <c:v>2150</c:v>
                </c:pt>
                <c:pt idx="133">
                  <c:v>2151</c:v>
                </c:pt>
                <c:pt idx="134">
                  <c:v>2152</c:v>
                </c:pt>
                <c:pt idx="135">
                  <c:v>2153</c:v>
                </c:pt>
                <c:pt idx="136">
                  <c:v>2154</c:v>
                </c:pt>
                <c:pt idx="137">
                  <c:v>2155</c:v>
                </c:pt>
                <c:pt idx="138">
                  <c:v>2156</c:v>
                </c:pt>
                <c:pt idx="139">
                  <c:v>2157</c:v>
                </c:pt>
                <c:pt idx="140">
                  <c:v>2158</c:v>
                </c:pt>
              </c:numCache>
            </c:numRef>
          </c:cat>
          <c:val>
            <c:numRef>
              <c:f>RESULTS!$H$9:$H$149</c:f>
              <c:numCache>
                <c:formatCode>0.000E+00</c:formatCode>
                <c:ptCount val="141"/>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numCache>
            </c:numRef>
          </c:val>
          <c:smooth val="0"/>
        </c:ser>
        <c:ser>
          <c:idx val="2"/>
          <c:order val="1"/>
          <c:tx>
            <c:strRef>
              <c:f>RESULTS!$K$7:$K$8</c:f>
              <c:strCache>
                <c:ptCount val="1"/>
                <c:pt idx="0">
                  <c:v>Waste-In-Place (av ft^3/min)</c:v>
                </c:pt>
              </c:strCache>
            </c:strRef>
          </c:tx>
          <c:spPr>
            <a:ln w="25400">
              <a:solidFill>
                <a:srgbClr val="00CCFF"/>
              </a:solidFill>
              <a:prstDash val="solid"/>
            </a:ln>
          </c:spPr>
          <c:marker>
            <c:symbol val="none"/>
          </c:marker>
          <c:cat>
            <c:numRef>
              <c:f>RESULTS!$A$9:$A$149</c:f>
              <c:numCache>
                <c:formatCode>0</c:formatCode>
                <c:ptCount val="141"/>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pt idx="76">
                  <c:v>2094</c:v>
                </c:pt>
                <c:pt idx="77">
                  <c:v>2095</c:v>
                </c:pt>
                <c:pt idx="78">
                  <c:v>2096</c:v>
                </c:pt>
                <c:pt idx="79">
                  <c:v>2097</c:v>
                </c:pt>
                <c:pt idx="80">
                  <c:v>2098</c:v>
                </c:pt>
                <c:pt idx="81">
                  <c:v>2099</c:v>
                </c:pt>
                <c:pt idx="82">
                  <c:v>2100</c:v>
                </c:pt>
                <c:pt idx="83">
                  <c:v>2101</c:v>
                </c:pt>
                <c:pt idx="84">
                  <c:v>2102</c:v>
                </c:pt>
                <c:pt idx="85">
                  <c:v>2103</c:v>
                </c:pt>
                <c:pt idx="86">
                  <c:v>2104</c:v>
                </c:pt>
                <c:pt idx="87">
                  <c:v>2105</c:v>
                </c:pt>
                <c:pt idx="88">
                  <c:v>2106</c:v>
                </c:pt>
                <c:pt idx="89">
                  <c:v>2107</c:v>
                </c:pt>
                <c:pt idx="90">
                  <c:v>2108</c:v>
                </c:pt>
                <c:pt idx="91">
                  <c:v>2109</c:v>
                </c:pt>
                <c:pt idx="92">
                  <c:v>2110</c:v>
                </c:pt>
                <c:pt idx="93">
                  <c:v>2111</c:v>
                </c:pt>
                <c:pt idx="94">
                  <c:v>2112</c:v>
                </c:pt>
                <c:pt idx="95">
                  <c:v>2113</c:v>
                </c:pt>
                <c:pt idx="96">
                  <c:v>2114</c:v>
                </c:pt>
                <c:pt idx="97">
                  <c:v>2115</c:v>
                </c:pt>
                <c:pt idx="98">
                  <c:v>2116</c:v>
                </c:pt>
                <c:pt idx="99">
                  <c:v>2117</c:v>
                </c:pt>
                <c:pt idx="100">
                  <c:v>2118</c:v>
                </c:pt>
                <c:pt idx="101">
                  <c:v>2119</c:v>
                </c:pt>
                <c:pt idx="102">
                  <c:v>2120</c:v>
                </c:pt>
                <c:pt idx="103">
                  <c:v>2121</c:v>
                </c:pt>
                <c:pt idx="104">
                  <c:v>2122</c:v>
                </c:pt>
                <c:pt idx="105">
                  <c:v>2123</c:v>
                </c:pt>
                <c:pt idx="106">
                  <c:v>2124</c:v>
                </c:pt>
                <c:pt idx="107">
                  <c:v>2125</c:v>
                </c:pt>
                <c:pt idx="108">
                  <c:v>2126</c:v>
                </c:pt>
                <c:pt idx="109">
                  <c:v>2127</c:v>
                </c:pt>
                <c:pt idx="110">
                  <c:v>2128</c:v>
                </c:pt>
                <c:pt idx="111">
                  <c:v>2129</c:v>
                </c:pt>
                <c:pt idx="112">
                  <c:v>2130</c:v>
                </c:pt>
                <c:pt idx="113">
                  <c:v>2131</c:v>
                </c:pt>
                <c:pt idx="114">
                  <c:v>2132</c:v>
                </c:pt>
                <c:pt idx="115">
                  <c:v>2133</c:v>
                </c:pt>
                <c:pt idx="116">
                  <c:v>2134</c:v>
                </c:pt>
                <c:pt idx="117">
                  <c:v>2135</c:v>
                </c:pt>
                <c:pt idx="118">
                  <c:v>2136</c:v>
                </c:pt>
                <c:pt idx="119">
                  <c:v>2137</c:v>
                </c:pt>
                <c:pt idx="120">
                  <c:v>2138</c:v>
                </c:pt>
                <c:pt idx="121">
                  <c:v>2139</c:v>
                </c:pt>
                <c:pt idx="122">
                  <c:v>2140</c:v>
                </c:pt>
                <c:pt idx="123">
                  <c:v>2141</c:v>
                </c:pt>
                <c:pt idx="124">
                  <c:v>2142</c:v>
                </c:pt>
                <c:pt idx="125">
                  <c:v>2143</c:v>
                </c:pt>
                <c:pt idx="126">
                  <c:v>2144</c:v>
                </c:pt>
                <c:pt idx="127">
                  <c:v>2145</c:v>
                </c:pt>
                <c:pt idx="128">
                  <c:v>2146</c:v>
                </c:pt>
                <c:pt idx="129">
                  <c:v>2147</c:v>
                </c:pt>
                <c:pt idx="130">
                  <c:v>2148</c:v>
                </c:pt>
                <c:pt idx="131">
                  <c:v>2149</c:v>
                </c:pt>
                <c:pt idx="132">
                  <c:v>2150</c:v>
                </c:pt>
                <c:pt idx="133">
                  <c:v>2151</c:v>
                </c:pt>
                <c:pt idx="134">
                  <c:v>2152</c:v>
                </c:pt>
                <c:pt idx="135">
                  <c:v>2153</c:v>
                </c:pt>
                <c:pt idx="136">
                  <c:v>2154</c:v>
                </c:pt>
                <c:pt idx="137">
                  <c:v>2155</c:v>
                </c:pt>
                <c:pt idx="138">
                  <c:v>2156</c:v>
                </c:pt>
                <c:pt idx="139">
                  <c:v>2157</c:v>
                </c:pt>
                <c:pt idx="140">
                  <c:v>2158</c:v>
                </c:pt>
              </c:numCache>
            </c:numRef>
          </c:cat>
          <c:val>
            <c:numRef>
              <c:f>RESULTS!$K$9:$K$149</c:f>
              <c:numCache>
                <c:formatCode>0.000E+00</c:formatCode>
                <c:ptCount val="141"/>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numCache>
            </c:numRef>
          </c:val>
          <c:smooth val="0"/>
        </c:ser>
        <c:ser>
          <c:idx val="3"/>
          <c:order val="2"/>
          <c:tx>
            <c:strRef>
              <c:f>RESULTS!$N$7:$N$8</c:f>
              <c:strCache>
                <c:ptCount val="1"/>
                <c:pt idx="0">
                  <c:v>Carbon dioxide (av ft^3/min)</c:v>
                </c:pt>
              </c:strCache>
            </c:strRef>
          </c:tx>
          <c:spPr>
            <a:ln w="25400">
              <a:solidFill>
                <a:srgbClr val="FF00FF"/>
              </a:solidFill>
              <a:prstDash val="solid"/>
            </a:ln>
          </c:spPr>
          <c:marker>
            <c:symbol val="none"/>
          </c:marker>
          <c:cat>
            <c:numRef>
              <c:f>RESULTS!$A$9:$A$149</c:f>
              <c:numCache>
                <c:formatCode>0</c:formatCode>
                <c:ptCount val="141"/>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pt idx="76">
                  <c:v>2094</c:v>
                </c:pt>
                <c:pt idx="77">
                  <c:v>2095</c:v>
                </c:pt>
                <c:pt idx="78">
                  <c:v>2096</c:v>
                </c:pt>
                <c:pt idx="79">
                  <c:v>2097</c:v>
                </c:pt>
                <c:pt idx="80">
                  <c:v>2098</c:v>
                </c:pt>
                <c:pt idx="81">
                  <c:v>2099</c:v>
                </c:pt>
                <c:pt idx="82">
                  <c:v>2100</c:v>
                </c:pt>
                <c:pt idx="83">
                  <c:v>2101</c:v>
                </c:pt>
                <c:pt idx="84">
                  <c:v>2102</c:v>
                </c:pt>
                <c:pt idx="85">
                  <c:v>2103</c:v>
                </c:pt>
                <c:pt idx="86">
                  <c:v>2104</c:v>
                </c:pt>
                <c:pt idx="87">
                  <c:v>2105</c:v>
                </c:pt>
                <c:pt idx="88">
                  <c:v>2106</c:v>
                </c:pt>
                <c:pt idx="89">
                  <c:v>2107</c:v>
                </c:pt>
                <c:pt idx="90">
                  <c:v>2108</c:v>
                </c:pt>
                <c:pt idx="91">
                  <c:v>2109</c:v>
                </c:pt>
                <c:pt idx="92">
                  <c:v>2110</c:v>
                </c:pt>
                <c:pt idx="93">
                  <c:v>2111</c:v>
                </c:pt>
                <c:pt idx="94">
                  <c:v>2112</c:v>
                </c:pt>
                <c:pt idx="95">
                  <c:v>2113</c:v>
                </c:pt>
                <c:pt idx="96">
                  <c:v>2114</c:v>
                </c:pt>
                <c:pt idx="97">
                  <c:v>2115</c:v>
                </c:pt>
                <c:pt idx="98">
                  <c:v>2116</c:v>
                </c:pt>
                <c:pt idx="99">
                  <c:v>2117</c:v>
                </c:pt>
                <c:pt idx="100">
                  <c:v>2118</c:v>
                </c:pt>
                <c:pt idx="101">
                  <c:v>2119</c:v>
                </c:pt>
                <c:pt idx="102">
                  <c:v>2120</c:v>
                </c:pt>
                <c:pt idx="103">
                  <c:v>2121</c:v>
                </c:pt>
                <c:pt idx="104">
                  <c:v>2122</c:v>
                </c:pt>
                <c:pt idx="105">
                  <c:v>2123</c:v>
                </c:pt>
                <c:pt idx="106">
                  <c:v>2124</c:v>
                </c:pt>
                <c:pt idx="107">
                  <c:v>2125</c:v>
                </c:pt>
                <c:pt idx="108">
                  <c:v>2126</c:v>
                </c:pt>
                <c:pt idx="109">
                  <c:v>2127</c:v>
                </c:pt>
                <c:pt idx="110">
                  <c:v>2128</c:v>
                </c:pt>
                <c:pt idx="111">
                  <c:v>2129</c:v>
                </c:pt>
                <c:pt idx="112">
                  <c:v>2130</c:v>
                </c:pt>
                <c:pt idx="113">
                  <c:v>2131</c:v>
                </c:pt>
                <c:pt idx="114">
                  <c:v>2132</c:v>
                </c:pt>
                <c:pt idx="115">
                  <c:v>2133</c:v>
                </c:pt>
                <c:pt idx="116">
                  <c:v>2134</c:v>
                </c:pt>
                <c:pt idx="117">
                  <c:v>2135</c:v>
                </c:pt>
                <c:pt idx="118">
                  <c:v>2136</c:v>
                </c:pt>
                <c:pt idx="119">
                  <c:v>2137</c:v>
                </c:pt>
                <c:pt idx="120">
                  <c:v>2138</c:v>
                </c:pt>
                <c:pt idx="121">
                  <c:v>2139</c:v>
                </c:pt>
                <c:pt idx="122">
                  <c:v>2140</c:v>
                </c:pt>
                <c:pt idx="123">
                  <c:v>2141</c:v>
                </c:pt>
                <c:pt idx="124">
                  <c:v>2142</c:v>
                </c:pt>
                <c:pt idx="125">
                  <c:v>2143</c:v>
                </c:pt>
                <c:pt idx="126">
                  <c:v>2144</c:v>
                </c:pt>
                <c:pt idx="127">
                  <c:v>2145</c:v>
                </c:pt>
                <c:pt idx="128">
                  <c:v>2146</c:v>
                </c:pt>
                <c:pt idx="129">
                  <c:v>2147</c:v>
                </c:pt>
                <c:pt idx="130">
                  <c:v>2148</c:v>
                </c:pt>
                <c:pt idx="131">
                  <c:v>2149</c:v>
                </c:pt>
                <c:pt idx="132">
                  <c:v>2150</c:v>
                </c:pt>
                <c:pt idx="133">
                  <c:v>2151</c:v>
                </c:pt>
                <c:pt idx="134">
                  <c:v>2152</c:v>
                </c:pt>
                <c:pt idx="135">
                  <c:v>2153</c:v>
                </c:pt>
                <c:pt idx="136">
                  <c:v>2154</c:v>
                </c:pt>
                <c:pt idx="137">
                  <c:v>2155</c:v>
                </c:pt>
                <c:pt idx="138">
                  <c:v>2156</c:v>
                </c:pt>
                <c:pt idx="139">
                  <c:v>2157</c:v>
                </c:pt>
                <c:pt idx="140">
                  <c:v>2158</c:v>
                </c:pt>
              </c:numCache>
            </c:numRef>
          </c:cat>
          <c:val>
            <c:numRef>
              <c:f>RESULTS!$N$9:$N$149</c:f>
              <c:numCache>
                <c:formatCode>0.000E+00</c:formatCode>
                <c:ptCount val="141"/>
                <c:pt idx="0" formatCode="#,##0">
                  <c:v>0</c:v>
                </c:pt>
                <c:pt idx="1">
                  <c:v>33.276231428536747</c:v>
                </c:pt>
                <c:pt idx="2">
                  <c:v>83.622100051789957</c:v>
                </c:pt>
                <c:pt idx="3">
                  <c:v>130.23997891612242</c:v>
                </c:pt>
                <c:pt idx="4">
                  <c:v>150.35602430159264</c:v>
                </c:pt>
                <c:pt idx="5">
                  <c:v>184.55960448960849</c:v>
                </c:pt>
                <c:pt idx="6">
                  <c:v>219.33609253854414</c:v>
                </c:pt>
                <c:pt idx="7">
                  <c:v>254.75436236964026</c:v>
                </c:pt>
                <c:pt idx="8">
                  <c:v>290.88481103974169</c:v>
                </c:pt>
                <c:pt idx="9">
                  <c:v>327.80000297174308</c:v>
                </c:pt>
                <c:pt idx="10">
                  <c:v>365.5742329942268</c:v>
                </c:pt>
                <c:pt idx="11">
                  <c:v>404.28381046800956</c:v>
                </c:pt>
                <c:pt idx="12">
                  <c:v>444.00750826028832</c:v>
                </c:pt>
                <c:pt idx="13">
                  <c:v>484.82629016081222</c:v>
                </c:pt>
                <c:pt idx="14">
                  <c:v>526.82392892802795</c:v>
                </c:pt>
                <c:pt idx="15">
                  <c:v>570.08689614784157</c:v>
                </c:pt>
                <c:pt idx="16">
                  <c:v>614.70443239944098</c:v>
                </c:pt>
                <c:pt idx="17">
                  <c:v>660.76914263496496</c:v>
                </c:pt>
                <c:pt idx="18">
                  <c:v>708.37686426055302</c:v>
                </c:pt>
                <c:pt idx="19">
                  <c:v>757.62706835509516</c:v>
                </c:pt>
                <c:pt idx="20">
                  <c:v>808.6227171918863</c:v>
                </c:pt>
                <c:pt idx="21">
                  <c:v>861.47083130038311</c:v>
                </c:pt>
                <c:pt idx="22">
                  <c:v>916.2826823164271</c:v>
                </c:pt>
                <c:pt idx="23">
                  <c:v>973.17397827070249</c:v>
                </c:pt>
                <c:pt idx="24">
                  <c:v>1032.2650416119293</c:v>
                </c:pt>
                <c:pt idx="25">
                  <c:v>1093.6809802496705</c:v>
                </c:pt>
                <c:pt idx="26">
                  <c:v>1157.5522038671725</c:v>
                </c:pt>
                <c:pt idx="27">
                  <c:v>1224.0147440009325</c:v>
                </c:pt>
                <c:pt idx="28">
                  <c:v>1293.2100336046794</c:v>
                </c:pt>
                <c:pt idx="29">
                  <c:v>1365.2859271753084</c:v>
                </c:pt>
                <c:pt idx="30">
                  <c:v>1440.3962729722066</c:v>
                </c:pt>
                <c:pt idx="31">
                  <c:v>1518.701909917002</c:v>
                </c:pt>
                <c:pt idx="32">
                  <c:v>1459.1527562687186</c:v>
                </c:pt>
                <c:pt idx="33">
                  <c:v>1401.9385583329886</c:v>
                </c:pt>
                <c:pt idx="34">
                  <c:v>1346.9677611867685</c:v>
                </c:pt>
                <c:pt idx="35">
                  <c:v>1294.152399826896</c:v>
                </c:pt>
                <c:pt idx="36">
                  <c:v>1243.4079584073168</c:v>
                </c:pt>
                <c:pt idx="37">
                  <c:v>1194.6532349957006</c:v>
                </c:pt>
                <c:pt idx="38">
                  <c:v>1147.8102116330278</c:v>
                </c:pt>
                <c:pt idx="39">
                  <c:v>1102.8039294882062</c:v>
                </c:pt>
                <c:pt idx="40">
                  <c:v>1059.5623689079521</c:v>
                </c:pt>
                <c:pt idx="41">
                  <c:v>1018.0163341699782</c:v>
                </c:pt>
                <c:pt idx="42">
                  <c:v>978.09934275507749</c:v>
                </c:pt>
                <c:pt idx="43">
                  <c:v>939.74751896090697</c:v>
                </c:pt>
                <c:pt idx="44">
                  <c:v>902.89949168723695</c:v>
                </c:pt>
                <c:pt idx="45">
                  <c:v>867.49629622909788</c:v>
                </c:pt>
                <c:pt idx="46">
                  <c:v>833.4812799206727</c:v>
                </c:pt>
                <c:pt idx="47">
                  <c:v>800.8000114789437</c:v>
                </c:pt>
                <c:pt idx="48">
                  <c:v>769.40019390202815</c:v>
                </c:pt>
                <c:pt idx="49">
                  <c:v>739.23158078281858</c:v>
                </c:pt>
                <c:pt idx="50">
                  <c:v>710.24589590400933</c:v>
                </c:pt>
                <c:pt idx="51">
                  <c:v>682.39675598585256</c:v>
                </c:pt>
                <c:pt idx="52">
                  <c:v>655.63959646301191</c:v>
                </c:pt>
                <c:pt idx="53">
                  <c:v>629.93160017175285</c:v>
                </c:pt>
                <c:pt idx="54">
                  <c:v>605.23162883334408</c:v>
                </c:pt>
                <c:pt idx="55">
                  <c:v>581.50015722403555</c:v>
                </c:pt>
                <c:pt idx="56">
                  <c:v>558.69920992626885</c:v>
                </c:pt>
                <c:pt idx="57">
                  <c:v>536.79230055990593</c:v>
                </c:pt>
                <c:pt idx="58">
                  <c:v>515.74437339623739</c:v>
                </c:pt>
                <c:pt idx="59">
                  <c:v>495.52174726133728</c:v>
                </c:pt>
                <c:pt idx="60">
                  <c:v>476.09206163899944</c:v>
                </c:pt>
                <c:pt idx="61">
                  <c:v>457.4242248870076</c:v>
                </c:pt>
                <c:pt idx="62">
                  <c:v>439.48836448387419</c:v>
                </c:pt>
                <c:pt idx="63">
                  <c:v>422.25577922643328</c:v>
                </c:pt>
                <c:pt idx="64">
                  <c:v>405.69889330179194</c:v>
                </c:pt>
                <c:pt idx="65">
                  <c:v>389.79121216014693</c:v>
                </c:pt>
                <c:pt idx="66">
                  <c:v>374.50728011785179</c:v>
                </c:pt>
                <c:pt idx="67">
                  <c:v>359.82263962289289</c:v>
                </c:pt>
                <c:pt idx="68">
                  <c:v>345.71379211758779</c:v>
                </c:pt>
                <c:pt idx="69">
                  <c:v>332.15816043588006</c:v>
                </c:pt>
                <c:pt idx="70">
                  <c:v>319.13405267505658</c:v>
                </c:pt>
                <c:pt idx="71">
                  <c:v>306.6206274840755</c:v>
                </c:pt>
                <c:pt idx="72">
                  <c:v>294.59786071295832</c:v>
                </c:pt>
                <c:pt idx="73">
                  <c:v>283.04651336987757</c:v>
                </c:pt>
                <c:pt idx="74">
                  <c:v>271.94810083466513</c:v>
                </c:pt>
                <c:pt idx="75">
                  <c:v>261.28486327947735</c:v>
                </c:pt>
                <c:pt idx="76">
                  <c:v>251.03973724928053</c:v>
                </c:pt>
                <c:pt idx="77">
                  <c:v>241.19632835668273</c:v>
                </c:pt>
                <c:pt idx="78">
                  <c:v>231.73888504741683</c:v>
                </c:pt>
                <c:pt idx="79">
                  <c:v>222.65227339449234</c:v>
                </c:pt>
                <c:pt idx="80">
                  <c:v>213.92195288068399</c:v>
                </c:pt>
                <c:pt idx="81">
                  <c:v>205.53395313060207</c:v>
                </c:pt>
                <c:pt idx="82">
                  <c:v>197.47485155511112</c:v>
                </c:pt>
                <c:pt idx="83">
                  <c:v>189.7317518723234</c:v>
                </c:pt>
                <c:pt idx="84">
                  <c:v>182.29226347079739</c:v>
                </c:pt>
                <c:pt idx="85">
                  <c:v>175.14448158191496</c:v>
                </c:pt>
                <c:pt idx="86">
                  <c:v>168.27696822971251</c:v>
                </c:pt>
                <c:pt idx="87">
                  <c:v>161.67873392767882</c:v>
                </c:pt>
                <c:pt idx="88">
                  <c:v>155.3392200932322</c:v>
                </c:pt>
                <c:pt idx="89">
                  <c:v>149.24828215173585</c:v>
                </c:pt>
                <c:pt idx="90">
                  <c:v>143.396173303014</c:v>
                </c:pt>
                <c:pt idx="91">
                  <c:v>137.77352892439211</c:v>
                </c:pt>
                <c:pt idx="92">
                  <c:v>132.3713515853031</c:v>
                </c:pt>
                <c:pt idx="93">
                  <c:v>127.18099664947837</c:v>
                </c:pt>
                <c:pt idx="94">
                  <c:v>122.19415844168579</c:v>
                </c:pt>
                <c:pt idx="95">
                  <c:v>117.40285695687744</c:v>
                </c:pt>
                <c:pt idx="96">
                  <c:v>112.79942509047869</c:v>
                </c:pt>
                <c:pt idx="97">
                  <c:v>108.37649636938552</c:v>
                </c:pt>
                <c:pt idx="98">
                  <c:v>104.1269931640357</c:v>
                </c:pt>
                <c:pt idx="99">
                  <c:v>100.04411536269163</c:v>
                </c:pt>
                <c:pt idx="100">
                  <c:v>96.121329489810819</c:v>
                </c:pt>
                <c:pt idx="101">
                  <c:v>92.352358251091019</c:v>
                </c:pt>
                <c:pt idx="102">
                  <c:v>88.731170488460165</c:v>
                </c:pt>
                <c:pt idx="103">
                  <c:v>85.251971528936821</c:v>
                </c:pt>
                <c:pt idx="104">
                  <c:v>81.909193911917043</c:v>
                </c:pt>
                <c:pt idx="105">
                  <c:v>78.697488480049657</c:v>
                </c:pt>
                <c:pt idx="106">
                  <c:v>75.611715819443333</c:v>
                </c:pt>
                <c:pt idx="107">
                  <c:v>72.646938035507802</c:v>
                </c:pt>
                <c:pt idx="108">
                  <c:v>69.798410851269125</c:v>
                </c:pt>
                <c:pt idx="109">
                  <c:v>67.061576015514305</c:v>
                </c:pt>
                <c:pt idx="110">
                  <c:v>64.432054008616845</c:v>
                </c:pt>
                <c:pt idx="111">
                  <c:v>61.905637034371196</c:v>
                </c:pt>
                <c:pt idx="112">
                  <c:v>59.478282286620782</c:v>
                </c:pt>
                <c:pt idx="113">
                  <c:v>57.146105479905927</c:v>
                </c:pt>
                <c:pt idx="114">
                  <c:v>54.905374633778329</c:v>
                </c:pt>
                <c:pt idx="115">
                  <c:v>52.752504100836084</c:v>
                </c:pt>
                <c:pt idx="116">
                  <c:v>50.684048828922919</c:v>
                </c:pt>
                <c:pt idx="117">
                  <c:v>48.696698848309822</c:v>
                </c:pt>
                <c:pt idx="118">
                  <c:v>46.787273975037174</c:v>
                </c:pt>
                <c:pt idx="119">
                  <c:v>44.952718721942063</c:v>
                </c:pt>
                <c:pt idx="120">
                  <c:v>43.190097409226844</c:v>
                </c:pt>
                <c:pt idx="121">
                  <c:v>41.496589466745284</c:v>
                </c:pt>
                <c:pt idx="122">
                  <c:v>39.869484920488375</c:v>
                </c:pt>
                <c:pt idx="123">
                  <c:v>38.306180056048042</c:v>
                </c:pt>
                <c:pt idx="124">
                  <c:v>36.804173252118318</c:v>
                </c:pt>
                <c:pt idx="125">
                  <c:v>35.361060977367693</c:v>
                </c:pt>
                <c:pt idx="126">
                  <c:v>33.974533944276203</c:v>
                </c:pt>
                <c:pt idx="127">
                  <c:v>32.642373413782707</c:v>
                </c:pt>
                <c:pt idx="128">
                  <c:v>31.362447644828983</c:v>
                </c:pt>
                <c:pt idx="129">
                  <c:v>30.132708483119345</c:v>
                </c:pt>
                <c:pt idx="130">
                  <c:v>28.951188083636687</c:v>
                </c:pt>
                <c:pt idx="131">
                  <c:v>27.81599576167072</c:v>
                </c:pt>
                <c:pt idx="132">
                  <c:v>26.725314967319004</c:v>
                </c:pt>
                <c:pt idx="133">
                  <c:v>25.677400378619616</c:v>
                </c:pt>
                <c:pt idx="134">
                  <c:v>24.670575108663598</c:v>
                </c:pt>
                <c:pt idx="135">
                  <c:v>23.703228022218163</c:v>
                </c:pt>
                <c:pt idx="136">
                  <c:v>22.773811157566616</c:v>
                </c:pt>
                <c:pt idx="137">
                  <c:v>21.880837249439349</c:v>
                </c:pt>
                <c:pt idx="138">
                  <c:v>21.022877349072097</c:v>
                </c:pt>
                <c:pt idx="139">
                  <c:v>20.198558537583057</c:v>
                </c:pt>
                <c:pt idx="140">
                  <c:v>19.406561729009795</c:v>
                </c:pt>
              </c:numCache>
            </c:numRef>
          </c:val>
          <c:smooth val="0"/>
        </c:ser>
        <c:ser>
          <c:idx val="4"/>
          <c:order val="3"/>
          <c:tx>
            <c:strRef>
              <c:f>RESULTS!$Q$7:$Q$8</c:f>
              <c:strCache>
                <c:ptCount val="1"/>
                <c:pt idx="0">
                  <c:v>Carbon dioxide (av ft^3/min)</c:v>
                </c:pt>
              </c:strCache>
            </c:strRef>
          </c:tx>
          <c:spPr>
            <a:ln w="25400">
              <a:solidFill>
                <a:srgbClr val="99CC00"/>
              </a:solidFill>
              <a:prstDash val="solid"/>
            </a:ln>
          </c:spPr>
          <c:marker>
            <c:symbol val="none"/>
          </c:marker>
          <c:cat>
            <c:numRef>
              <c:f>RESULTS!$A$9:$A$149</c:f>
              <c:numCache>
                <c:formatCode>0</c:formatCode>
                <c:ptCount val="141"/>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pt idx="76">
                  <c:v>2094</c:v>
                </c:pt>
                <c:pt idx="77">
                  <c:v>2095</c:v>
                </c:pt>
                <c:pt idx="78">
                  <c:v>2096</c:v>
                </c:pt>
                <c:pt idx="79">
                  <c:v>2097</c:v>
                </c:pt>
                <c:pt idx="80">
                  <c:v>2098</c:v>
                </c:pt>
                <c:pt idx="81">
                  <c:v>2099</c:v>
                </c:pt>
                <c:pt idx="82">
                  <c:v>2100</c:v>
                </c:pt>
                <c:pt idx="83">
                  <c:v>2101</c:v>
                </c:pt>
                <c:pt idx="84">
                  <c:v>2102</c:v>
                </c:pt>
                <c:pt idx="85">
                  <c:v>2103</c:v>
                </c:pt>
                <c:pt idx="86">
                  <c:v>2104</c:v>
                </c:pt>
                <c:pt idx="87">
                  <c:v>2105</c:v>
                </c:pt>
                <c:pt idx="88">
                  <c:v>2106</c:v>
                </c:pt>
                <c:pt idx="89">
                  <c:v>2107</c:v>
                </c:pt>
                <c:pt idx="90">
                  <c:v>2108</c:v>
                </c:pt>
                <c:pt idx="91">
                  <c:v>2109</c:v>
                </c:pt>
                <c:pt idx="92">
                  <c:v>2110</c:v>
                </c:pt>
                <c:pt idx="93">
                  <c:v>2111</c:v>
                </c:pt>
                <c:pt idx="94">
                  <c:v>2112</c:v>
                </c:pt>
                <c:pt idx="95">
                  <c:v>2113</c:v>
                </c:pt>
                <c:pt idx="96">
                  <c:v>2114</c:v>
                </c:pt>
                <c:pt idx="97">
                  <c:v>2115</c:v>
                </c:pt>
                <c:pt idx="98">
                  <c:v>2116</c:v>
                </c:pt>
                <c:pt idx="99">
                  <c:v>2117</c:v>
                </c:pt>
                <c:pt idx="100">
                  <c:v>2118</c:v>
                </c:pt>
                <c:pt idx="101">
                  <c:v>2119</c:v>
                </c:pt>
                <c:pt idx="102">
                  <c:v>2120</c:v>
                </c:pt>
                <c:pt idx="103">
                  <c:v>2121</c:v>
                </c:pt>
                <c:pt idx="104">
                  <c:v>2122</c:v>
                </c:pt>
                <c:pt idx="105">
                  <c:v>2123</c:v>
                </c:pt>
                <c:pt idx="106">
                  <c:v>2124</c:v>
                </c:pt>
                <c:pt idx="107">
                  <c:v>2125</c:v>
                </c:pt>
                <c:pt idx="108">
                  <c:v>2126</c:v>
                </c:pt>
                <c:pt idx="109">
                  <c:v>2127</c:v>
                </c:pt>
                <c:pt idx="110">
                  <c:v>2128</c:v>
                </c:pt>
                <c:pt idx="111">
                  <c:v>2129</c:v>
                </c:pt>
                <c:pt idx="112">
                  <c:v>2130</c:v>
                </c:pt>
                <c:pt idx="113">
                  <c:v>2131</c:v>
                </c:pt>
                <c:pt idx="114">
                  <c:v>2132</c:v>
                </c:pt>
                <c:pt idx="115">
                  <c:v>2133</c:v>
                </c:pt>
                <c:pt idx="116">
                  <c:v>2134</c:v>
                </c:pt>
                <c:pt idx="117">
                  <c:v>2135</c:v>
                </c:pt>
                <c:pt idx="118">
                  <c:v>2136</c:v>
                </c:pt>
                <c:pt idx="119">
                  <c:v>2137</c:v>
                </c:pt>
                <c:pt idx="120">
                  <c:v>2138</c:v>
                </c:pt>
                <c:pt idx="121">
                  <c:v>2139</c:v>
                </c:pt>
                <c:pt idx="122">
                  <c:v>2140</c:v>
                </c:pt>
                <c:pt idx="123">
                  <c:v>2141</c:v>
                </c:pt>
                <c:pt idx="124">
                  <c:v>2142</c:v>
                </c:pt>
                <c:pt idx="125">
                  <c:v>2143</c:v>
                </c:pt>
                <c:pt idx="126">
                  <c:v>2144</c:v>
                </c:pt>
                <c:pt idx="127">
                  <c:v>2145</c:v>
                </c:pt>
                <c:pt idx="128">
                  <c:v>2146</c:v>
                </c:pt>
                <c:pt idx="129">
                  <c:v>2147</c:v>
                </c:pt>
                <c:pt idx="130">
                  <c:v>2148</c:v>
                </c:pt>
                <c:pt idx="131">
                  <c:v>2149</c:v>
                </c:pt>
                <c:pt idx="132">
                  <c:v>2150</c:v>
                </c:pt>
                <c:pt idx="133">
                  <c:v>2151</c:v>
                </c:pt>
                <c:pt idx="134">
                  <c:v>2152</c:v>
                </c:pt>
                <c:pt idx="135">
                  <c:v>2153</c:v>
                </c:pt>
                <c:pt idx="136">
                  <c:v>2154</c:v>
                </c:pt>
                <c:pt idx="137">
                  <c:v>2155</c:v>
                </c:pt>
                <c:pt idx="138">
                  <c:v>2156</c:v>
                </c:pt>
                <c:pt idx="139">
                  <c:v>2157</c:v>
                </c:pt>
                <c:pt idx="140">
                  <c:v>2158</c:v>
                </c:pt>
              </c:numCache>
            </c:numRef>
          </c:cat>
          <c:val>
            <c:numRef>
              <c:f>RESULTS!$Q$9:$Q$149</c:f>
              <c:numCache>
                <c:formatCode>0.000E+00</c:formatCode>
                <c:ptCount val="141"/>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numCache>
            </c:numRef>
          </c:val>
          <c:smooth val="0"/>
        </c:ser>
        <c:dLbls>
          <c:showLegendKey val="0"/>
          <c:showVal val="0"/>
          <c:showCatName val="0"/>
          <c:showSerName val="0"/>
          <c:showPercent val="0"/>
          <c:showBubbleSize val="0"/>
        </c:dLbls>
        <c:marker val="1"/>
        <c:smooth val="0"/>
        <c:axId val="258246912"/>
        <c:axId val="227549568"/>
      </c:lineChart>
      <c:catAx>
        <c:axId val="25824691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Year</a:t>
                </a:r>
              </a:p>
            </c:rich>
          </c:tx>
          <c:layout>
            <c:manualLayout>
              <c:xMode val="edge"/>
              <c:yMode val="edge"/>
              <c:x val="0.55030855996992101"/>
              <c:y val="0.764891452922115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227549568"/>
        <c:crosses val="autoZero"/>
        <c:auto val="1"/>
        <c:lblAlgn val="ctr"/>
        <c:lblOffset val="100"/>
        <c:tickLblSkip val="10"/>
        <c:tickMarkSkip val="1"/>
        <c:noMultiLvlLbl val="0"/>
      </c:catAx>
      <c:valAx>
        <c:axId val="22754956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Emissions</a:t>
                </a:r>
              </a:p>
            </c:rich>
          </c:tx>
          <c:layout>
            <c:manualLayout>
              <c:xMode val="edge"/>
              <c:yMode val="edge"/>
              <c:x val="1.0266950745707482E-2"/>
              <c:y val="0.28526689432751018"/>
            </c:manualLayout>
          </c:layout>
          <c:overlay val="0"/>
          <c:spPr>
            <a:noFill/>
            <a:ln w="25400">
              <a:noFill/>
            </a:ln>
          </c:spPr>
        </c:title>
        <c:numFmt formatCode="0.000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8246912"/>
        <c:crosses val="autoZero"/>
        <c:crossBetween val="between"/>
      </c:valAx>
      <c:spPr>
        <a:noFill/>
        <a:ln w="12700">
          <a:solidFill>
            <a:srgbClr val="808080"/>
          </a:solidFill>
          <a:prstDash val="solid"/>
        </a:ln>
      </c:spPr>
    </c:plotArea>
    <c:legend>
      <c:legendPos val="r"/>
      <c:layout>
        <c:manualLayout>
          <c:xMode val="edge"/>
          <c:yMode val="edge"/>
          <c:x val="1.4373731043990475E-2"/>
          <c:y val="0.82445267261687005"/>
          <c:w val="0.97741371099135232"/>
          <c:h val="0.1661444549380004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5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Megagrams Per Year</a:t>
            </a:r>
          </a:p>
        </c:rich>
      </c:tx>
      <c:layout>
        <c:manualLayout>
          <c:xMode val="edge"/>
          <c:yMode val="edge"/>
          <c:x val="0.38505819163484728"/>
          <c:y val="3.4375000000000003E-2"/>
        </c:manualLayout>
      </c:layout>
      <c:overlay val="0"/>
      <c:spPr>
        <a:noFill/>
        <a:ln w="25400">
          <a:noFill/>
        </a:ln>
      </c:spPr>
    </c:title>
    <c:autoTitleDeleted val="0"/>
    <c:plotArea>
      <c:layout>
        <c:manualLayout>
          <c:layoutTarget val="inner"/>
          <c:xMode val="edge"/>
          <c:yMode val="edge"/>
          <c:x val="0.18390839003455392"/>
          <c:y val="0.19062499999999999"/>
          <c:w val="0.79118921962782052"/>
          <c:h val="0.48125000000000001"/>
        </c:manualLayout>
      </c:layout>
      <c:lineChart>
        <c:grouping val="standard"/>
        <c:varyColors val="0"/>
        <c:ser>
          <c:idx val="1"/>
          <c:order val="0"/>
          <c:tx>
            <c:strRef>
              <c:f>RESULTS!$F$7</c:f>
              <c:strCache>
                <c:ptCount val="1"/>
              </c:strCache>
            </c:strRef>
          </c:tx>
          <c:spPr>
            <a:ln w="25400">
              <a:solidFill>
                <a:srgbClr val="000000"/>
              </a:solidFill>
              <a:prstDash val="solid"/>
            </a:ln>
          </c:spPr>
          <c:marker>
            <c:symbol val="none"/>
          </c:marker>
          <c:cat>
            <c:numRef>
              <c:f>RESULTS!$A$9:$A$84</c:f>
              <c:numCache>
                <c:formatCode>0</c:formatCode>
                <c:ptCount val="7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numCache>
            </c:numRef>
          </c:cat>
          <c:val>
            <c:numRef>
              <c:f>RESULTS!$F$9:$F$84</c:f>
              <c:numCache>
                <c:formatCode>0.000E+00</c:formatCode>
                <c:ptCount val="76"/>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val>
          <c:smooth val="0"/>
        </c:ser>
        <c:ser>
          <c:idx val="2"/>
          <c:order val="1"/>
          <c:tx>
            <c:strRef>
              <c:f>RESULTS!$I$7</c:f>
              <c:strCache>
                <c:ptCount val="1"/>
              </c:strCache>
            </c:strRef>
          </c:tx>
          <c:spPr>
            <a:ln w="25400">
              <a:solidFill>
                <a:srgbClr val="00CCFF"/>
              </a:solidFill>
              <a:prstDash val="solid"/>
            </a:ln>
          </c:spPr>
          <c:marker>
            <c:symbol val="none"/>
          </c:marker>
          <c:cat>
            <c:numRef>
              <c:f>RESULTS!$A$9:$A$84</c:f>
              <c:numCache>
                <c:formatCode>0</c:formatCode>
                <c:ptCount val="7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numCache>
            </c:numRef>
          </c:cat>
          <c:val>
            <c:numRef>
              <c:f>RESULTS!$I$9:$I$84</c:f>
              <c:numCache>
                <c:formatCode>0.000E+00</c:formatCode>
                <c:ptCount val="76"/>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val>
          <c:smooth val="0"/>
        </c:ser>
        <c:ser>
          <c:idx val="3"/>
          <c:order val="2"/>
          <c:tx>
            <c:strRef>
              <c:f>RESULTS!$L$7</c:f>
              <c:strCache>
                <c:ptCount val="1"/>
                <c:pt idx="0">
                  <c:v>Carbon dioxide</c:v>
                </c:pt>
              </c:strCache>
            </c:strRef>
          </c:tx>
          <c:spPr>
            <a:ln w="25400">
              <a:solidFill>
                <a:srgbClr val="FF00FF"/>
              </a:solidFill>
              <a:prstDash val="solid"/>
            </a:ln>
          </c:spPr>
          <c:marker>
            <c:symbol val="none"/>
          </c:marker>
          <c:cat>
            <c:numRef>
              <c:f>RESULTS!$A$9:$A$84</c:f>
              <c:numCache>
                <c:formatCode>0</c:formatCode>
                <c:ptCount val="7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numCache>
            </c:numRef>
          </c:cat>
          <c:val>
            <c:numRef>
              <c:f>RESULTS!$L$9:$L$84</c:f>
              <c:numCache>
                <c:formatCode>0.000E+00</c:formatCode>
                <c:ptCount val="76"/>
                <c:pt idx="0" formatCode="#,##0">
                  <c:v>0</c:v>
                </c:pt>
                <c:pt idx="1">
                  <c:v>906.56662871066976</c:v>
                </c:pt>
                <c:pt idx="2">
                  <c:v>2278.1728000799362</c:v>
                </c:pt>
                <c:pt idx="3">
                  <c:v>3548.214853082291</c:v>
                </c:pt>
                <c:pt idx="4">
                  <c:v>4096.2497315889177</c:v>
                </c:pt>
                <c:pt idx="5">
                  <c:v>5028.0807427860918</c:v>
                </c:pt>
                <c:pt idx="6">
                  <c:v>5975.5198660121559</c:v>
                </c:pt>
                <c:pt idx="7">
                  <c:v>6940.4434795679235</c:v>
                </c:pt>
                <c:pt idx="8">
                  <c:v>7924.7694575561727</c:v>
                </c:pt>
                <c:pt idx="9">
                  <c:v>8930.4747210825662</c:v>
                </c:pt>
                <c:pt idx="10">
                  <c:v>9959.5833338522516</c:v>
                </c:pt>
                <c:pt idx="11">
                  <c:v>11014.174242819399</c:v>
                </c:pt>
                <c:pt idx="12">
                  <c:v>12096.393509890146</c:v>
                </c:pt>
                <c:pt idx="13">
                  <c:v>13208.446885739062</c:v>
                </c:pt>
                <c:pt idx="14">
                  <c:v>14352.616647653642</c:v>
                </c:pt>
                <c:pt idx="15">
                  <c:v>15531.258598882889</c:v>
                </c:pt>
                <c:pt idx="16">
                  <c:v>16746.803980211764</c:v>
                </c:pt>
                <c:pt idx="17">
                  <c:v>18001.775690287686</c:v>
                </c:pt>
                <c:pt idx="18">
                  <c:v>19298.784691664354</c:v>
                </c:pt>
                <c:pt idx="19">
                  <c:v>20640.540941472504</c:v>
                </c:pt>
                <c:pt idx="20">
                  <c:v>22029.849509787022</c:v>
                </c:pt>
                <c:pt idx="21">
                  <c:v>23469.626028469669</c:v>
                </c:pt>
                <c:pt idx="22">
                  <c:v>24962.901945116686</c:v>
                </c:pt>
                <c:pt idx="23">
                  <c:v>26512.829570996171</c:v>
                </c:pt>
                <c:pt idx="24">
                  <c:v>28122.686931053009</c:v>
                </c:pt>
                <c:pt idx="25">
                  <c:v>29795.88242374246</c:v>
                </c:pt>
                <c:pt idx="26">
                  <c:v>31535.968887286148</c:v>
                </c:pt>
                <c:pt idx="27">
                  <c:v>33346.652319813897</c:v>
                </c:pt>
                <c:pt idx="28">
                  <c:v>35231.785873877699</c:v>
                </c:pt>
                <c:pt idx="29">
                  <c:v>37195.397648424951</c:v>
                </c:pt>
                <c:pt idx="30">
                  <c:v>39241.679034483364</c:v>
                </c:pt>
                <c:pt idx="31">
                  <c:v>41375.011874367585</c:v>
                </c:pt>
                <c:pt idx="32">
                  <c:v>39752.674453694352</c:v>
                </c:pt>
                <c:pt idx="33">
                  <c:v>38193.949793169879</c:v>
                </c:pt>
                <c:pt idx="34">
                  <c:v>36696.343600791675</c:v>
                </c:pt>
                <c:pt idx="35">
                  <c:v>35257.45938714558</c:v>
                </c:pt>
                <c:pt idx="36">
                  <c:v>33874.994630511421</c:v>
                </c:pt>
                <c:pt idx="37">
                  <c:v>32546.737092337018</c:v>
                </c:pt>
                <c:pt idx="38">
                  <c:v>31270.561277184599</c:v>
                </c:pt>
                <c:pt idx="39">
                  <c:v>30044.425031484545</c:v>
                </c:pt>
                <c:pt idx="40">
                  <c:v>28866.366275654065</c:v>
                </c:pt>
                <c:pt idx="41">
                  <c:v>27734.499864351208</c:v>
                </c:pt>
                <c:pt idx="42">
                  <c:v>26647.014569840179</c:v>
                </c:pt>
                <c:pt idx="43">
                  <c:v>25602.170183640534</c:v>
                </c:pt>
                <c:pt idx="44">
                  <c:v>24598.29473182232</c:v>
                </c:pt>
                <c:pt idx="45">
                  <c:v>23633.781799491109</c:v>
                </c:pt>
                <c:pt idx="46">
                  <c:v>22707.087960181445</c:v>
                </c:pt>
                <c:pt idx="47">
                  <c:v>21816.730306045207</c:v>
                </c:pt>
                <c:pt idx="48">
                  <c:v>20961.284074882667</c:v>
                </c:pt>
                <c:pt idx="49">
                  <c:v>20139.380370219042</c:v>
                </c:pt>
                <c:pt idx="50">
                  <c:v>19349.703970778057</c:v>
                </c:pt>
                <c:pt idx="51">
                  <c:v>18590.991225847334</c:v>
                </c:pt>
                <c:pt idx="52">
                  <c:v>17862.028033167619</c:v>
                </c:pt>
                <c:pt idx="53">
                  <c:v>17161.647896110193</c:v>
                </c:pt>
                <c:pt idx="54">
                  <c:v>16488.730057033361</c:v>
                </c:pt>
                <c:pt idx="55">
                  <c:v>15842.197703831132</c:v>
                </c:pt>
                <c:pt idx="56">
                  <c:v>15221.01624680414</c:v>
                </c:pt>
                <c:pt idx="57">
                  <c:v>14624.191663095346</c:v>
                </c:pt>
                <c:pt idx="58">
                  <c:v>14050.76890604146</c:v>
                </c:pt>
                <c:pt idx="59">
                  <c:v>13499.830376894477</c:v>
                </c:pt>
                <c:pt idx="60">
                  <c:v>12970.494456467937</c:v>
                </c:pt>
                <c:pt idx="61">
                  <c:v>12461.91409435815</c:v>
                </c:pt>
                <c:pt idx="62">
                  <c:v>11973.2754534828</c:v>
                </c:pt>
                <c:pt idx="63">
                  <c:v>11503.796607768014</c:v>
                </c:pt>
                <c:pt idx="64">
                  <c:v>11052.726290899829</c:v>
                </c:pt>
                <c:pt idx="65">
                  <c:v>10619.342694137784</c:v>
                </c:pt>
                <c:pt idx="66">
                  <c:v>10202.952311266963</c:v>
                </c:pt>
                <c:pt idx="67">
                  <c:v>9802.8888288400867</c:v>
                </c:pt>
                <c:pt idx="68">
                  <c:v>9418.5120599338406</c:v>
                </c:pt>
                <c:pt idx="69">
                  <c:v>9049.2069197132278</c:v>
                </c:pt>
                <c:pt idx="70">
                  <c:v>8694.3824411645928</c:v>
                </c:pt>
                <c:pt idx="71">
                  <c:v>8353.4708294223365</c:v>
                </c:pt>
                <c:pt idx="72">
                  <c:v>8025.9265531759793</c:v>
                </c:pt>
                <c:pt idx="73">
                  <c:v>7711.2254717036885</c:v>
                </c:pt>
                <c:pt idx="74">
                  <c:v>7408.8639961352947</c:v>
                </c:pt>
                <c:pt idx="75">
                  <c:v>7118.358283602669</c:v>
                </c:pt>
              </c:numCache>
            </c:numRef>
          </c:val>
          <c:smooth val="0"/>
        </c:ser>
        <c:ser>
          <c:idx val="4"/>
          <c:order val="3"/>
          <c:tx>
            <c:strRef>
              <c:f>RESULTS!$O$7</c:f>
              <c:strCache>
                <c:ptCount val="1"/>
              </c:strCache>
            </c:strRef>
          </c:tx>
          <c:spPr>
            <a:ln w="25400">
              <a:solidFill>
                <a:srgbClr val="99CC00"/>
              </a:solidFill>
              <a:prstDash val="solid"/>
            </a:ln>
          </c:spPr>
          <c:marker>
            <c:symbol val="none"/>
          </c:marker>
          <c:cat>
            <c:numRef>
              <c:f>RESULTS!$A$9:$A$84</c:f>
              <c:numCache>
                <c:formatCode>0</c:formatCode>
                <c:ptCount val="7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numCache>
            </c:numRef>
          </c:cat>
          <c:val>
            <c:numRef>
              <c:f>RESULTS!$O$9:$O$84</c:f>
              <c:numCache>
                <c:formatCode>0.000E+00</c:formatCode>
                <c:ptCount val="76"/>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val>
          <c:smooth val="0"/>
        </c:ser>
        <c:dLbls>
          <c:showLegendKey val="0"/>
          <c:showVal val="0"/>
          <c:showCatName val="0"/>
          <c:showSerName val="0"/>
          <c:showPercent val="0"/>
          <c:showBubbleSize val="0"/>
        </c:dLbls>
        <c:marker val="1"/>
        <c:smooth val="0"/>
        <c:axId val="255425920"/>
        <c:axId val="255432192"/>
      </c:lineChart>
      <c:catAx>
        <c:axId val="25542592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Year</a:t>
                </a:r>
              </a:p>
            </c:rich>
          </c:tx>
          <c:layout>
            <c:manualLayout>
              <c:xMode val="edge"/>
              <c:yMode val="edge"/>
              <c:x val="0.55172517010366173"/>
              <c:y val="0.7687500000000000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255432192"/>
        <c:crosses val="autoZero"/>
        <c:auto val="1"/>
        <c:lblAlgn val="ctr"/>
        <c:lblOffset val="100"/>
        <c:tickLblSkip val="5"/>
        <c:tickMarkSkip val="1"/>
        <c:noMultiLvlLbl val="0"/>
      </c:catAx>
      <c:valAx>
        <c:axId val="25543219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Emissions</a:t>
                </a:r>
              </a:p>
            </c:rich>
          </c:tx>
          <c:layout>
            <c:manualLayout>
              <c:xMode val="edge"/>
              <c:yMode val="edge"/>
              <c:x val="2.6819973546705778E-2"/>
              <c:y val="0.33437499999999998"/>
            </c:manualLayout>
          </c:layout>
          <c:overlay val="0"/>
          <c:spPr>
            <a:noFill/>
            <a:ln w="25400">
              <a:noFill/>
            </a:ln>
          </c:spPr>
        </c:title>
        <c:numFmt formatCode="0.000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5425920"/>
        <c:crosses val="autoZero"/>
        <c:crossBetween val="between"/>
      </c:valAx>
      <c:spPr>
        <a:noFill/>
        <a:ln w="12700">
          <a:solidFill>
            <a:srgbClr val="808080"/>
          </a:solidFill>
          <a:prstDash val="solid"/>
        </a:ln>
      </c:spPr>
    </c:plotArea>
    <c:legend>
      <c:legendPos val="b"/>
      <c:layout>
        <c:manualLayout>
          <c:xMode val="edge"/>
          <c:yMode val="edge"/>
          <c:x val="5.9387084281991367E-2"/>
          <c:y val="0.83750000000000002"/>
          <c:w val="0.91187910058799648"/>
          <c:h val="0.15312500000000001"/>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Cubic Meters Per Year</a:t>
            </a:r>
          </a:p>
        </c:rich>
      </c:tx>
      <c:layout>
        <c:manualLayout>
          <c:xMode val="edge"/>
          <c:yMode val="edge"/>
          <c:x val="0.37739534205007419"/>
          <c:y val="3.4482811402226504E-2"/>
        </c:manualLayout>
      </c:layout>
      <c:overlay val="0"/>
      <c:spPr>
        <a:noFill/>
        <a:ln w="25400">
          <a:noFill/>
        </a:ln>
      </c:spPr>
    </c:title>
    <c:autoTitleDeleted val="0"/>
    <c:plotArea>
      <c:layout>
        <c:manualLayout>
          <c:layoutTarget val="inner"/>
          <c:xMode val="edge"/>
          <c:yMode val="edge"/>
          <c:x val="0.18199267763836063"/>
          <c:y val="0.19435766426709483"/>
          <c:w val="0.79310493202401378"/>
          <c:h val="0.47022015548490687"/>
        </c:manualLayout>
      </c:layout>
      <c:lineChart>
        <c:grouping val="standard"/>
        <c:varyColors val="0"/>
        <c:ser>
          <c:idx val="1"/>
          <c:order val="0"/>
          <c:tx>
            <c:strRef>
              <c:f>RESULTS!$F$7</c:f>
              <c:strCache>
                <c:ptCount val="1"/>
              </c:strCache>
            </c:strRef>
          </c:tx>
          <c:spPr>
            <a:ln w="25400">
              <a:solidFill>
                <a:srgbClr val="000000"/>
              </a:solidFill>
              <a:prstDash val="solid"/>
            </a:ln>
          </c:spPr>
          <c:marker>
            <c:symbol val="none"/>
          </c:marker>
          <c:cat>
            <c:numRef>
              <c:f>RESULTS!$A$9:$A$84</c:f>
              <c:numCache>
                <c:formatCode>0</c:formatCode>
                <c:ptCount val="7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numCache>
            </c:numRef>
          </c:cat>
          <c:val>
            <c:numRef>
              <c:f>RESULTS!$G$9:$G$84</c:f>
              <c:numCache>
                <c:formatCode>0.000E+00</c:formatCode>
                <c:ptCount val="76"/>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val>
          <c:smooth val="0"/>
        </c:ser>
        <c:ser>
          <c:idx val="2"/>
          <c:order val="1"/>
          <c:tx>
            <c:strRef>
              <c:f>RESULTS!$I$7</c:f>
              <c:strCache>
                <c:ptCount val="1"/>
              </c:strCache>
            </c:strRef>
          </c:tx>
          <c:spPr>
            <a:ln w="25400">
              <a:solidFill>
                <a:srgbClr val="00CCFF"/>
              </a:solidFill>
              <a:prstDash val="solid"/>
            </a:ln>
          </c:spPr>
          <c:marker>
            <c:symbol val="none"/>
          </c:marker>
          <c:cat>
            <c:numRef>
              <c:f>RESULTS!$A$9:$A$84</c:f>
              <c:numCache>
                <c:formatCode>0</c:formatCode>
                <c:ptCount val="7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numCache>
            </c:numRef>
          </c:cat>
          <c:val>
            <c:numRef>
              <c:f>RESULTS!$J$9:$J$84</c:f>
              <c:numCache>
                <c:formatCode>0.000E+00</c:formatCode>
                <c:ptCount val="76"/>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val>
          <c:smooth val="0"/>
        </c:ser>
        <c:ser>
          <c:idx val="3"/>
          <c:order val="2"/>
          <c:tx>
            <c:strRef>
              <c:f>RESULTS!$L$7</c:f>
              <c:strCache>
                <c:ptCount val="1"/>
                <c:pt idx="0">
                  <c:v>Carbon dioxide</c:v>
                </c:pt>
              </c:strCache>
            </c:strRef>
          </c:tx>
          <c:spPr>
            <a:ln w="25400">
              <a:solidFill>
                <a:srgbClr val="FF00FF"/>
              </a:solidFill>
              <a:prstDash val="solid"/>
            </a:ln>
          </c:spPr>
          <c:marker>
            <c:symbol val="none"/>
          </c:marker>
          <c:cat>
            <c:numRef>
              <c:f>RESULTS!$A$9:$A$84</c:f>
              <c:numCache>
                <c:formatCode>0</c:formatCode>
                <c:ptCount val="7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numCache>
            </c:numRef>
          </c:cat>
          <c:val>
            <c:numRef>
              <c:f>RESULTS!$M$9:$M$84</c:f>
              <c:numCache>
                <c:formatCode>0.000E+00</c:formatCode>
                <c:ptCount val="76"/>
                <c:pt idx="0" formatCode="#,##0">
                  <c:v>0</c:v>
                </c:pt>
                <c:pt idx="1">
                  <c:v>495256.61160523619</c:v>
                </c:pt>
                <c:pt idx="2">
                  <c:v>1244563.9469692991</c:v>
                </c:pt>
                <c:pt idx="3">
                  <c:v>1938386.8871106883</c:v>
                </c:pt>
                <c:pt idx="4">
                  <c:v>2237777.8953112583</c:v>
                </c:pt>
                <c:pt idx="5">
                  <c:v>2746836.4185116305</c:v>
                </c:pt>
                <c:pt idx="6">
                  <c:v>3264421.6406133031</c:v>
                </c:pt>
                <c:pt idx="7">
                  <c:v>3791558.6255552294</c:v>
                </c:pt>
                <c:pt idx="8">
                  <c:v>4329295.1063992139</c:v>
                </c:pt>
                <c:pt idx="9">
                  <c:v>4878711.0735366885</c:v>
                </c:pt>
                <c:pt idx="10">
                  <c:v>5440912.2713228269</c:v>
                </c:pt>
                <c:pt idx="11">
                  <c:v>6017034.426787083</c:v>
                </c:pt>
                <c:pt idx="12">
                  <c:v>6608249.9318025643</c:v>
                </c:pt>
                <c:pt idx="13">
                  <c:v>7215763.7861679997</c:v>
                </c:pt>
                <c:pt idx="14">
                  <c:v>7840822.7961084964</c:v>
                </c:pt>
                <c:pt idx="15">
                  <c:v>8484713.9350221027</c:v>
                </c:pt>
                <c:pt idx="16">
                  <c:v>9148765.3877713773</c:v>
                </c:pt>
                <c:pt idx="17">
                  <c:v>9834355.4118345641</c:v>
                </c:pt>
                <c:pt idx="18">
                  <c:v>10542910.373930248</c:v>
                </c:pt>
                <c:pt idx="19">
                  <c:v>11275910.721433897</c:v>
                </c:pt>
                <c:pt idx="20">
                  <c:v>12034888.861844981</c:v>
                </c:pt>
                <c:pt idx="21">
                  <c:v>12821437.602477174</c:v>
                </c:pt>
                <c:pt idx="22">
                  <c:v>13637213.020685662</c:v>
                </c:pt>
                <c:pt idx="23">
                  <c:v>14483937.221551217</c:v>
                </c:pt>
                <c:pt idx="24">
                  <c:v>15363400.987433951</c:v>
                </c:pt>
                <c:pt idx="25">
                  <c:v>16277466.32363661</c:v>
                </c:pt>
                <c:pt idx="26">
                  <c:v>17228074.142788783</c:v>
                </c:pt>
                <c:pt idx="27">
                  <c:v>18217249.028653268</c:v>
                </c:pt>
                <c:pt idx="28">
                  <c:v>19247095.955333982</c:v>
                </c:pt>
                <c:pt idx="29">
                  <c:v>20319815.470008273</c:v>
                </c:pt>
                <c:pt idx="30">
                  <c:v>21437697.326184109</c:v>
                </c:pt>
                <c:pt idx="31">
                  <c:v>22603135.32075255</c:v>
                </c:pt>
                <c:pt idx="32">
                  <c:v>21716853.707909912</c:v>
                </c:pt>
                <c:pt idx="33">
                  <c:v>20865323.694175813</c:v>
                </c:pt>
                <c:pt idx="34">
                  <c:v>20047182.649858858</c:v>
                </c:pt>
                <c:pt idx="35">
                  <c:v>19261121.37474208</c:v>
                </c:pt>
                <c:pt idx="36">
                  <c:v>18505882.00308327</c:v>
                </c:pt>
                <c:pt idx="37">
                  <c:v>17780255.99076144</c:v>
                </c:pt>
                <c:pt idx="38">
                  <c:v>17083082.181348421</c:v>
                </c:pt>
                <c:pt idx="39">
                  <c:v>16413244.948010795</c:v>
                </c:pt>
                <c:pt idx="40">
                  <c:v>15769672.408268997</c:v>
                </c:pt>
                <c:pt idx="41">
                  <c:v>15151334.708756635</c:v>
                </c:pt>
                <c:pt idx="42">
                  <c:v>14557242.377235416</c:v>
                </c:pt>
                <c:pt idx="43">
                  <c:v>13986444.73922845</c:v>
                </c:pt>
                <c:pt idx="44">
                  <c:v>13438028.396738263</c:v>
                </c:pt>
                <c:pt idx="45">
                  <c:v>12911115.766615147</c:v>
                </c:pt>
                <c:pt idx="46">
                  <c:v>12404863.676236885</c:v>
                </c:pt>
                <c:pt idx="47">
                  <c:v>11918462.014252665</c:v>
                </c:pt>
                <c:pt idx="48">
                  <c:v>11451132.434232084</c:v>
                </c:pt>
                <c:pt idx="49">
                  <c:v>11002127.109144824</c:v>
                </c:pt>
                <c:pt idx="50">
                  <c:v>10570727.534677824</c:v>
                </c:pt>
                <c:pt idx="51">
                  <c:v>10156243.379475128</c:v>
                </c:pt>
                <c:pt idx="52">
                  <c:v>9758011.380460402</c:v>
                </c:pt>
                <c:pt idx="53">
                  <c:v>9375394.2814745381</c:v>
                </c:pt>
                <c:pt idx="54">
                  <c:v>9007779.8135298211</c:v>
                </c:pt>
                <c:pt idx="55">
                  <c:v>8654579.7150489334</c:v>
                </c:pt>
                <c:pt idx="56">
                  <c:v>8315228.7905209381</c:v>
                </c:pt>
                <c:pt idx="57">
                  <c:v>7989184.0060678618</c:v>
                </c:pt>
                <c:pt idx="58">
                  <c:v>7675923.6204746524</c:v>
                </c:pt>
                <c:pt idx="59">
                  <c:v>7374946.3502919124</c:v>
                </c:pt>
                <c:pt idx="60">
                  <c:v>7085770.5676754387</c:v>
                </c:pt>
                <c:pt idx="61">
                  <c:v>6807933.529678924</c:v>
                </c:pt>
                <c:pt idx="62">
                  <c:v>6540990.6377665093</c:v>
                </c:pt>
                <c:pt idx="63">
                  <c:v>6284514.726360281</c:v>
                </c:pt>
                <c:pt idx="64">
                  <c:v>6038095.3792842096</c:v>
                </c:pt>
                <c:pt idx="65">
                  <c:v>5801338.2730107103</c:v>
                </c:pt>
                <c:pt idx="66">
                  <c:v>5573864.5456588678</c:v>
                </c:pt>
                <c:pt idx="67">
                  <c:v>5355310.1907346034</c:v>
                </c:pt>
                <c:pt idx="68">
                  <c:v>5145325.4746426204</c:v>
                </c:pt>
                <c:pt idx="69">
                  <c:v>4943574.3770380449</c:v>
                </c:pt>
                <c:pt idx="70">
                  <c:v>4749734.0531221787</c:v>
                </c:pt>
                <c:pt idx="71">
                  <c:v>4563494.3170219483</c:v>
                </c:pt>
                <c:pt idx="72">
                  <c:v>4384557.145426332</c:v>
                </c:pt>
                <c:pt idx="73">
                  <c:v>4212636.2006854778</c:v>
                </c:pt>
                <c:pt idx="74">
                  <c:v>4047456.3726093732</c:v>
                </c:pt>
                <c:pt idx="75">
                  <c:v>3888753.3382328553</c:v>
                </c:pt>
              </c:numCache>
            </c:numRef>
          </c:val>
          <c:smooth val="0"/>
        </c:ser>
        <c:ser>
          <c:idx val="4"/>
          <c:order val="3"/>
          <c:tx>
            <c:strRef>
              <c:f>RESULTS!$O$7</c:f>
              <c:strCache>
                <c:ptCount val="1"/>
              </c:strCache>
            </c:strRef>
          </c:tx>
          <c:spPr>
            <a:ln w="25400">
              <a:solidFill>
                <a:srgbClr val="99CC00"/>
              </a:solidFill>
              <a:prstDash val="solid"/>
            </a:ln>
          </c:spPr>
          <c:marker>
            <c:symbol val="none"/>
          </c:marker>
          <c:cat>
            <c:numRef>
              <c:f>RESULTS!$A$9:$A$84</c:f>
              <c:numCache>
                <c:formatCode>0</c:formatCode>
                <c:ptCount val="7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numCache>
            </c:numRef>
          </c:cat>
          <c:val>
            <c:numRef>
              <c:f>RESULTS!$P$9:$P$84</c:f>
              <c:numCache>
                <c:formatCode>0.000E+00</c:formatCode>
                <c:ptCount val="76"/>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val>
          <c:smooth val="0"/>
        </c:ser>
        <c:dLbls>
          <c:showLegendKey val="0"/>
          <c:showVal val="0"/>
          <c:showCatName val="0"/>
          <c:showSerName val="0"/>
          <c:showPercent val="0"/>
          <c:showBubbleSize val="0"/>
        </c:dLbls>
        <c:marker val="1"/>
        <c:smooth val="0"/>
        <c:axId val="255558016"/>
        <c:axId val="255559936"/>
      </c:lineChart>
      <c:catAx>
        <c:axId val="25555801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Year</a:t>
                </a:r>
              </a:p>
            </c:rich>
          </c:tx>
          <c:layout>
            <c:manualLayout>
              <c:xMode val="edge"/>
              <c:yMode val="edge"/>
              <c:x val="0.55172517010366173"/>
              <c:y val="0.761756651885549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255559936"/>
        <c:crosses val="autoZero"/>
        <c:auto val="1"/>
        <c:lblAlgn val="ctr"/>
        <c:lblOffset val="100"/>
        <c:tickLblSkip val="5"/>
        <c:tickMarkSkip val="1"/>
        <c:noMultiLvlLbl val="0"/>
      </c:catAx>
      <c:valAx>
        <c:axId val="25555993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Emissions</a:t>
                </a:r>
              </a:p>
            </c:rich>
          </c:tx>
          <c:layout>
            <c:manualLayout>
              <c:xMode val="edge"/>
              <c:yMode val="edge"/>
              <c:x val="2.4904261150512509E-2"/>
              <c:y val="0.33228890987600085"/>
            </c:manualLayout>
          </c:layout>
          <c:overlay val="0"/>
          <c:spPr>
            <a:noFill/>
            <a:ln w="25400">
              <a:noFill/>
            </a:ln>
          </c:spPr>
        </c:title>
        <c:numFmt formatCode="0.000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5558016"/>
        <c:crosses val="autoZero"/>
        <c:crossBetween val="between"/>
      </c:valAx>
      <c:spPr>
        <a:noFill/>
        <a:ln w="12700">
          <a:solidFill>
            <a:srgbClr val="808080"/>
          </a:solidFill>
          <a:prstDash val="solid"/>
        </a:ln>
      </c:spPr>
    </c:plotArea>
    <c:legend>
      <c:legendPos val="b"/>
      <c:layout>
        <c:manualLayout>
          <c:xMode val="edge"/>
          <c:yMode val="edge"/>
          <c:x val="8.0459920640117338E-2"/>
          <c:y val="0.83699187676313425"/>
          <c:w val="0.91187910058799648"/>
          <c:h val="0.1536052507917362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sz="800" b="1" i="0" u="none" strike="noStrike" baseline="0">
                <a:solidFill>
                  <a:srgbClr val="000000"/>
                </a:solidFill>
                <a:latin typeface="Arial"/>
                <a:cs typeface="Arial"/>
              </a:rPr>
              <a:t>User-specified Unit </a:t>
            </a:r>
            <a:r>
              <a:rPr lang="en-US" sz="800" b="0" i="0" u="none" strike="noStrike" baseline="0">
                <a:solidFill>
                  <a:srgbClr val="000000"/>
                </a:solidFill>
                <a:latin typeface="Arial"/>
                <a:cs typeface="Arial"/>
              </a:rPr>
              <a:t>(units shown in legend below)</a:t>
            </a:r>
          </a:p>
        </c:rich>
      </c:tx>
      <c:layout>
        <c:manualLayout>
          <c:xMode val="edge"/>
          <c:yMode val="edge"/>
          <c:x val="0.25430234067125196"/>
          <c:y val="3.4375000000000003E-2"/>
        </c:manualLayout>
      </c:layout>
      <c:overlay val="0"/>
      <c:spPr>
        <a:noFill/>
        <a:ln w="25400">
          <a:noFill/>
        </a:ln>
      </c:spPr>
    </c:title>
    <c:autoTitleDeleted val="0"/>
    <c:plotArea>
      <c:layout>
        <c:manualLayout>
          <c:layoutTarget val="inner"/>
          <c:xMode val="edge"/>
          <c:yMode val="edge"/>
          <c:x val="0.18355657672511422"/>
          <c:y val="0.15625"/>
          <c:w val="0.79158773712705499"/>
          <c:h val="0.48125000000000001"/>
        </c:manualLayout>
      </c:layout>
      <c:lineChart>
        <c:grouping val="standard"/>
        <c:varyColors val="0"/>
        <c:ser>
          <c:idx val="1"/>
          <c:order val="0"/>
          <c:tx>
            <c:strRef>
              <c:f>RESULTS!$H$7:$H$8</c:f>
              <c:strCache>
                <c:ptCount val="1"/>
                <c:pt idx="0">
                  <c:v>Waste-In-Place (av ft^3/min)</c:v>
                </c:pt>
              </c:strCache>
            </c:strRef>
          </c:tx>
          <c:spPr>
            <a:ln w="25400">
              <a:solidFill>
                <a:srgbClr val="000000"/>
              </a:solidFill>
              <a:prstDash val="solid"/>
            </a:ln>
          </c:spPr>
          <c:marker>
            <c:symbol val="none"/>
          </c:marker>
          <c:cat>
            <c:numRef>
              <c:f>RESULTS!$A$9:$A$84</c:f>
              <c:numCache>
                <c:formatCode>0</c:formatCode>
                <c:ptCount val="7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numCache>
            </c:numRef>
          </c:cat>
          <c:val>
            <c:numRef>
              <c:f>RESULTS!$H$9:$H$84</c:f>
              <c:numCache>
                <c:formatCode>0.000E+00</c:formatCode>
                <c:ptCount val="76"/>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val>
          <c:smooth val="0"/>
        </c:ser>
        <c:ser>
          <c:idx val="2"/>
          <c:order val="1"/>
          <c:tx>
            <c:strRef>
              <c:f>RESULTS!$K$7:$K$8</c:f>
              <c:strCache>
                <c:ptCount val="1"/>
                <c:pt idx="0">
                  <c:v>Waste-In-Place (av ft^3/min)</c:v>
                </c:pt>
              </c:strCache>
            </c:strRef>
          </c:tx>
          <c:spPr>
            <a:ln w="25400">
              <a:solidFill>
                <a:srgbClr val="00CCFF"/>
              </a:solidFill>
              <a:prstDash val="solid"/>
            </a:ln>
          </c:spPr>
          <c:marker>
            <c:symbol val="none"/>
          </c:marker>
          <c:cat>
            <c:numRef>
              <c:f>RESULTS!$A$9:$A$84</c:f>
              <c:numCache>
                <c:formatCode>0</c:formatCode>
                <c:ptCount val="7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numCache>
            </c:numRef>
          </c:cat>
          <c:val>
            <c:numRef>
              <c:f>RESULTS!$K$9:$K$84</c:f>
              <c:numCache>
                <c:formatCode>0.000E+00</c:formatCode>
                <c:ptCount val="76"/>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val>
          <c:smooth val="0"/>
        </c:ser>
        <c:ser>
          <c:idx val="3"/>
          <c:order val="2"/>
          <c:tx>
            <c:strRef>
              <c:f>RESULTS!$N$7:$N$8</c:f>
              <c:strCache>
                <c:ptCount val="1"/>
                <c:pt idx="0">
                  <c:v>Carbon dioxide (av ft^3/min)</c:v>
                </c:pt>
              </c:strCache>
            </c:strRef>
          </c:tx>
          <c:spPr>
            <a:ln w="25400">
              <a:solidFill>
                <a:srgbClr val="FF00FF"/>
              </a:solidFill>
              <a:prstDash val="solid"/>
            </a:ln>
          </c:spPr>
          <c:marker>
            <c:symbol val="none"/>
          </c:marker>
          <c:cat>
            <c:numRef>
              <c:f>RESULTS!$A$9:$A$84</c:f>
              <c:numCache>
                <c:formatCode>0</c:formatCode>
                <c:ptCount val="7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numCache>
            </c:numRef>
          </c:cat>
          <c:val>
            <c:numRef>
              <c:f>RESULTS!$N$9:$N$84</c:f>
              <c:numCache>
                <c:formatCode>0.000E+00</c:formatCode>
                <c:ptCount val="76"/>
                <c:pt idx="0" formatCode="#,##0">
                  <c:v>0</c:v>
                </c:pt>
                <c:pt idx="1">
                  <c:v>33.276231428536747</c:v>
                </c:pt>
                <c:pt idx="2">
                  <c:v>83.622100051789957</c:v>
                </c:pt>
                <c:pt idx="3">
                  <c:v>130.23997891612242</c:v>
                </c:pt>
                <c:pt idx="4">
                  <c:v>150.35602430159264</c:v>
                </c:pt>
                <c:pt idx="5">
                  <c:v>184.55960448960849</c:v>
                </c:pt>
                <c:pt idx="6">
                  <c:v>219.33609253854414</c:v>
                </c:pt>
                <c:pt idx="7">
                  <c:v>254.75436236964026</c:v>
                </c:pt>
                <c:pt idx="8">
                  <c:v>290.88481103974169</c:v>
                </c:pt>
                <c:pt idx="9">
                  <c:v>327.80000297174308</c:v>
                </c:pt>
                <c:pt idx="10">
                  <c:v>365.5742329942268</c:v>
                </c:pt>
                <c:pt idx="11">
                  <c:v>404.28381046800956</c:v>
                </c:pt>
                <c:pt idx="12">
                  <c:v>444.00750826028832</c:v>
                </c:pt>
                <c:pt idx="13">
                  <c:v>484.82629016081222</c:v>
                </c:pt>
                <c:pt idx="14">
                  <c:v>526.82392892802795</c:v>
                </c:pt>
                <c:pt idx="15">
                  <c:v>570.08689614784157</c:v>
                </c:pt>
                <c:pt idx="16">
                  <c:v>614.70443239944098</c:v>
                </c:pt>
                <c:pt idx="17">
                  <c:v>660.76914263496496</c:v>
                </c:pt>
                <c:pt idx="18">
                  <c:v>708.37686426055302</c:v>
                </c:pt>
                <c:pt idx="19">
                  <c:v>757.62706835509516</c:v>
                </c:pt>
                <c:pt idx="20">
                  <c:v>808.6227171918863</c:v>
                </c:pt>
                <c:pt idx="21">
                  <c:v>861.47083130038311</c:v>
                </c:pt>
                <c:pt idx="22">
                  <c:v>916.2826823164271</c:v>
                </c:pt>
                <c:pt idx="23">
                  <c:v>973.17397827070249</c:v>
                </c:pt>
                <c:pt idx="24">
                  <c:v>1032.2650416119293</c:v>
                </c:pt>
                <c:pt idx="25">
                  <c:v>1093.6809802496705</c:v>
                </c:pt>
                <c:pt idx="26">
                  <c:v>1157.5522038671725</c:v>
                </c:pt>
                <c:pt idx="27">
                  <c:v>1224.0147440009325</c:v>
                </c:pt>
                <c:pt idx="28">
                  <c:v>1293.2100336046794</c:v>
                </c:pt>
                <c:pt idx="29">
                  <c:v>1365.2859271753084</c:v>
                </c:pt>
                <c:pt idx="30">
                  <c:v>1440.3962729722066</c:v>
                </c:pt>
                <c:pt idx="31">
                  <c:v>1518.701909917002</c:v>
                </c:pt>
                <c:pt idx="32">
                  <c:v>1459.1527562687186</c:v>
                </c:pt>
                <c:pt idx="33">
                  <c:v>1401.9385583329886</c:v>
                </c:pt>
                <c:pt idx="34">
                  <c:v>1346.9677611867685</c:v>
                </c:pt>
                <c:pt idx="35">
                  <c:v>1294.152399826896</c:v>
                </c:pt>
                <c:pt idx="36">
                  <c:v>1243.4079584073168</c:v>
                </c:pt>
                <c:pt idx="37">
                  <c:v>1194.6532349957006</c:v>
                </c:pt>
                <c:pt idx="38">
                  <c:v>1147.8102116330278</c:v>
                </c:pt>
                <c:pt idx="39">
                  <c:v>1102.8039294882062</c:v>
                </c:pt>
                <c:pt idx="40">
                  <c:v>1059.5623689079521</c:v>
                </c:pt>
                <c:pt idx="41">
                  <c:v>1018.0163341699782</c:v>
                </c:pt>
                <c:pt idx="42">
                  <c:v>978.09934275507749</c:v>
                </c:pt>
                <c:pt idx="43">
                  <c:v>939.74751896090697</c:v>
                </c:pt>
                <c:pt idx="44">
                  <c:v>902.89949168723695</c:v>
                </c:pt>
                <c:pt idx="45">
                  <c:v>867.49629622909788</c:v>
                </c:pt>
                <c:pt idx="46">
                  <c:v>833.4812799206727</c:v>
                </c:pt>
                <c:pt idx="47">
                  <c:v>800.8000114789437</c:v>
                </c:pt>
                <c:pt idx="48">
                  <c:v>769.40019390202815</c:v>
                </c:pt>
                <c:pt idx="49">
                  <c:v>739.23158078281858</c:v>
                </c:pt>
                <c:pt idx="50">
                  <c:v>710.24589590400933</c:v>
                </c:pt>
                <c:pt idx="51">
                  <c:v>682.39675598585256</c:v>
                </c:pt>
                <c:pt idx="52">
                  <c:v>655.63959646301191</c:v>
                </c:pt>
                <c:pt idx="53">
                  <c:v>629.93160017175285</c:v>
                </c:pt>
                <c:pt idx="54">
                  <c:v>605.23162883334408</c:v>
                </c:pt>
                <c:pt idx="55">
                  <c:v>581.50015722403555</c:v>
                </c:pt>
                <c:pt idx="56">
                  <c:v>558.69920992626885</c:v>
                </c:pt>
                <c:pt idx="57">
                  <c:v>536.79230055990593</c:v>
                </c:pt>
                <c:pt idx="58">
                  <c:v>515.74437339623739</c:v>
                </c:pt>
                <c:pt idx="59">
                  <c:v>495.52174726133728</c:v>
                </c:pt>
                <c:pt idx="60">
                  <c:v>476.09206163899944</c:v>
                </c:pt>
                <c:pt idx="61">
                  <c:v>457.4242248870076</c:v>
                </c:pt>
                <c:pt idx="62">
                  <c:v>439.48836448387419</c:v>
                </c:pt>
                <c:pt idx="63">
                  <c:v>422.25577922643328</c:v>
                </c:pt>
                <c:pt idx="64">
                  <c:v>405.69889330179194</c:v>
                </c:pt>
                <c:pt idx="65">
                  <c:v>389.79121216014693</c:v>
                </c:pt>
                <c:pt idx="66">
                  <c:v>374.50728011785179</c:v>
                </c:pt>
                <c:pt idx="67">
                  <c:v>359.82263962289289</c:v>
                </c:pt>
                <c:pt idx="68">
                  <c:v>345.71379211758779</c:v>
                </c:pt>
                <c:pt idx="69">
                  <c:v>332.15816043588006</c:v>
                </c:pt>
                <c:pt idx="70">
                  <c:v>319.13405267505658</c:v>
                </c:pt>
                <c:pt idx="71">
                  <c:v>306.6206274840755</c:v>
                </c:pt>
                <c:pt idx="72">
                  <c:v>294.59786071295832</c:v>
                </c:pt>
                <c:pt idx="73">
                  <c:v>283.04651336987757</c:v>
                </c:pt>
                <c:pt idx="74">
                  <c:v>271.94810083466513</c:v>
                </c:pt>
                <c:pt idx="75">
                  <c:v>261.28486327947735</c:v>
                </c:pt>
              </c:numCache>
            </c:numRef>
          </c:val>
          <c:smooth val="0"/>
        </c:ser>
        <c:ser>
          <c:idx val="4"/>
          <c:order val="3"/>
          <c:tx>
            <c:strRef>
              <c:f>RESULTS!$Q$7:$Q$8</c:f>
              <c:strCache>
                <c:ptCount val="1"/>
                <c:pt idx="0">
                  <c:v>Carbon dioxide (av ft^3/min)</c:v>
                </c:pt>
              </c:strCache>
            </c:strRef>
          </c:tx>
          <c:spPr>
            <a:ln w="25400">
              <a:solidFill>
                <a:srgbClr val="99CC00"/>
              </a:solidFill>
              <a:prstDash val="solid"/>
            </a:ln>
          </c:spPr>
          <c:marker>
            <c:symbol val="none"/>
          </c:marker>
          <c:cat>
            <c:numRef>
              <c:f>RESULTS!$A$9:$A$84</c:f>
              <c:numCache>
                <c:formatCode>0</c:formatCode>
                <c:ptCount val="7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pt idx="39">
                  <c:v>2057</c:v>
                </c:pt>
                <c:pt idx="40">
                  <c:v>2058</c:v>
                </c:pt>
                <c:pt idx="41">
                  <c:v>2059</c:v>
                </c:pt>
                <c:pt idx="42">
                  <c:v>2060</c:v>
                </c:pt>
                <c:pt idx="43">
                  <c:v>2061</c:v>
                </c:pt>
                <c:pt idx="44">
                  <c:v>2062</c:v>
                </c:pt>
                <c:pt idx="45">
                  <c:v>2063</c:v>
                </c:pt>
                <c:pt idx="46">
                  <c:v>2064</c:v>
                </c:pt>
                <c:pt idx="47">
                  <c:v>2065</c:v>
                </c:pt>
                <c:pt idx="48">
                  <c:v>2066</c:v>
                </c:pt>
                <c:pt idx="49">
                  <c:v>2067</c:v>
                </c:pt>
                <c:pt idx="50">
                  <c:v>2068</c:v>
                </c:pt>
                <c:pt idx="51">
                  <c:v>2069</c:v>
                </c:pt>
                <c:pt idx="52">
                  <c:v>2070</c:v>
                </c:pt>
                <c:pt idx="53">
                  <c:v>2071</c:v>
                </c:pt>
                <c:pt idx="54">
                  <c:v>2072</c:v>
                </c:pt>
                <c:pt idx="55">
                  <c:v>2073</c:v>
                </c:pt>
                <c:pt idx="56">
                  <c:v>2074</c:v>
                </c:pt>
                <c:pt idx="57">
                  <c:v>2075</c:v>
                </c:pt>
                <c:pt idx="58">
                  <c:v>2076</c:v>
                </c:pt>
                <c:pt idx="59">
                  <c:v>2077</c:v>
                </c:pt>
                <c:pt idx="60">
                  <c:v>2078</c:v>
                </c:pt>
                <c:pt idx="61">
                  <c:v>2079</c:v>
                </c:pt>
                <c:pt idx="62">
                  <c:v>2080</c:v>
                </c:pt>
                <c:pt idx="63">
                  <c:v>2081</c:v>
                </c:pt>
                <c:pt idx="64">
                  <c:v>2082</c:v>
                </c:pt>
                <c:pt idx="65">
                  <c:v>2083</c:v>
                </c:pt>
                <c:pt idx="66">
                  <c:v>2084</c:v>
                </c:pt>
                <c:pt idx="67">
                  <c:v>2085</c:v>
                </c:pt>
                <c:pt idx="68">
                  <c:v>2086</c:v>
                </c:pt>
                <c:pt idx="69">
                  <c:v>2087</c:v>
                </c:pt>
                <c:pt idx="70">
                  <c:v>2088</c:v>
                </c:pt>
                <c:pt idx="71">
                  <c:v>2089</c:v>
                </c:pt>
                <c:pt idx="72">
                  <c:v>2090</c:v>
                </c:pt>
                <c:pt idx="73">
                  <c:v>2091</c:v>
                </c:pt>
                <c:pt idx="74">
                  <c:v>2092</c:v>
                </c:pt>
                <c:pt idx="75">
                  <c:v>2093</c:v>
                </c:pt>
              </c:numCache>
            </c:numRef>
          </c:cat>
          <c:val>
            <c:numRef>
              <c:f>RESULTS!$Q$9:$Q$84</c:f>
              <c:numCache>
                <c:formatCode>0.000E+00</c:formatCode>
                <c:ptCount val="76"/>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val>
          <c:smooth val="0"/>
        </c:ser>
        <c:dLbls>
          <c:showLegendKey val="0"/>
          <c:showVal val="0"/>
          <c:showCatName val="0"/>
          <c:showSerName val="0"/>
          <c:showPercent val="0"/>
          <c:showBubbleSize val="0"/>
        </c:dLbls>
        <c:marker val="1"/>
        <c:smooth val="0"/>
        <c:axId val="255661184"/>
        <c:axId val="255663104"/>
      </c:lineChart>
      <c:catAx>
        <c:axId val="25566118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Year</a:t>
                </a:r>
              </a:p>
            </c:rich>
          </c:tx>
          <c:layout>
            <c:manualLayout>
              <c:xMode val="edge"/>
              <c:yMode val="edge"/>
              <c:x val="0.55258177784956253"/>
              <c:y val="0.73437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255663104"/>
        <c:crosses val="autoZero"/>
        <c:auto val="1"/>
        <c:lblAlgn val="ctr"/>
        <c:lblOffset val="100"/>
        <c:tickLblSkip val="5"/>
        <c:tickMarkSkip val="1"/>
        <c:noMultiLvlLbl val="0"/>
      </c:catAx>
      <c:valAx>
        <c:axId val="25566310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Emissions</a:t>
                </a:r>
              </a:p>
            </c:rich>
          </c:tx>
          <c:layout>
            <c:manualLayout>
              <c:xMode val="edge"/>
              <c:yMode val="edge"/>
              <c:x val="2.6768667439079154E-2"/>
              <c:y val="0.3"/>
            </c:manualLayout>
          </c:layout>
          <c:overlay val="0"/>
          <c:spPr>
            <a:noFill/>
            <a:ln w="25400">
              <a:noFill/>
            </a:ln>
          </c:spPr>
        </c:title>
        <c:numFmt formatCode="0.000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5661184"/>
        <c:crosses val="autoZero"/>
        <c:crossBetween val="between"/>
      </c:valAx>
      <c:spPr>
        <a:noFill/>
        <a:ln w="12700">
          <a:solidFill>
            <a:srgbClr val="808080"/>
          </a:solidFill>
          <a:prstDash val="solid"/>
        </a:ln>
      </c:spPr>
    </c:plotArea>
    <c:legend>
      <c:legendPos val="b"/>
      <c:layout>
        <c:manualLayout>
          <c:xMode val="edge"/>
          <c:yMode val="edge"/>
          <c:x val="8.2218049991457404E-2"/>
          <c:y val="0.82499999999999996"/>
          <c:w val="0.91013469292869131"/>
          <c:h val="0.1656249999999999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21.png"/><Relationship Id="rId4"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7.emf"/><Relationship Id="rId13" Type="http://schemas.openxmlformats.org/officeDocument/2006/relationships/image" Target="../media/image2.emf"/><Relationship Id="rId3" Type="http://schemas.openxmlformats.org/officeDocument/2006/relationships/image" Target="../media/image12.emf"/><Relationship Id="rId7" Type="http://schemas.openxmlformats.org/officeDocument/2006/relationships/image" Target="../media/image8.emf"/><Relationship Id="rId12" Type="http://schemas.openxmlformats.org/officeDocument/2006/relationships/image" Target="../media/image4.emf"/><Relationship Id="rId2" Type="http://schemas.openxmlformats.org/officeDocument/2006/relationships/image" Target="../media/image13.emf"/><Relationship Id="rId1" Type="http://schemas.openxmlformats.org/officeDocument/2006/relationships/image" Target="../media/image14.emf"/><Relationship Id="rId6" Type="http://schemas.openxmlformats.org/officeDocument/2006/relationships/image" Target="../media/image9.emf"/><Relationship Id="rId11" Type="http://schemas.openxmlformats.org/officeDocument/2006/relationships/image" Target="../media/image5.emf"/><Relationship Id="rId5" Type="http://schemas.openxmlformats.org/officeDocument/2006/relationships/image" Target="../media/image10.emf"/><Relationship Id="rId10" Type="http://schemas.openxmlformats.org/officeDocument/2006/relationships/image" Target="../media/image6.emf"/><Relationship Id="rId4" Type="http://schemas.openxmlformats.org/officeDocument/2006/relationships/image" Target="../media/image11.emf"/><Relationship Id="rId9" Type="http://schemas.openxmlformats.org/officeDocument/2006/relationships/image" Target="../media/image3.emf"/><Relationship Id="rId14"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6.emf"/><Relationship Id="rId1" Type="http://schemas.openxmlformats.org/officeDocument/2006/relationships/image" Target="../media/image1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12</xdr:row>
          <xdr:rowOff>9525</xdr:rowOff>
        </xdr:from>
        <xdr:to>
          <xdr:col>3</xdr:col>
          <xdr:colOff>381000</xdr:colOff>
          <xdr:row>13</xdr:row>
          <xdr:rowOff>0</xdr:rowOff>
        </xdr:to>
        <xdr:sp macro="" textlink="">
          <xdr:nvSpPr>
            <xdr:cNvPr id="1029" name="kValue"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9525</xdr:rowOff>
        </xdr:from>
        <xdr:to>
          <xdr:col>3</xdr:col>
          <xdr:colOff>381000</xdr:colOff>
          <xdr:row>15</xdr:row>
          <xdr:rowOff>0</xdr:rowOff>
        </xdr:to>
        <xdr:sp macro="" textlink="">
          <xdr:nvSpPr>
            <xdr:cNvPr id="1030" name="LoValue"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xdr:row>
          <xdr:rowOff>9525</xdr:rowOff>
        </xdr:from>
        <xdr:to>
          <xdr:col>3</xdr:col>
          <xdr:colOff>381000</xdr:colOff>
          <xdr:row>19</xdr:row>
          <xdr:rowOff>0</xdr:rowOff>
        </xdr:to>
        <xdr:sp macro="" textlink="">
          <xdr:nvSpPr>
            <xdr:cNvPr id="1034" name="MethaneContent"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5</xdr:col>
          <xdr:colOff>419100</xdr:colOff>
          <xdr:row>8</xdr:row>
          <xdr:rowOff>19050</xdr:rowOff>
        </xdr:to>
        <xdr:sp macro="" textlink="">
          <xdr:nvSpPr>
            <xdr:cNvPr id="1039" name="WasteCapacityUnits"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xdr:row>
          <xdr:rowOff>152400</xdr:rowOff>
        </xdr:from>
        <xdr:to>
          <xdr:col>6</xdr:col>
          <xdr:colOff>57150</xdr:colOff>
          <xdr:row>10</xdr:row>
          <xdr:rowOff>161925</xdr:rowOff>
        </xdr:to>
        <xdr:sp macro="" textlink="">
          <xdr:nvSpPr>
            <xdr:cNvPr id="1041" name="RestoreDefaults"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9525</xdr:rowOff>
        </xdr:from>
        <xdr:to>
          <xdr:col>3</xdr:col>
          <xdr:colOff>485775</xdr:colOff>
          <xdr:row>7</xdr:row>
          <xdr:rowOff>9525</xdr:rowOff>
        </xdr:to>
        <xdr:sp macro="" textlink="">
          <xdr:nvSpPr>
            <xdr:cNvPr id="1044" name="ClosureCalcYes"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6</xdr:row>
          <xdr:rowOff>9525</xdr:rowOff>
        </xdr:from>
        <xdr:to>
          <xdr:col>4</xdr:col>
          <xdr:colOff>0</xdr:colOff>
          <xdr:row>7</xdr:row>
          <xdr:rowOff>9525</xdr:rowOff>
        </xdr:to>
        <xdr:sp macro="" textlink="">
          <xdr:nvSpPr>
            <xdr:cNvPr id="1045" name="ClosureCalcNo"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xdr:row>
          <xdr:rowOff>47625</xdr:rowOff>
        </xdr:from>
        <xdr:to>
          <xdr:col>11</xdr:col>
          <xdr:colOff>85725</xdr:colOff>
          <xdr:row>4</xdr:row>
          <xdr:rowOff>85725</xdr:rowOff>
        </xdr:to>
        <xdr:sp macro="" textlink="">
          <xdr:nvSpPr>
            <xdr:cNvPr id="1046" name="WasteAcceptanceUnits"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0</xdr:rowOff>
        </xdr:from>
        <xdr:to>
          <xdr:col>4</xdr:col>
          <xdr:colOff>685800</xdr:colOff>
          <xdr:row>24</xdr:row>
          <xdr:rowOff>28575</xdr:rowOff>
        </xdr:to>
        <xdr:sp macro="" textlink="">
          <xdr:nvSpPr>
            <xdr:cNvPr id="1047" name="EmissionConc1"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xdr:row>
          <xdr:rowOff>161925</xdr:rowOff>
        </xdr:from>
        <xdr:to>
          <xdr:col>7</xdr:col>
          <xdr:colOff>361950</xdr:colOff>
          <xdr:row>3</xdr:row>
          <xdr:rowOff>161925</xdr:rowOff>
        </xdr:to>
        <xdr:sp macro="" textlink="">
          <xdr:nvSpPr>
            <xdr:cNvPr id="1054" name="ClearAllInputs"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19050</xdr:rowOff>
        </xdr:from>
        <xdr:to>
          <xdr:col>3</xdr:col>
          <xdr:colOff>381000</xdr:colOff>
          <xdr:row>17</xdr:row>
          <xdr:rowOff>9525</xdr:rowOff>
        </xdr:to>
        <xdr:sp macro="" textlink="">
          <xdr:nvSpPr>
            <xdr:cNvPr id="1055" name="NMOCConc"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0</xdr:rowOff>
        </xdr:from>
        <xdr:to>
          <xdr:col>4</xdr:col>
          <xdr:colOff>685800</xdr:colOff>
          <xdr:row>26</xdr:row>
          <xdr:rowOff>28575</xdr:rowOff>
        </xdr:to>
        <xdr:sp macro="" textlink="">
          <xdr:nvSpPr>
            <xdr:cNvPr id="1060" name="EmissionConc2"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0</xdr:rowOff>
        </xdr:from>
        <xdr:to>
          <xdr:col>4</xdr:col>
          <xdr:colOff>685800</xdr:colOff>
          <xdr:row>28</xdr:row>
          <xdr:rowOff>28575</xdr:rowOff>
        </xdr:to>
        <xdr:sp macro="" textlink="">
          <xdr:nvSpPr>
            <xdr:cNvPr id="1061" name="EmissionConc3" hidden="1">
              <a:extLst>
                <a:ext uri="{63B3BB69-23CF-44E3-9099-C40C66FF867C}">
                  <a14:compatExt spid="_x0000_s1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0</xdr:rowOff>
        </xdr:from>
        <xdr:to>
          <xdr:col>4</xdr:col>
          <xdr:colOff>685800</xdr:colOff>
          <xdr:row>30</xdr:row>
          <xdr:rowOff>28575</xdr:rowOff>
        </xdr:to>
        <xdr:sp macro="" textlink="">
          <xdr:nvSpPr>
            <xdr:cNvPr id="1062" name="EmissionConc4" hidden="1">
              <a:extLst>
                <a:ext uri="{63B3BB69-23CF-44E3-9099-C40C66FF867C}">
                  <a14:compatExt spid="_x0000_s1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23</xdr:row>
          <xdr:rowOff>38100</xdr:rowOff>
        </xdr:from>
        <xdr:to>
          <xdr:col>7</xdr:col>
          <xdr:colOff>209550</xdr:colOff>
          <xdr:row>26</xdr:row>
          <xdr:rowOff>9525</xdr:rowOff>
        </xdr:to>
        <xdr:sp macro="" textlink="">
          <xdr:nvSpPr>
            <xdr:cNvPr id="1065" name="EditPollutants" hidden="1">
              <a:extLst>
                <a:ext uri="{63B3BB69-23CF-44E3-9099-C40C66FF867C}">
                  <a14:compatExt spid="_x0000_s1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26</xdr:row>
          <xdr:rowOff>114300</xdr:rowOff>
        </xdr:from>
        <xdr:to>
          <xdr:col>7</xdr:col>
          <xdr:colOff>209550</xdr:colOff>
          <xdr:row>29</xdr:row>
          <xdr:rowOff>85725</xdr:rowOff>
        </xdr:to>
        <xdr:sp macro="" textlink="">
          <xdr:nvSpPr>
            <xdr:cNvPr id="1066" name="RestorePollutants" hidden="1">
              <a:extLst>
                <a:ext uri="{63B3BB69-23CF-44E3-9099-C40C66FF867C}">
                  <a14:compatExt spid="_x0000_s106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2505075</xdr:colOff>
          <xdr:row>1</xdr:row>
          <xdr:rowOff>114300</xdr:rowOff>
        </xdr:from>
        <xdr:to>
          <xdr:col>2</xdr:col>
          <xdr:colOff>1057275</xdr:colOff>
          <xdr:row>4</xdr:row>
          <xdr:rowOff>133350</xdr:rowOff>
        </xdr:to>
        <xdr:sp macro="" textlink="">
          <xdr:nvSpPr>
            <xdr:cNvPr id="9219" name="MoveToEditPollutant" hidden="1">
              <a:extLst>
                <a:ext uri="{63B3BB69-23CF-44E3-9099-C40C66FF867C}">
                  <a14:compatExt spid="_x0000_s9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1</xdr:row>
          <xdr:rowOff>114300</xdr:rowOff>
        </xdr:from>
        <xdr:to>
          <xdr:col>1</xdr:col>
          <xdr:colOff>2057400</xdr:colOff>
          <xdr:row>4</xdr:row>
          <xdr:rowOff>133350</xdr:rowOff>
        </xdr:to>
        <xdr:sp macro="" textlink="">
          <xdr:nvSpPr>
            <xdr:cNvPr id="9220" name="MoveToNewPollutant" hidden="1">
              <a:extLst>
                <a:ext uri="{63B3BB69-23CF-44E3-9099-C40C66FF867C}">
                  <a14:compatExt spid="_x0000_s92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65</xdr:row>
          <xdr:rowOff>95250</xdr:rowOff>
        </xdr:from>
        <xdr:to>
          <xdr:col>5</xdr:col>
          <xdr:colOff>1076325</xdr:colOff>
          <xdr:row>69</xdr:row>
          <xdr:rowOff>28575</xdr:rowOff>
        </xdr:to>
        <xdr:sp macro="" textlink="">
          <xdr:nvSpPr>
            <xdr:cNvPr id="9221" name="ReturntoInput" hidden="1">
              <a:extLst>
                <a:ext uri="{63B3BB69-23CF-44E3-9099-C40C66FF867C}">
                  <a14:compatExt spid="_x0000_s922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704850</xdr:colOff>
      <xdr:row>1</xdr:row>
      <xdr:rowOff>0</xdr:rowOff>
    </xdr:from>
    <xdr:to>
      <xdr:col>5</xdr:col>
      <xdr:colOff>457200</xdr:colOff>
      <xdr:row>4</xdr:row>
      <xdr:rowOff>38100</xdr:rowOff>
    </xdr:to>
    <xdr:pic>
      <xdr:nvPicPr>
        <xdr:cNvPr id="5506" name="Picture 38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9350" y="228600"/>
          <a:ext cx="2295525"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4</xdr:row>
          <xdr:rowOff>9525</xdr:rowOff>
        </xdr:from>
        <xdr:to>
          <xdr:col>8</xdr:col>
          <xdr:colOff>114300</xdr:colOff>
          <xdr:row>5</xdr:row>
          <xdr:rowOff>28575</xdr:rowOff>
        </xdr:to>
        <xdr:sp macro="" textlink="">
          <xdr:nvSpPr>
            <xdr:cNvPr id="3074" name="EmissRateUnit"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38100</xdr:colOff>
      <xdr:row>2</xdr:row>
      <xdr:rowOff>28575</xdr:rowOff>
    </xdr:from>
    <xdr:to>
      <xdr:col>7</xdr:col>
      <xdr:colOff>390525</xdr:colOff>
      <xdr:row>20</xdr:row>
      <xdr:rowOff>142875</xdr:rowOff>
    </xdr:to>
    <xdr:graphicFrame macro="">
      <xdr:nvGraphicFramePr>
        <xdr:cNvPr id="40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21</xdr:row>
      <xdr:rowOff>38100</xdr:rowOff>
    </xdr:from>
    <xdr:to>
      <xdr:col>7</xdr:col>
      <xdr:colOff>390525</xdr:colOff>
      <xdr:row>39</xdr:row>
      <xdr:rowOff>152400</xdr:rowOff>
    </xdr:to>
    <xdr:graphicFrame macro="">
      <xdr:nvGraphicFramePr>
        <xdr:cNvPr id="410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40</xdr:row>
      <xdr:rowOff>47625</xdr:rowOff>
    </xdr:from>
    <xdr:to>
      <xdr:col>7</xdr:col>
      <xdr:colOff>400050</xdr:colOff>
      <xdr:row>59</xdr:row>
      <xdr:rowOff>9525</xdr:rowOff>
    </xdr:to>
    <xdr:graphicFrame macro="">
      <xdr:nvGraphicFramePr>
        <xdr:cNvPr id="410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254</xdr:row>
      <xdr:rowOff>0</xdr:rowOff>
    </xdr:from>
    <xdr:to>
      <xdr:col>4</xdr:col>
      <xdr:colOff>1181100</xdr:colOff>
      <xdr:row>272</xdr:row>
      <xdr:rowOff>133350</xdr:rowOff>
    </xdr:to>
    <xdr:graphicFrame macro="">
      <xdr:nvGraphicFramePr>
        <xdr:cNvPr id="717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274</xdr:row>
      <xdr:rowOff>28575</xdr:rowOff>
    </xdr:from>
    <xdr:to>
      <xdr:col>4</xdr:col>
      <xdr:colOff>1181100</xdr:colOff>
      <xdr:row>292</xdr:row>
      <xdr:rowOff>152400</xdr:rowOff>
    </xdr:to>
    <xdr:graphicFrame macro="">
      <xdr:nvGraphicFramePr>
        <xdr:cNvPr id="717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542925</xdr:colOff>
      <xdr:row>294</xdr:row>
      <xdr:rowOff>76200</xdr:rowOff>
    </xdr:from>
    <xdr:to>
      <xdr:col>4</xdr:col>
      <xdr:colOff>1190625</xdr:colOff>
      <xdr:row>313</xdr:row>
      <xdr:rowOff>47625</xdr:rowOff>
    </xdr:to>
    <xdr:graphicFrame macro="">
      <xdr:nvGraphicFramePr>
        <xdr:cNvPr id="717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800100</xdr:colOff>
      <xdr:row>39</xdr:row>
      <xdr:rowOff>57150</xdr:rowOff>
    </xdr:from>
    <xdr:to>
      <xdr:col>5</xdr:col>
      <xdr:colOff>647700</xdr:colOff>
      <xdr:row>44</xdr:row>
      <xdr:rowOff>9525</xdr:rowOff>
    </xdr:to>
    <xdr:pic>
      <xdr:nvPicPr>
        <xdr:cNvPr id="7201" name="Picture 3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33650" y="6734175"/>
          <a:ext cx="34480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1276350</xdr:colOff>
      <xdr:row>2</xdr:row>
      <xdr:rowOff>9525</xdr:rowOff>
    </xdr:from>
    <xdr:to>
      <xdr:col>5</xdr:col>
      <xdr:colOff>981075</xdr:colOff>
      <xdr:row>23</xdr:row>
      <xdr:rowOff>47625</xdr:rowOff>
    </xdr:to>
    <xdr:pic>
      <xdr:nvPicPr>
        <xdr:cNvPr id="7209" name="Picture 4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19250" y="333375"/>
          <a:ext cx="469582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pa.gov/ttnatw01/landfill/landflpg.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6.xml"/><Relationship Id="rId18" Type="http://schemas.openxmlformats.org/officeDocument/2006/relationships/control" Target="../activeX/activeX9.xml"/><Relationship Id="rId26" Type="http://schemas.openxmlformats.org/officeDocument/2006/relationships/control" Target="../activeX/activeX13.xml"/><Relationship Id="rId3" Type="http://schemas.openxmlformats.org/officeDocument/2006/relationships/vmlDrawing" Target="../drawings/vmlDrawing1.vml"/><Relationship Id="rId21" Type="http://schemas.openxmlformats.org/officeDocument/2006/relationships/image" Target="../media/image8.emf"/><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control" Target="../activeX/activeX8.xml"/><Relationship Id="rId25" Type="http://schemas.openxmlformats.org/officeDocument/2006/relationships/image" Target="../media/image10.emf"/><Relationship Id="rId33" Type="http://schemas.openxmlformats.org/officeDocument/2006/relationships/image" Target="../media/image14.emf"/><Relationship Id="rId2" Type="http://schemas.openxmlformats.org/officeDocument/2006/relationships/drawing" Target="../drawings/drawing1.xml"/><Relationship Id="rId16" Type="http://schemas.openxmlformats.org/officeDocument/2006/relationships/image" Target="../media/image6.emf"/><Relationship Id="rId20" Type="http://schemas.openxmlformats.org/officeDocument/2006/relationships/control" Target="../activeX/activeX10.xml"/><Relationship Id="rId29" Type="http://schemas.openxmlformats.org/officeDocument/2006/relationships/image" Target="../media/image12.emf"/><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2.xml"/><Relationship Id="rId32" Type="http://schemas.openxmlformats.org/officeDocument/2006/relationships/control" Target="../activeX/activeX16.xml"/><Relationship Id="rId5" Type="http://schemas.openxmlformats.org/officeDocument/2006/relationships/image" Target="../media/image1.emf"/><Relationship Id="rId15" Type="http://schemas.openxmlformats.org/officeDocument/2006/relationships/control" Target="../activeX/activeX7.xml"/><Relationship Id="rId23" Type="http://schemas.openxmlformats.org/officeDocument/2006/relationships/image" Target="../media/image9.emf"/><Relationship Id="rId28" Type="http://schemas.openxmlformats.org/officeDocument/2006/relationships/control" Target="../activeX/activeX14.xml"/><Relationship Id="rId10" Type="http://schemas.openxmlformats.org/officeDocument/2006/relationships/control" Target="../activeX/activeX4.xml"/><Relationship Id="rId19" Type="http://schemas.openxmlformats.org/officeDocument/2006/relationships/image" Target="../media/image7.emf"/><Relationship Id="rId31" Type="http://schemas.openxmlformats.org/officeDocument/2006/relationships/image" Target="../media/image13.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image" Target="../media/image5.emf"/><Relationship Id="rId22" Type="http://schemas.openxmlformats.org/officeDocument/2006/relationships/control" Target="../activeX/activeX11.xml"/><Relationship Id="rId27" Type="http://schemas.openxmlformats.org/officeDocument/2006/relationships/image" Target="../media/image11.emf"/><Relationship Id="rId30" Type="http://schemas.openxmlformats.org/officeDocument/2006/relationships/control" Target="../activeX/activeX15.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9.xml"/><Relationship Id="rId3" Type="http://schemas.openxmlformats.org/officeDocument/2006/relationships/vmlDrawing" Target="../drawings/vmlDrawing2.vml"/><Relationship Id="rId7" Type="http://schemas.openxmlformats.org/officeDocument/2006/relationships/image" Target="../media/image16.emf"/><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ntrol" Target="../activeX/activeX18.xml"/><Relationship Id="rId5" Type="http://schemas.openxmlformats.org/officeDocument/2006/relationships/image" Target="../media/image15.emf"/><Relationship Id="rId4" Type="http://schemas.openxmlformats.org/officeDocument/2006/relationships/control" Target="../activeX/activeX17.xml"/><Relationship Id="rId9" Type="http://schemas.openxmlformats.org/officeDocument/2006/relationships/image" Target="../media/image17.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image" Target="../media/image19.emf"/><Relationship Id="rId4" Type="http://schemas.openxmlformats.org/officeDocument/2006/relationships/control" Target="../activeX/activeX20.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46"/>
  <sheetViews>
    <sheetView showGridLines="0" zoomScaleNormal="100" workbookViewId="0"/>
  </sheetViews>
  <sheetFormatPr defaultRowHeight="12.75"/>
  <cols>
    <col min="1" max="1" width="4.140625" style="17" customWidth="1"/>
    <col min="2" max="2" width="14.5703125" style="17" customWidth="1"/>
    <col min="3" max="3" width="30.85546875" style="17" customWidth="1"/>
    <col min="4" max="4" width="34.5703125" style="17" customWidth="1"/>
    <col min="5" max="5" width="3" style="17" customWidth="1"/>
    <col min="6" max="8" width="10.28515625" style="17" customWidth="1"/>
    <col min="9" max="9" width="7.140625" style="17" customWidth="1"/>
    <col min="10" max="10" width="11" style="17" customWidth="1"/>
    <col min="11" max="16384" width="9.140625" style="17"/>
  </cols>
  <sheetData>
    <row r="1" spans="1:10" ht="18">
      <c r="A1" s="196" t="s">
        <v>191</v>
      </c>
      <c r="B1" s="184"/>
      <c r="F1" s="19"/>
      <c r="G1" s="19"/>
    </row>
    <row r="2" spans="1:10" ht="15">
      <c r="A2" s="184"/>
      <c r="B2" s="184"/>
      <c r="F2" s="19"/>
      <c r="G2" s="19"/>
    </row>
    <row r="3" spans="1:10" ht="18">
      <c r="A3" s="185" t="s">
        <v>358</v>
      </c>
      <c r="B3" s="184"/>
      <c r="F3" s="186"/>
    </row>
    <row r="4" spans="1:10" ht="18" customHeight="1">
      <c r="A4" s="196" t="s">
        <v>192</v>
      </c>
      <c r="B4" s="184"/>
      <c r="F4" s="186" t="s">
        <v>197</v>
      </c>
      <c r="G4" s="245"/>
      <c r="H4" s="245"/>
      <c r="I4" s="245"/>
      <c r="J4" s="245"/>
    </row>
    <row r="5" spans="1:10" ht="12.75" customHeight="1">
      <c r="F5" s="549" t="s">
        <v>300</v>
      </c>
      <c r="G5" s="549"/>
      <c r="H5" s="549"/>
      <c r="I5" s="549"/>
      <c r="J5" s="549"/>
    </row>
    <row r="6" spans="1:10" ht="15.75" thickBot="1">
      <c r="A6" s="186" t="s">
        <v>190</v>
      </c>
      <c r="B6" s="186"/>
      <c r="F6" s="549"/>
      <c r="G6" s="549"/>
      <c r="H6" s="549"/>
      <c r="I6" s="549"/>
      <c r="J6" s="549"/>
    </row>
    <row r="7" spans="1:10" ht="13.5" customHeight="1" thickTop="1">
      <c r="A7" s="187" t="s">
        <v>187</v>
      </c>
      <c r="B7" s="188"/>
      <c r="C7" s="189" t="s">
        <v>188</v>
      </c>
      <c r="D7" s="190"/>
      <c r="F7" s="549"/>
      <c r="G7" s="549"/>
      <c r="H7" s="549"/>
      <c r="I7" s="549"/>
      <c r="J7" s="549"/>
    </row>
    <row r="8" spans="1:10" ht="14.1" customHeight="1">
      <c r="A8" s="568" t="s">
        <v>193</v>
      </c>
      <c r="B8" s="569"/>
      <c r="C8" s="554" t="s">
        <v>293</v>
      </c>
      <c r="D8" s="555"/>
      <c r="F8" s="549"/>
      <c r="G8" s="549"/>
      <c r="H8" s="549"/>
      <c r="I8" s="549"/>
      <c r="J8" s="549"/>
    </row>
    <row r="9" spans="1:10" ht="12.75" customHeight="1">
      <c r="A9" s="562" t="s">
        <v>31</v>
      </c>
      <c r="B9" s="563"/>
      <c r="C9" s="550" t="s">
        <v>314</v>
      </c>
      <c r="D9" s="551"/>
      <c r="F9" s="549"/>
      <c r="G9" s="549"/>
      <c r="H9" s="549"/>
      <c r="I9" s="549"/>
      <c r="J9" s="549"/>
    </row>
    <row r="10" spans="1:10" ht="12.75" customHeight="1">
      <c r="A10" s="558"/>
      <c r="B10" s="559"/>
      <c r="C10" s="575"/>
      <c r="D10" s="576"/>
      <c r="F10" s="549"/>
      <c r="G10" s="549"/>
      <c r="H10" s="549"/>
      <c r="I10" s="549"/>
      <c r="J10" s="549"/>
    </row>
    <row r="11" spans="1:10" ht="12.75" customHeight="1">
      <c r="A11" s="560"/>
      <c r="B11" s="561"/>
      <c r="C11" s="564"/>
      <c r="D11" s="565"/>
      <c r="F11" s="549"/>
      <c r="G11" s="549"/>
      <c r="H11" s="549"/>
      <c r="I11" s="549"/>
      <c r="J11" s="549"/>
    </row>
    <row r="12" spans="1:10" ht="12.75" customHeight="1">
      <c r="A12" s="562" t="s">
        <v>296</v>
      </c>
      <c r="B12" s="563"/>
      <c r="C12" s="550" t="s">
        <v>315</v>
      </c>
      <c r="D12" s="551"/>
      <c r="F12" s="549"/>
      <c r="G12" s="549"/>
      <c r="H12" s="549"/>
      <c r="I12" s="549"/>
      <c r="J12" s="549"/>
    </row>
    <row r="13" spans="1:10" ht="12.75" customHeight="1">
      <c r="A13" s="560"/>
      <c r="B13" s="561"/>
      <c r="C13" s="564"/>
      <c r="D13" s="565"/>
      <c r="F13" s="549"/>
      <c r="G13" s="549"/>
      <c r="H13" s="549"/>
      <c r="I13" s="549"/>
      <c r="J13" s="549"/>
    </row>
    <row r="14" spans="1:10" ht="14.1" customHeight="1">
      <c r="A14" s="586" t="s">
        <v>173</v>
      </c>
      <c r="B14" s="587"/>
      <c r="C14" s="314" t="s">
        <v>244</v>
      </c>
      <c r="D14" s="191"/>
      <c r="F14" s="566" t="s">
        <v>215</v>
      </c>
      <c r="G14" s="567"/>
      <c r="H14" s="567"/>
      <c r="I14" s="567"/>
      <c r="J14" s="245" t="s">
        <v>216</v>
      </c>
    </row>
    <row r="15" spans="1:10" ht="12.75" customHeight="1">
      <c r="A15" s="562" t="s">
        <v>55</v>
      </c>
      <c r="B15" s="563"/>
      <c r="C15" s="550" t="s">
        <v>245</v>
      </c>
      <c r="D15" s="551"/>
      <c r="J15" s="143"/>
    </row>
    <row r="16" spans="1:10" ht="12.75" customHeight="1">
      <c r="A16" s="578"/>
      <c r="B16" s="579"/>
      <c r="C16" s="552"/>
      <c r="D16" s="553"/>
      <c r="F16" s="549" t="s">
        <v>339</v>
      </c>
      <c r="G16" s="549"/>
      <c r="H16" s="549"/>
      <c r="I16" s="549"/>
      <c r="J16" s="549"/>
    </row>
    <row r="17" spans="1:10" ht="12.75" customHeight="1">
      <c r="A17" s="556" t="s">
        <v>59</v>
      </c>
      <c r="B17" s="557"/>
      <c r="C17" s="573" t="s">
        <v>295</v>
      </c>
      <c r="D17" s="574"/>
      <c r="F17" s="549"/>
      <c r="G17" s="549"/>
      <c r="H17" s="549"/>
      <c r="I17" s="549"/>
      <c r="J17" s="549"/>
    </row>
    <row r="18" spans="1:10" ht="12.75" customHeight="1">
      <c r="A18" s="558"/>
      <c r="B18" s="559"/>
      <c r="C18" s="575"/>
      <c r="D18" s="576"/>
      <c r="F18" s="549"/>
      <c r="G18" s="549"/>
      <c r="H18" s="549"/>
      <c r="I18" s="549"/>
      <c r="J18" s="549"/>
    </row>
    <row r="19" spans="1:10" ht="12.75" customHeight="1">
      <c r="A19" s="558"/>
      <c r="B19" s="559"/>
      <c r="C19" s="575"/>
      <c r="D19" s="576"/>
      <c r="F19" s="549"/>
      <c r="G19" s="549"/>
      <c r="H19" s="549"/>
      <c r="I19" s="549"/>
      <c r="J19" s="549"/>
    </row>
    <row r="20" spans="1:10" ht="12.75" customHeight="1">
      <c r="A20" s="560"/>
      <c r="B20" s="561"/>
      <c r="C20" s="564"/>
      <c r="D20" s="565"/>
      <c r="F20" s="549"/>
      <c r="G20" s="549"/>
      <c r="H20" s="549"/>
      <c r="I20" s="549"/>
      <c r="J20" s="549"/>
    </row>
    <row r="21" spans="1:10" ht="12.75" customHeight="1">
      <c r="A21" s="562" t="s">
        <v>171</v>
      </c>
      <c r="B21" s="583"/>
      <c r="C21" s="550" t="s">
        <v>294</v>
      </c>
      <c r="D21" s="580"/>
      <c r="F21" s="549"/>
      <c r="G21" s="549"/>
      <c r="H21" s="549"/>
      <c r="I21" s="549"/>
      <c r="J21" s="549"/>
    </row>
    <row r="22" spans="1:10" ht="12.75" customHeight="1">
      <c r="A22" s="584"/>
      <c r="B22" s="585"/>
      <c r="C22" s="581"/>
      <c r="D22" s="582"/>
      <c r="F22" s="549"/>
      <c r="G22" s="549"/>
      <c r="H22" s="549"/>
      <c r="I22" s="549"/>
      <c r="J22" s="549"/>
    </row>
    <row r="23" spans="1:10" ht="12.75" customHeight="1">
      <c r="A23" s="584"/>
      <c r="B23" s="585"/>
      <c r="C23" s="581"/>
      <c r="D23" s="582"/>
      <c r="F23" s="549"/>
      <c r="G23" s="549"/>
      <c r="H23" s="549"/>
      <c r="I23" s="549"/>
      <c r="J23" s="549"/>
    </row>
    <row r="24" spans="1:10" ht="12.75" customHeight="1">
      <c r="A24" s="556" t="s">
        <v>211</v>
      </c>
      <c r="B24" s="557"/>
      <c r="C24" s="573" t="s">
        <v>299</v>
      </c>
      <c r="D24" s="574"/>
      <c r="F24" s="549"/>
      <c r="G24" s="549"/>
      <c r="H24" s="549"/>
      <c r="I24" s="549"/>
      <c r="J24" s="549"/>
    </row>
    <row r="25" spans="1:10" ht="12.75" customHeight="1">
      <c r="A25" s="578"/>
      <c r="B25" s="579"/>
      <c r="C25" s="552"/>
      <c r="D25" s="553"/>
      <c r="F25" s="549"/>
      <c r="G25" s="549"/>
      <c r="H25" s="549"/>
      <c r="I25" s="549"/>
      <c r="J25" s="549"/>
    </row>
    <row r="26" spans="1:10" ht="14.1" customHeight="1" thickBot="1">
      <c r="A26" s="571" t="s">
        <v>243</v>
      </c>
      <c r="B26" s="572"/>
      <c r="C26" s="315" t="s">
        <v>246</v>
      </c>
      <c r="D26" s="205"/>
      <c r="F26" s="549"/>
      <c r="G26" s="549"/>
      <c r="H26" s="549"/>
      <c r="I26" s="549"/>
      <c r="J26" s="549"/>
    </row>
    <row r="27" spans="1:10" ht="12.75" customHeight="1" thickTop="1">
      <c r="F27" s="549"/>
      <c r="G27" s="549"/>
      <c r="H27" s="549"/>
      <c r="I27" s="549"/>
      <c r="J27" s="549"/>
    </row>
    <row r="28" spans="1:10" ht="12.75" customHeight="1">
      <c r="A28" s="193" t="s">
        <v>189</v>
      </c>
      <c r="B28" s="193"/>
      <c r="F28" s="549"/>
      <c r="G28" s="549"/>
      <c r="H28" s="549"/>
      <c r="I28" s="549"/>
      <c r="J28" s="549"/>
    </row>
    <row r="29" spans="1:10" ht="12.75" customHeight="1">
      <c r="A29" s="17" t="s">
        <v>194</v>
      </c>
      <c r="F29" s="245"/>
      <c r="G29" s="245"/>
      <c r="H29" s="245"/>
      <c r="I29" s="245"/>
      <c r="J29" s="245"/>
    </row>
    <row r="30" spans="1:10" ht="12.75" customHeight="1">
      <c r="B30" s="192" t="s">
        <v>195</v>
      </c>
      <c r="C30" s="192"/>
      <c r="F30" s="197"/>
      <c r="G30" s="197"/>
      <c r="H30" s="197"/>
      <c r="I30" s="195"/>
      <c r="J30" s="195"/>
    </row>
    <row r="31" spans="1:10" ht="12.75" customHeight="1">
      <c r="B31" s="192" t="s">
        <v>196</v>
      </c>
      <c r="C31" s="192"/>
      <c r="F31" s="195"/>
      <c r="G31" s="195"/>
      <c r="H31" s="195"/>
      <c r="I31" s="195"/>
      <c r="J31" s="195"/>
    </row>
    <row r="32" spans="1:10" ht="12.75" customHeight="1">
      <c r="B32" s="192" t="s">
        <v>205</v>
      </c>
      <c r="C32" s="192"/>
    </row>
    <row r="33" spans="1:4" ht="12.75" customHeight="1">
      <c r="B33" s="192"/>
      <c r="C33" s="192"/>
    </row>
    <row r="34" spans="1:4" ht="12.75" customHeight="1">
      <c r="A34" s="17" t="s">
        <v>198</v>
      </c>
      <c r="B34" s="192"/>
      <c r="C34" s="192"/>
    </row>
    <row r="35" spans="1:4" ht="12.75" customHeight="1">
      <c r="B35" s="570" t="s">
        <v>236</v>
      </c>
      <c r="C35" s="570"/>
      <c r="D35" s="570"/>
    </row>
    <row r="36" spans="1:4" ht="12.75" customHeight="1">
      <c r="B36" s="570"/>
      <c r="C36" s="570"/>
      <c r="D36" s="570"/>
    </row>
    <row r="37" spans="1:4" ht="12.75" customHeight="1">
      <c r="B37" s="570" t="s">
        <v>228</v>
      </c>
      <c r="C37" s="570"/>
      <c r="D37" s="570"/>
    </row>
    <row r="38" spans="1:4" ht="12.75" customHeight="1">
      <c r="B38" s="570"/>
      <c r="C38" s="570"/>
      <c r="D38" s="570"/>
    </row>
    <row r="39" spans="1:4" ht="12.75" customHeight="1">
      <c r="B39" s="577" t="s">
        <v>199</v>
      </c>
      <c r="C39" s="577"/>
      <c r="D39" s="577"/>
    </row>
    <row r="40" spans="1:4" ht="12.75" customHeight="1">
      <c r="B40" s="577"/>
      <c r="C40" s="577"/>
      <c r="D40" s="577"/>
    </row>
    <row r="41" spans="1:4" ht="12.75" customHeight="1">
      <c r="B41" s="577"/>
      <c r="C41" s="577"/>
      <c r="D41" s="577"/>
    </row>
    <row r="42" spans="1:4" ht="12.75" customHeight="1">
      <c r="B42" s="570" t="s">
        <v>237</v>
      </c>
      <c r="C42" s="570"/>
      <c r="D42" s="570"/>
    </row>
    <row r="43" spans="1:4" ht="12.75" customHeight="1">
      <c r="B43" s="570"/>
      <c r="C43" s="570"/>
      <c r="D43" s="570"/>
    </row>
    <row r="44" spans="1:4" ht="12.75" customHeight="1">
      <c r="B44" s="194" t="s">
        <v>313</v>
      </c>
    </row>
    <row r="45" spans="1:4" ht="12.75" customHeight="1">
      <c r="B45" s="270"/>
      <c r="C45" s="270"/>
      <c r="D45" s="270"/>
    </row>
    <row r="46" spans="1:4">
      <c r="B46" s="270"/>
      <c r="C46" s="270"/>
      <c r="D46" s="270"/>
    </row>
  </sheetData>
  <sheetProtection password="A4D6" sheet="1" objects="1" scenarios="1"/>
  <mergeCells count="23">
    <mergeCell ref="B42:D43"/>
    <mergeCell ref="A26:B26"/>
    <mergeCell ref="C17:D20"/>
    <mergeCell ref="C24:D25"/>
    <mergeCell ref="B39:D41"/>
    <mergeCell ref="A24:B25"/>
    <mergeCell ref="B37:D38"/>
    <mergeCell ref="B35:D36"/>
    <mergeCell ref="C21:D23"/>
    <mergeCell ref="A21:B23"/>
    <mergeCell ref="F5:J13"/>
    <mergeCell ref="C15:D16"/>
    <mergeCell ref="C8:D8"/>
    <mergeCell ref="A17:B20"/>
    <mergeCell ref="A12:B13"/>
    <mergeCell ref="C12:D13"/>
    <mergeCell ref="F16:J28"/>
    <mergeCell ref="F14:I14"/>
    <mergeCell ref="A8:B8"/>
    <mergeCell ref="A15:B16"/>
    <mergeCell ref="A9:B11"/>
    <mergeCell ref="A14:B14"/>
    <mergeCell ref="C9:D11"/>
  </mergeCells>
  <phoneticPr fontId="51" type="noConversion"/>
  <hyperlinks>
    <hyperlink ref="A8:B8" location="INTRO!A1" display="INTRO"/>
    <hyperlink ref="A14:B14" location="'INPUT REVIEW'!A1" display="INPUT REVIEW"/>
    <hyperlink ref="F14" r:id="rId1"/>
    <hyperlink ref="A9:B11" location="'USER INPUTS'!A1" display="USER INPUTS"/>
    <hyperlink ref="A15:B16" location="METHANE!A1" display="METHANE"/>
    <hyperlink ref="A17:B20" location="RESULTS!A1" display="RESULTS"/>
    <hyperlink ref="A24:B25" location="INVENTORY!A1" display="INVENTORY"/>
    <hyperlink ref="A26:B26" location="REPORT!A1" display="REPORT"/>
    <hyperlink ref="A12:B13" location="POLLUTANTS!A1" display="POLLUTANTS"/>
    <hyperlink ref="A21:B23" location="GRAPHS!A1" display="GRAPHS"/>
  </hyperlinks>
  <printOptions horizontalCentered="1"/>
  <pageMargins left="0.2" right="0.2" top="0.5" bottom="0.5" header="0.2" footer="0.2"/>
  <pageSetup scale="94" orientation="landscape" blackAndWhite="1" r:id="rId2"/>
  <headerFooter alignWithMargins="0">
    <oddHeader>&amp;L&amp;9&amp;F&amp;R&amp;9&amp;D</oddHeader>
    <oddFooter>&amp;C&amp;9INTRO -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84"/>
  <sheetViews>
    <sheetView showGridLines="0" zoomScaleNormal="100" workbookViewId="0">
      <selection activeCell="A52" sqref="A52"/>
    </sheetView>
  </sheetViews>
  <sheetFormatPr defaultRowHeight="12.75"/>
  <cols>
    <col min="1" max="1" width="36.42578125" customWidth="1"/>
    <col min="3" max="3" width="4.7109375" customWidth="1"/>
    <col min="4" max="4" width="3.28515625" bestFit="1" customWidth="1"/>
    <col min="5" max="5" width="45.42578125" customWidth="1"/>
    <col min="6" max="6" width="16.140625" customWidth="1"/>
    <col min="7" max="7" width="15.5703125" customWidth="1"/>
    <col min="8" max="8" width="6.28515625" bestFit="1" customWidth="1"/>
  </cols>
  <sheetData>
    <row r="1" spans="1:8" ht="18">
      <c r="A1" s="341" t="s">
        <v>7</v>
      </c>
    </row>
    <row r="3" spans="1:8" ht="15.75">
      <c r="A3" s="5" t="s">
        <v>26</v>
      </c>
    </row>
    <row r="5" spans="1:8" ht="13.5" thickBot="1">
      <c r="A5" s="6" t="s">
        <v>27</v>
      </c>
      <c r="D5" s="7" t="s">
        <v>302</v>
      </c>
      <c r="E5" s="7"/>
      <c r="G5" s="8"/>
    </row>
    <row r="6" spans="1:8" ht="12.75" customHeight="1">
      <c r="A6" s="79" t="s">
        <v>9</v>
      </c>
      <c r="B6" s="136" t="s">
        <v>78</v>
      </c>
      <c r="C6" s="81"/>
      <c r="D6" s="82"/>
      <c r="E6" s="83" t="s">
        <v>10</v>
      </c>
      <c r="F6" s="40" t="s">
        <v>217</v>
      </c>
      <c r="G6" s="40" t="s">
        <v>11</v>
      </c>
      <c r="H6" s="41" t="s">
        <v>19</v>
      </c>
    </row>
    <row r="7" spans="1:8">
      <c r="A7" s="84" t="s">
        <v>219</v>
      </c>
      <c r="B7" s="85">
        <v>0.05</v>
      </c>
      <c r="C7" s="86"/>
      <c r="D7" s="87"/>
      <c r="E7" s="88"/>
      <c r="F7" s="493" t="s">
        <v>318</v>
      </c>
      <c r="G7" s="3"/>
      <c r="H7" s="42"/>
    </row>
    <row r="8" spans="1:8">
      <c r="A8" s="89" t="s">
        <v>328</v>
      </c>
      <c r="B8" s="90">
        <v>0.02</v>
      </c>
      <c r="C8" s="86"/>
      <c r="D8" s="701" t="s">
        <v>64</v>
      </c>
      <c r="E8" s="91" t="s">
        <v>45</v>
      </c>
      <c r="F8" s="14">
        <v>-1</v>
      </c>
      <c r="G8" s="153">
        <f>(RESULTS!$D$5/100*DEFAULTS!$G$9)+($B$34/100*DEFAULTS!$G$10)</f>
        <v>31.628999999999998</v>
      </c>
      <c r="H8" s="43"/>
    </row>
    <row r="9" spans="1:8">
      <c r="A9" s="89" t="s">
        <v>218</v>
      </c>
      <c r="B9" s="90">
        <v>0.04</v>
      </c>
      <c r="C9" s="86"/>
      <c r="D9" s="702"/>
      <c r="E9" s="92" t="s">
        <v>43</v>
      </c>
      <c r="F9" s="15">
        <v>-1</v>
      </c>
      <c r="G9" s="75">
        <v>16.04</v>
      </c>
      <c r="H9" s="44"/>
    </row>
    <row r="10" spans="1:8">
      <c r="A10" s="89" t="s">
        <v>329</v>
      </c>
      <c r="B10" s="90">
        <v>0.02</v>
      </c>
      <c r="C10" s="86"/>
      <c r="D10" s="702"/>
      <c r="E10" s="93" t="s">
        <v>44</v>
      </c>
      <c r="F10" s="73">
        <v>-1</v>
      </c>
      <c r="G10" s="76">
        <v>44.01</v>
      </c>
      <c r="H10" s="48"/>
    </row>
    <row r="11" spans="1:8">
      <c r="A11" s="94" t="s">
        <v>223</v>
      </c>
      <c r="B11" s="155">
        <v>0.7</v>
      </c>
      <c r="C11" s="95"/>
      <c r="D11" s="703"/>
      <c r="E11" s="96" t="s">
        <v>60</v>
      </c>
      <c r="F11" s="78">
        <f>IF('USER INPUTS'!$B$17=-1,'USER INPUTS'!$F$17,'USER INPUTS'!$B$17)</f>
        <v>600</v>
      </c>
      <c r="G11" s="77">
        <v>86.18</v>
      </c>
      <c r="H11" s="45"/>
    </row>
    <row r="12" spans="1:8" ht="13.5" customHeight="1" thickBot="1">
      <c r="A12" s="97" t="s">
        <v>29</v>
      </c>
      <c r="B12" s="98">
        <v>-1</v>
      </c>
      <c r="C12" s="99"/>
      <c r="D12" s="704" t="s">
        <v>65</v>
      </c>
      <c r="E12" s="100" t="s">
        <v>86</v>
      </c>
      <c r="F12" s="13">
        <f>IF(POLLUTANTS!F14="",POLLUTANTS!C14,POLLUTANTS!F14)</f>
        <v>0.48</v>
      </c>
      <c r="G12" s="13">
        <f>IF(POLLUTANTS!G14="",POLLUTANTS!D14,POLLUTANTS!G14)</f>
        <v>133.41</v>
      </c>
      <c r="H12" s="46" t="s">
        <v>20</v>
      </c>
    </row>
    <row r="13" spans="1:8">
      <c r="A13" s="101"/>
      <c r="B13" s="135"/>
      <c r="C13" s="101"/>
      <c r="D13" s="705"/>
      <c r="E13" s="102" t="s">
        <v>87</v>
      </c>
      <c r="F13" s="13">
        <f>IF(POLLUTANTS!F15="",POLLUTANTS!C15,POLLUTANTS!F15)</f>
        <v>1.1000000000000001</v>
      </c>
      <c r="G13" s="13">
        <f>IF(POLLUTANTS!G15="",POLLUTANTS!D15,POLLUTANTS!G15)</f>
        <v>167.85</v>
      </c>
      <c r="H13" s="47" t="s">
        <v>22</v>
      </c>
    </row>
    <row r="14" spans="1:8" ht="12.75" customHeight="1" thickBot="1">
      <c r="A14" s="103" t="s">
        <v>32</v>
      </c>
      <c r="B14" s="101"/>
      <c r="C14" s="101"/>
      <c r="D14" s="705"/>
      <c r="E14" s="102" t="s">
        <v>88</v>
      </c>
      <c r="F14" s="13">
        <f>IF(POLLUTANTS!F16="",POLLUTANTS!C16,POLLUTANTS!F16)</f>
        <v>2.4</v>
      </c>
      <c r="G14" s="13">
        <f>IF(POLLUTANTS!G16="",POLLUTANTS!D16,POLLUTANTS!G16)</f>
        <v>98.97</v>
      </c>
      <c r="H14" s="47" t="s">
        <v>22</v>
      </c>
    </row>
    <row r="15" spans="1:8" ht="12.75" customHeight="1">
      <c r="A15" s="79" t="s">
        <v>9</v>
      </c>
      <c r="B15" s="137" t="s">
        <v>307</v>
      </c>
      <c r="C15" s="104"/>
      <c r="D15" s="705"/>
      <c r="E15" s="102" t="s">
        <v>89</v>
      </c>
      <c r="F15" s="13">
        <f>IF(POLLUTANTS!F17="",POLLUTANTS!C17,POLLUTANTS!F17)</f>
        <v>0.2</v>
      </c>
      <c r="G15" s="13">
        <f>IF(POLLUTANTS!G17="",POLLUTANTS!D17,POLLUTANTS!G17)</f>
        <v>96.94</v>
      </c>
      <c r="H15" s="47" t="s">
        <v>22</v>
      </c>
    </row>
    <row r="16" spans="1:8">
      <c r="A16" s="84" t="s">
        <v>220</v>
      </c>
      <c r="B16" s="105">
        <v>170</v>
      </c>
      <c r="C16" s="106"/>
      <c r="D16" s="705"/>
      <c r="E16" s="102" t="s">
        <v>90</v>
      </c>
      <c r="F16" s="13">
        <f>IF(POLLUTANTS!F18="",POLLUTANTS!C18,POLLUTANTS!F18)</f>
        <v>0.41</v>
      </c>
      <c r="G16" s="13">
        <f>IF(POLLUTANTS!G18="",POLLUTANTS!D18,POLLUTANTS!G18)</f>
        <v>98.96</v>
      </c>
      <c r="H16" s="47" t="s">
        <v>22</v>
      </c>
    </row>
    <row r="17" spans="1:8">
      <c r="A17" s="89" t="s">
        <v>330</v>
      </c>
      <c r="B17" s="138">
        <v>170</v>
      </c>
      <c r="C17" s="106"/>
      <c r="D17" s="705"/>
      <c r="E17" s="102" t="s">
        <v>91</v>
      </c>
      <c r="F17" s="13">
        <f>IF(POLLUTANTS!F19="",POLLUTANTS!C19,POLLUTANTS!F19)</f>
        <v>0.18</v>
      </c>
      <c r="G17" s="13">
        <f>IF(POLLUTANTS!G19="",POLLUTANTS!D19,POLLUTANTS!G19)</f>
        <v>112.99</v>
      </c>
      <c r="H17" s="47" t="s">
        <v>22</v>
      </c>
    </row>
    <row r="18" spans="1:8">
      <c r="A18" s="89" t="s">
        <v>221</v>
      </c>
      <c r="B18" s="117">
        <v>100</v>
      </c>
      <c r="C18" s="106"/>
      <c r="D18" s="705"/>
      <c r="E18" s="102" t="s">
        <v>92</v>
      </c>
      <c r="F18" s="13">
        <f>IF(POLLUTANTS!F20="",POLLUTANTS!C20,POLLUTANTS!F20)</f>
        <v>50</v>
      </c>
      <c r="G18" s="13">
        <f>IF(POLLUTANTS!G20="",POLLUTANTS!D20,POLLUTANTS!G20)</f>
        <v>60.11</v>
      </c>
      <c r="H18" s="47" t="s">
        <v>23</v>
      </c>
    </row>
    <row r="19" spans="1:8">
      <c r="A19" s="89" t="s">
        <v>331</v>
      </c>
      <c r="B19" s="107">
        <v>100</v>
      </c>
      <c r="C19" s="106"/>
      <c r="D19" s="705"/>
      <c r="E19" s="102" t="s">
        <v>13</v>
      </c>
      <c r="F19" s="13">
        <f>IF(POLLUTANTS!F21="",POLLUTANTS!C21,POLLUTANTS!F21)</f>
        <v>7</v>
      </c>
      <c r="G19" s="13">
        <f>IF(POLLUTANTS!G21="",POLLUTANTS!D21,POLLUTANTS!G21)</f>
        <v>58.08</v>
      </c>
      <c r="H19" s="47"/>
    </row>
    <row r="20" spans="1:8">
      <c r="A20" s="108" t="s">
        <v>222</v>
      </c>
      <c r="B20" s="139">
        <v>96</v>
      </c>
      <c r="C20" s="109"/>
      <c r="D20" s="705"/>
      <c r="E20" s="102" t="s">
        <v>93</v>
      </c>
      <c r="F20" s="13">
        <f>IF(POLLUTANTS!F22="",POLLUTANTS!C22,POLLUTANTS!F22)</f>
        <v>6.3</v>
      </c>
      <c r="G20" s="13">
        <f>IF(POLLUTANTS!G22="",POLLUTANTS!D22,POLLUTANTS!G22)</f>
        <v>53.06</v>
      </c>
      <c r="H20" s="47" t="s">
        <v>22</v>
      </c>
    </row>
    <row r="21" spans="1:8" ht="13.5" thickBot="1">
      <c r="A21" s="110" t="s">
        <v>29</v>
      </c>
      <c r="B21" s="140">
        <v>-1</v>
      </c>
      <c r="C21" s="99"/>
      <c r="D21" s="705"/>
      <c r="E21" s="269" t="s">
        <v>232</v>
      </c>
      <c r="F21" s="13">
        <f>IF(POLLUTANTS!F23="",POLLUTANTS!C23,POLLUTANTS!F23)</f>
        <v>1.9</v>
      </c>
      <c r="G21" s="13">
        <f>IF(POLLUTANTS!G23="",POLLUTANTS!D23,POLLUTANTS!G23)</f>
        <v>78.11</v>
      </c>
      <c r="H21" s="47" t="s">
        <v>22</v>
      </c>
    </row>
    <row r="22" spans="1:8">
      <c r="A22" s="101"/>
      <c r="B22" s="101"/>
      <c r="C22" s="101"/>
      <c r="D22" s="705"/>
      <c r="E22" s="111" t="s">
        <v>233</v>
      </c>
      <c r="F22" s="13">
        <f>IF(POLLUTANTS!F24="",POLLUTANTS!C24,POLLUTANTS!F24)</f>
        <v>11</v>
      </c>
      <c r="G22" s="13">
        <f>IF(POLLUTANTS!G24="",POLLUTANTS!D24,POLLUTANTS!G24)</f>
        <v>78.11</v>
      </c>
      <c r="H22" s="47" t="s">
        <v>22</v>
      </c>
    </row>
    <row r="23" spans="1:8" ht="13.5" thickBot="1">
      <c r="A23" s="112" t="s">
        <v>201</v>
      </c>
      <c r="B23" s="141"/>
      <c r="C23" s="101"/>
      <c r="D23" s="705"/>
      <c r="E23" s="102" t="s">
        <v>94</v>
      </c>
      <c r="F23" s="13">
        <f>IF(POLLUTANTS!F25="",POLLUTANTS!C25,POLLUTANTS!F25)</f>
        <v>3.1</v>
      </c>
      <c r="G23" s="13">
        <f>IF(POLLUTANTS!G25="",POLLUTANTS!D25,POLLUTANTS!G25)</f>
        <v>163.83000000000001</v>
      </c>
      <c r="H23" s="47" t="s">
        <v>23</v>
      </c>
    </row>
    <row r="24" spans="1:8">
      <c r="A24" s="79" t="s">
        <v>9</v>
      </c>
      <c r="B24" s="137" t="s">
        <v>12</v>
      </c>
      <c r="C24" s="81"/>
      <c r="D24" s="705"/>
      <c r="E24" s="111" t="s">
        <v>95</v>
      </c>
      <c r="F24" s="13">
        <f>IF(POLLUTANTS!F26="",POLLUTANTS!C26,POLLUTANTS!F26)</f>
        <v>5</v>
      </c>
      <c r="G24" s="13">
        <f>IF(POLLUTANTS!G26="",POLLUTANTS!D26,POLLUTANTS!G26)</f>
        <v>58.12</v>
      </c>
      <c r="H24" s="47" t="s">
        <v>23</v>
      </c>
    </row>
    <row r="25" spans="1:8">
      <c r="A25" s="84" t="s">
        <v>224</v>
      </c>
      <c r="B25" s="249">
        <v>4000</v>
      </c>
      <c r="C25" s="113"/>
      <c r="D25" s="705"/>
      <c r="E25" s="102" t="s">
        <v>96</v>
      </c>
      <c r="F25" s="13">
        <f>IF(POLLUTANTS!F27="",POLLUTANTS!C27,POLLUTANTS!F27)</f>
        <v>0.57999999999999996</v>
      </c>
      <c r="G25" s="13">
        <f>IF(POLLUTANTS!G27="",POLLUTANTS!D27,POLLUTANTS!G27)</f>
        <v>76.13</v>
      </c>
      <c r="H25" s="47" t="s">
        <v>22</v>
      </c>
    </row>
    <row r="26" spans="1:8">
      <c r="A26" s="89" t="s">
        <v>225</v>
      </c>
      <c r="B26" s="107">
        <v>600</v>
      </c>
      <c r="C26" s="113"/>
      <c r="D26" s="705"/>
      <c r="E26" s="102" t="s">
        <v>14</v>
      </c>
      <c r="F26" s="13">
        <f>IF(POLLUTANTS!F28="",POLLUTANTS!C28,POLLUTANTS!F28)</f>
        <v>140</v>
      </c>
      <c r="G26" s="13">
        <f>IF(POLLUTANTS!G28="",POLLUTANTS!D28,POLLUTANTS!G28)</f>
        <v>28.01</v>
      </c>
      <c r="H26" s="47"/>
    </row>
    <row r="27" spans="1:8">
      <c r="A27" s="247" t="s">
        <v>226</v>
      </c>
      <c r="B27" s="250">
        <v>2400</v>
      </c>
      <c r="C27" s="114"/>
      <c r="D27" s="705"/>
      <c r="E27" s="102" t="s">
        <v>97</v>
      </c>
      <c r="F27" s="13">
        <f>IF(POLLUTANTS!F29="",POLLUTANTS!C29,POLLUTANTS!F29)</f>
        <v>4.0000000000000001E-3</v>
      </c>
      <c r="G27" s="13">
        <f>IF(POLLUTANTS!G29="",POLLUTANTS!D29,POLLUTANTS!G29)</f>
        <v>153.84</v>
      </c>
      <c r="H27" s="47" t="s">
        <v>22</v>
      </c>
    </row>
    <row r="28" spans="1:8" ht="13.5" thickBot="1">
      <c r="A28" s="152" t="s">
        <v>29</v>
      </c>
      <c r="B28" s="119">
        <v>-1</v>
      </c>
      <c r="C28" s="101"/>
      <c r="D28" s="705"/>
      <c r="E28" s="102" t="s">
        <v>98</v>
      </c>
      <c r="F28" s="13">
        <f>IF(POLLUTANTS!F30="",POLLUTANTS!C30,POLLUTANTS!F30)</f>
        <v>0.49</v>
      </c>
      <c r="G28" s="13">
        <f>IF(POLLUTANTS!G30="",POLLUTANTS!D30,POLLUTANTS!G30)</f>
        <v>60.07</v>
      </c>
      <c r="H28" s="47" t="s">
        <v>22</v>
      </c>
    </row>
    <row r="29" spans="1:8">
      <c r="A29" s="101"/>
      <c r="B29" s="248"/>
      <c r="C29" s="101"/>
      <c r="D29" s="705"/>
      <c r="E29" s="102" t="s">
        <v>99</v>
      </c>
      <c r="F29" s="13">
        <f>IF(POLLUTANTS!F31="",POLLUTANTS!C31,POLLUTANTS!F31)</f>
        <v>0.25</v>
      </c>
      <c r="G29" s="13">
        <f>IF(POLLUTANTS!G31="",POLLUTANTS!D31,POLLUTANTS!G31)</f>
        <v>112.56</v>
      </c>
      <c r="H29" s="47" t="s">
        <v>22</v>
      </c>
    </row>
    <row r="30" spans="1:8" ht="13.5" thickBot="1">
      <c r="A30" s="430" t="s">
        <v>28</v>
      </c>
      <c r="B30" s="431"/>
      <c r="C30" s="81"/>
      <c r="D30" s="705"/>
      <c r="E30" s="102" t="s">
        <v>15</v>
      </c>
      <c r="F30" s="13">
        <f>IF(POLLUTANTS!F32="",POLLUTANTS!C32,POLLUTANTS!F32)</f>
        <v>1.3</v>
      </c>
      <c r="G30" s="13">
        <f>IF(POLLUTANTS!G32="",POLLUTANTS!D32,POLLUTANTS!G32)</f>
        <v>86.47</v>
      </c>
      <c r="H30" s="47"/>
    </row>
    <row r="31" spans="1:8">
      <c r="A31" s="115" t="s">
        <v>9</v>
      </c>
      <c r="B31" s="80" t="s">
        <v>30</v>
      </c>
      <c r="C31" s="106"/>
      <c r="D31" s="705"/>
      <c r="E31" s="102" t="s">
        <v>100</v>
      </c>
      <c r="F31" s="13">
        <f>IF(POLLUTANTS!F33="",POLLUTANTS!C33,POLLUTANTS!F33)</f>
        <v>1.3</v>
      </c>
      <c r="G31" s="13">
        <f>IF(POLLUTANTS!G33="",POLLUTANTS!D33,POLLUTANTS!G33)</f>
        <v>64.52</v>
      </c>
      <c r="H31" s="47" t="s">
        <v>22</v>
      </c>
    </row>
    <row r="32" spans="1:8">
      <c r="A32" s="116" t="s">
        <v>227</v>
      </c>
      <c r="B32" s="117">
        <v>50</v>
      </c>
      <c r="C32" s="99"/>
      <c r="D32" s="705"/>
      <c r="E32" s="102" t="s">
        <v>101</v>
      </c>
      <c r="F32" s="13">
        <f>IF(POLLUTANTS!F34="",POLLUTANTS!C34,POLLUTANTS!F34)</f>
        <v>0.03</v>
      </c>
      <c r="G32" s="13">
        <f>IF(POLLUTANTS!G34="",POLLUTANTS!D34,POLLUTANTS!G34)</f>
        <v>119.39</v>
      </c>
      <c r="H32" s="47" t="s">
        <v>22</v>
      </c>
    </row>
    <row r="33" spans="1:8">
      <c r="A33" s="87" t="s">
        <v>29</v>
      </c>
      <c r="B33" s="118">
        <v>-1</v>
      </c>
      <c r="C33" s="106"/>
      <c r="D33" s="705"/>
      <c r="E33" s="102" t="s">
        <v>102</v>
      </c>
      <c r="F33" s="13">
        <f>IF(POLLUTANTS!F35="",POLLUTANTS!C35,POLLUTANTS!F35)</f>
        <v>1.2</v>
      </c>
      <c r="G33" s="13">
        <f>IF(POLLUTANTS!G35="",POLLUTANTS!D35,POLLUTANTS!G35)</f>
        <v>50.49</v>
      </c>
      <c r="H33" s="47" t="s">
        <v>23</v>
      </c>
    </row>
    <row r="34" spans="1:8" ht="13.5" thickBot="1">
      <c r="A34" s="251" t="s">
        <v>8</v>
      </c>
      <c r="B34" s="252">
        <v>50</v>
      </c>
      <c r="C34" s="101"/>
      <c r="D34" s="705"/>
      <c r="E34" s="102" t="s">
        <v>103</v>
      </c>
      <c r="F34" s="13">
        <f>IF(POLLUTANTS!F36="",POLLUTANTS!C36,POLLUTANTS!F36)</f>
        <v>0.21</v>
      </c>
      <c r="G34" s="13">
        <f>IF(POLLUTANTS!G36="",POLLUTANTS!D36,POLLUTANTS!G36)</f>
        <v>147</v>
      </c>
      <c r="H34" s="47" t="s">
        <v>24</v>
      </c>
    </row>
    <row r="35" spans="1:8">
      <c r="A35" s="101"/>
      <c r="B35" s="101"/>
      <c r="C35" s="101"/>
      <c r="D35" s="705"/>
      <c r="E35" s="102" t="s">
        <v>16</v>
      </c>
      <c r="F35" s="13">
        <f>IF(POLLUTANTS!F37="",POLLUTANTS!C37,POLLUTANTS!F37)</f>
        <v>16</v>
      </c>
      <c r="G35" s="13">
        <f>IF(POLLUTANTS!G37="",POLLUTANTS!D37,POLLUTANTS!G37)</f>
        <v>120.91</v>
      </c>
      <c r="H35" s="47"/>
    </row>
    <row r="36" spans="1:8" ht="13.5" thickBot="1">
      <c r="A36" s="120" t="s">
        <v>84</v>
      </c>
      <c r="B36" s="101"/>
      <c r="C36" s="101"/>
      <c r="D36" s="705"/>
      <c r="E36" s="102" t="s">
        <v>104</v>
      </c>
      <c r="F36" s="13">
        <f>IF(POLLUTANTS!F38="",POLLUTANTS!C38,POLLUTANTS!F38)</f>
        <v>2.6</v>
      </c>
      <c r="G36" s="13">
        <f>IF(POLLUTANTS!G38="",POLLUTANTS!D38,POLLUTANTS!G38)</f>
        <v>102.92</v>
      </c>
      <c r="H36" s="47" t="s">
        <v>23</v>
      </c>
    </row>
    <row r="37" spans="1:8">
      <c r="A37" s="121" t="s">
        <v>9</v>
      </c>
      <c r="B37" s="101"/>
      <c r="C37" s="101"/>
      <c r="D37" s="705"/>
      <c r="E37" s="102" t="s">
        <v>105</v>
      </c>
      <c r="F37" s="13">
        <f>IF(POLLUTANTS!F39="",POLLUTANTS!C39,POLLUTANTS!F39)</f>
        <v>14</v>
      </c>
      <c r="G37" s="13">
        <f>IF(POLLUTANTS!G39="",POLLUTANTS!D39,POLLUTANTS!G39)</f>
        <v>84.94</v>
      </c>
      <c r="H37" s="47" t="s">
        <v>20</v>
      </c>
    </row>
    <row r="38" spans="1:8">
      <c r="A38" s="122" t="s">
        <v>247</v>
      </c>
      <c r="B38" s="101"/>
      <c r="C38" s="101"/>
      <c r="D38" s="705"/>
      <c r="E38" s="102" t="s">
        <v>106</v>
      </c>
      <c r="F38" s="13">
        <f>IF(POLLUTANTS!F40="",POLLUTANTS!C40,POLLUTANTS!F40)</f>
        <v>7.8</v>
      </c>
      <c r="G38" s="13">
        <f>IF(POLLUTANTS!G40="",POLLUTANTS!D40,POLLUTANTS!G40)</f>
        <v>62.13</v>
      </c>
      <c r="H38" s="47" t="s">
        <v>23</v>
      </c>
    </row>
    <row r="39" spans="1:8" ht="13.5" thickBot="1">
      <c r="A39" s="123" t="s">
        <v>166</v>
      </c>
      <c r="B39" s="101"/>
      <c r="C39" s="101"/>
      <c r="D39" s="705"/>
      <c r="E39" s="102" t="s">
        <v>17</v>
      </c>
      <c r="F39" s="13">
        <f>IF(POLLUTANTS!F41="",POLLUTANTS!C41,POLLUTANTS!F41)</f>
        <v>890</v>
      </c>
      <c r="G39" s="13">
        <f>IF(POLLUTANTS!G41="",POLLUTANTS!D41,POLLUTANTS!G41)</f>
        <v>30.07</v>
      </c>
      <c r="H39" s="47"/>
    </row>
    <row r="40" spans="1:8">
      <c r="A40" s="111"/>
      <c r="B40" s="101"/>
      <c r="C40" s="101"/>
      <c r="D40" s="705"/>
      <c r="E40" s="102" t="s">
        <v>107</v>
      </c>
      <c r="F40" s="13">
        <f>IF(POLLUTANTS!F42="",POLLUTANTS!C42,POLLUTANTS!F42)</f>
        <v>27</v>
      </c>
      <c r="G40" s="13">
        <f>IF(POLLUTANTS!G42="",POLLUTANTS!D42,POLLUTANTS!G42)</f>
        <v>46.08</v>
      </c>
      <c r="H40" s="47" t="s">
        <v>23</v>
      </c>
    </row>
    <row r="41" spans="1:8" ht="13.5" thickBot="1">
      <c r="A41" s="120" t="s">
        <v>85</v>
      </c>
      <c r="B41" s="101"/>
      <c r="C41" s="101"/>
      <c r="D41" s="705"/>
      <c r="E41" s="102" t="s">
        <v>108</v>
      </c>
      <c r="F41" s="13">
        <f>IF(POLLUTANTS!F43="",POLLUTANTS!C43,POLLUTANTS!F43)</f>
        <v>2.2999999999999998</v>
      </c>
      <c r="G41" s="13">
        <f>IF(POLLUTANTS!G43="",POLLUTANTS!D43,POLLUTANTS!G43)</f>
        <v>62.13</v>
      </c>
      <c r="H41" s="47" t="s">
        <v>23</v>
      </c>
    </row>
    <row r="42" spans="1:8">
      <c r="A42" s="121" t="s">
        <v>9</v>
      </c>
      <c r="B42" s="101"/>
      <c r="C42" s="101"/>
      <c r="D42" s="705"/>
      <c r="E42" s="102" t="s">
        <v>109</v>
      </c>
      <c r="F42" s="13">
        <f>IF(POLLUTANTS!F44="",POLLUTANTS!C44,POLLUTANTS!F44)</f>
        <v>4.5999999999999996</v>
      </c>
      <c r="G42" s="13">
        <f>IF(POLLUTANTS!G44="",POLLUTANTS!D44,POLLUTANTS!G44)</f>
        <v>106.16</v>
      </c>
      <c r="H42" s="47" t="s">
        <v>22</v>
      </c>
    </row>
    <row r="43" spans="1:8">
      <c r="A43" s="122" t="s">
        <v>33</v>
      </c>
      <c r="B43" s="101"/>
      <c r="C43" s="101"/>
      <c r="D43" s="705"/>
      <c r="E43" s="102" t="s">
        <v>110</v>
      </c>
      <c r="F43" s="13">
        <f>IF(POLLUTANTS!F45="",POLLUTANTS!C45,POLLUTANTS!F45)</f>
        <v>1E-3</v>
      </c>
      <c r="G43" s="13">
        <f>IF(POLLUTANTS!G45="",POLLUTANTS!D45,POLLUTANTS!G45)</f>
        <v>187.88</v>
      </c>
      <c r="H43" s="47" t="s">
        <v>22</v>
      </c>
    </row>
    <row r="44" spans="1:8" ht="13.5" thickBot="1">
      <c r="A44" s="123" t="s">
        <v>167</v>
      </c>
      <c r="B44" s="101"/>
      <c r="C44" s="101"/>
      <c r="D44" s="705"/>
      <c r="E44" s="102" t="s">
        <v>111</v>
      </c>
      <c r="F44" s="13">
        <f>IF(POLLUTANTS!F46="",POLLUTANTS!C46,POLLUTANTS!F46)</f>
        <v>0.76</v>
      </c>
      <c r="G44" s="13">
        <f>IF(POLLUTANTS!G46="",POLLUTANTS!D46,POLLUTANTS!G46)</f>
        <v>137.38</v>
      </c>
      <c r="H44" s="47" t="s">
        <v>23</v>
      </c>
    </row>
    <row r="45" spans="1:8">
      <c r="A45" s="111"/>
      <c r="B45" s="101"/>
      <c r="C45" s="101"/>
      <c r="D45" s="705"/>
      <c r="E45" s="102" t="s">
        <v>112</v>
      </c>
      <c r="F45" s="13">
        <f>IF(POLLUTANTS!F47="",POLLUTANTS!C47,POLLUTANTS!F47)</f>
        <v>6.6</v>
      </c>
      <c r="G45" s="13">
        <f>IF(POLLUTANTS!G47="",POLLUTANTS!D47,POLLUTANTS!G47)</f>
        <v>86.18</v>
      </c>
      <c r="H45" s="47" t="s">
        <v>22</v>
      </c>
    </row>
    <row r="46" spans="1:8" ht="13.5" thickBot="1">
      <c r="A46" s="120" t="s">
        <v>58</v>
      </c>
      <c r="B46" s="101"/>
      <c r="C46" s="101"/>
      <c r="D46" s="705"/>
      <c r="E46" s="102" t="s">
        <v>18</v>
      </c>
      <c r="F46" s="13">
        <f>IF(POLLUTANTS!F48="",POLLUTANTS!C48,POLLUTANTS!F48)</f>
        <v>36</v>
      </c>
      <c r="G46" s="13">
        <f>IF(POLLUTANTS!G48="",POLLUTANTS!D48,POLLUTANTS!G48)</f>
        <v>34.08</v>
      </c>
      <c r="H46" s="47"/>
    </row>
    <row r="47" spans="1:8">
      <c r="A47" s="121" t="s">
        <v>9</v>
      </c>
      <c r="B47" s="101"/>
      <c r="C47" s="101"/>
      <c r="D47" s="705"/>
      <c r="E47" s="102" t="s">
        <v>113</v>
      </c>
      <c r="F47" s="13">
        <f>IF(POLLUTANTS!F49="",POLLUTANTS!C49,POLLUTANTS!F49)</f>
        <v>2.9E-4</v>
      </c>
      <c r="G47" s="13">
        <f>IF(POLLUTANTS!G49="",POLLUTANTS!D49,POLLUTANTS!G49)</f>
        <v>200.61</v>
      </c>
      <c r="H47" s="47" t="s">
        <v>20</v>
      </c>
    </row>
    <row r="48" spans="1:8">
      <c r="A48" s="204" t="s">
        <v>355</v>
      </c>
      <c r="B48" s="101"/>
      <c r="C48" s="101"/>
      <c r="D48" s="705"/>
      <c r="E48" s="102" t="s">
        <v>114</v>
      </c>
      <c r="F48" s="13">
        <f>IF(POLLUTANTS!F50="",POLLUTANTS!C50,POLLUTANTS!F50)</f>
        <v>7.1</v>
      </c>
      <c r="G48" s="13">
        <f>IF(POLLUTANTS!G50="",POLLUTANTS!D50,POLLUTANTS!G50)</f>
        <v>72.11</v>
      </c>
      <c r="H48" s="47" t="s">
        <v>22</v>
      </c>
    </row>
    <row r="49" spans="1:8">
      <c r="A49" s="124" t="s">
        <v>356</v>
      </c>
      <c r="C49" s="101"/>
      <c r="D49" s="705"/>
      <c r="E49" s="102" t="s">
        <v>115</v>
      </c>
      <c r="F49" s="13">
        <f>IF(POLLUTANTS!F51="",POLLUTANTS!C51,POLLUTANTS!F51)</f>
        <v>1.9</v>
      </c>
      <c r="G49" s="13">
        <f>IF(POLLUTANTS!G51="",POLLUTANTS!D51,POLLUTANTS!G51)</f>
        <v>100.16</v>
      </c>
      <c r="H49" s="47" t="s">
        <v>22</v>
      </c>
    </row>
    <row r="50" spans="1:8" ht="13.5" thickBot="1">
      <c r="A50" s="125" t="s">
        <v>167</v>
      </c>
      <c r="C50" s="101"/>
      <c r="D50" s="705"/>
      <c r="E50" s="102" t="s">
        <v>116</v>
      </c>
      <c r="F50" s="13">
        <f>IF(POLLUTANTS!F52="",POLLUTANTS!C52,POLLUTANTS!F52)</f>
        <v>2.5</v>
      </c>
      <c r="G50" s="13">
        <f>IF(POLLUTANTS!G52="",POLLUTANTS!D52,POLLUTANTS!G52)</f>
        <v>48.11</v>
      </c>
      <c r="H50" s="47" t="s">
        <v>23</v>
      </c>
    </row>
    <row r="51" spans="1:8">
      <c r="A51" s="101"/>
      <c r="B51" s="101"/>
      <c r="C51" s="101"/>
      <c r="D51" s="705"/>
      <c r="E51" s="102" t="s">
        <v>117</v>
      </c>
      <c r="F51" s="13">
        <f>IF(POLLUTANTS!F53="",POLLUTANTS!C53,POLLUTANTS!F53)</f>
        <v>3.3</v>
      </c>
      <c r="G51" s="13">
        <f>IF(POLLUTANTS!G53="",POLLUTANTS!D53,POLLUTANTS!G53)</f>
        <v>72.150000000000006</v>
      </c>
      <c r="H51" s="47" t="s">
        <v>23</v>
      </c>
    </row>
    <row r="52" spans="1:8">
      <c r="A52" s="126" t="s">
        <v>39</v>
      </c>
      <c r="B52" s="126"/>
      <c r="C52" s="101"/>
      <c r="D52" s="705"/>
      <c r="E52" s="102" t="s">
        <v>118</v>
      </c>
      <c r="F52" s="13">
        <f>IF(POLLUTANTS!F54="",POLLUTANTS!C54,POLLUTANTS!F54)</f>
        <v>3.7</v>
      </c>
      <c r="G52" s="13">
        <f>IF(POLLUTANTS!G54="",POLLUTANTS!D54,POLLUTANTS!G54)</f>
        <v>165.83</v>
      </c>
      <c r="H52" s="47" t="s">
        <v>20</v>
      </c>
    </row>
    <row r="53" spans="1:8">
      <c r="A53" s="101" t="s">
        <v>40</v>
      </c>
      <c r="B53" s="127">
        <v>2.2000000000000001E-3</v>
      </c>
      <c r="C53" s="111"/>
      <c r="D53" s="705"/>
      <c r="E53" s="102" t="s">
        <v>119</v>
      </c>
      <c r="F53" s="13">
        <f>IF(POLLUTANTS!F55="",POLLUTANTS!C55,POLLUTANTS!F55)</f>
        <v>11</v>
      </c>
      <c r="G53" s="13">
        <f>IF(POLLUTANTS!G55="",POLLUTANTS!D55,POLLUTANTS!G55)</f>
        <v>44.09</v>
      </c>
      <c r="H53" s="47" t="s">
        <v>23</v>
      </c>
    </row>
    <row r="54" spans="1:8">
      <c r="A54" s="101" t="s">
        <v>168</v>
      </c>
      <c r="B54" s="129">
        <v>2000</v>
      </c>
      <c r="C54" s="128"/>
      <c r="D54" s="705"/>
      <c r="E54" s="102" t="s">
        <v>120</v>
      </c>
      <c r="F54" s="13">
        <f>IF(POLLUTANTS!F56="",POLLUTANTS!C56,POLLUTANTS!F56)</f>
        <v>2.8</v>
      </c>
      <c r="G54" s="13">
        <f>IF(POLLUTANTS!G56="",POLLUTANTS!D56,POLLUTANTS!G56)</f>
        <v>96.94</v>
      </c>
      <c r="H54" s="47" t="s">
        <v>23</v>
      </c>
    </row>
    <row r="55" spans="1:8">
      <c r="A55" s="101" t="s">
        <v>248</v>
      </c>
      <c r="B55" s="131">
        <v>1000000</v>
      </c>
      <c r="C55" s="130"/>
      <c r="D55" s="705"/>
      <c r="E55" s="102" t="s">
        <v>234</v>
      </c>
      <c r="F55" s="13">
        <f>IF(POLLUTANTS!F57="",POLLUTANTS!C57,POLLUTANTS!F57)</f>
        <v>39</v>
      </c>
      <c r="G55" s="13">
        <f>IF(POLLUTANTS!G57="",POLLUTANTS!D57,POLLUTANTS!G57)</f>
        <v>92.13</v>
      </c>
      <c r="H55" s="47" t="s">
        <v>22</v>
      </c>
    </row>
    <row r="56" spans="1:8">
      <c r="A56" s="101" t="s">
        <v>249</v>
      </c>
      <c r="B56" s="129">
        <v>1000</v>
      </c>
      <c r="C56" s="132"/>
      <c r="D56" s="705"/>
      <c r="E56" s="102" t="s">
        <v>235</v>
      </c>
      <c r="F56" s="13">
        <f>IF(POLLUTANTS!F58="",POLLUTANTS!C58,POLLUTANTS!F58)</f>
        <v>170</v>
      </c>
      <c r="G56" s="13">
        <f>IF(POLLUTANTS!G58="",POLLUTANTS!D58,POLLUTANTS!G58)</f>
        <v>92.13</v>
      </c>
      <c r="H56" s="47" t="s">
        <v>22</v>
      </c>
    </row>
    <row r="57" spans="1:8">
      <c r="A57" s="101" t="s">
        <v>76</v>
      </c>
      <c r="B57" s="101">
        <v>35.314999999999998</v>
      </c>
      <c r="C57" s="101"/>
      <c r="D57" s="705"/>
      <c r="E57" s="102" t="s">
        <v>121</v>
      </c>
      <c r="F57" s="13">
        <f>IF(POLLUTANTS!F59="",POLLUTANTS!C59,POLLUTANTS!F59)</f>
        <v>2.8</v>
      </c>
      <c r="G57" s="13">
        <f>IF(POLLUTANTS!G59="",POLLUTANTS!D59,POLLUTANTS!G59)</f>
        <v>131.4</v>
      </c>
      <c r="H57" s="47" t="s">
        <v>22</v>
      </c>
    </row>
    <row r="58" spans="1:8">
      <c r="A58" s="101" t="s">
        <v>77</v>
      </c>
      <c r="B58" s="133">
        <f>8760*60</f>
        <v>525600</v>
      </c>
      <c r="C58" s="101"/>
      <c r="D58" s="705"/>
      <c r="E58" s="102" t="s">
        <v>122</v>
      </c>
      <c r="F58" s="13">
        <f>IF(POLLUTANTS!F60="",POLLUTANTS!C60,POLLUTANTS!F60)</f>
        <v>7.3</v>
      </c>
      <c r="G58" s="13">
        <f>IF(POLLUTANTS!G60="",POLLUTANTS!D60,POLLUTANTS!G60)</f>
        <v>62.5</v>
      </c>
      <c r="H58" s="47" t="s">
        <v>22</v>
      </c>
    </row>
    <row r="59" spans="1:8">
      <c r="A59" s="101"/>
      <c r="B59" s="101"/>
      <c r="C59" s="101"/>
      <c r="D59" s="705"/>
      <c r="E59" s="102" t="s">
        <v>123</v>
      </c>
      <c r="F59" s="13">
        <f>IF(POLLUTANTS!F61="",POLLUTANTS!C61,POLLUTANTS!F61)</f>
        <v>12</v>
      </c>
      <c r="G59" s="13">
        <f>IF(POLLUTANTS!G61="",POLLUTANTS!D61,POLLUTANTS!G61)</f>
        <v>106.16</v>
      </c>
      <c r="H59" s="47" t="s">
        <v>22</v>
      </c>
    </row>
    <row r="60" spans="1:8">
      <c r="A60" s="101"/>
      <c r="B60" s="101"/>
      <c r="C60" s="101"/>
      <c r="D60" s="705"/>
      <c r="E60" s="354" t="str">
        <f>IF(POLLUTANTS!B64="","",POLLUTANTS!B64)</f>
        <v/>
      </c>
      <c r="F60" s="354" t="str">
        <f>IF(POLLUTANTS!C64= "","",POLLUTANTS!C64)</f>
        <v/>
      </c>
      <c r="G60" s="354" t="str">
        <f>IF(POLLUTANTS!D64= "","",POLLUTANTS!D64)</f>
        <v/>
      </c>
      <c r="H60" s="44"/>
    </row>
    <row r="61" spans="1:8">
      <c r="A61" s="126" t="s">
        <v>61</v>
      </c>
      <c r="B61" s="126"/>
      <c r="C61" s="101"/>
      <c r="D61" s="705"/>
      <c r="E61" s="354" t="str">
        <f>IF(POLLUTANTS!B65="","",POLLUTANTS!B65)</f>
        <v/>
      </c>
      <c r="F61" s="354" t="str">
        <f>IF(POLLUTANTS!C65= "","",POLLUTANTS!C65)</f>
        <v/>
      </c>
      <c r="G61" s="354" t="str">
        <f>IF(POLLUTANTS!D65= "","",POLLUTANTS!D65)</f>
        <v/>
      </c>
      <c r="H61" s="44"/>
    </row>
    <row r="62" spans="1:8">
      <c r="A62" s="101"/>
      <c r="B62" s="101"/>
      <c r="C62" s="111"/>
      <c r="D62" s="705"/>
      <c r="E62" s="354" t="str">
        <f>IF(POLLUTANTS!B66="","",POLLUTANTS!B66)</f>
        <v/>
      </c>
      <c r="F62" s="354" t="str">
        <f>IF(POLLUTANTS!C66= "","",POLLUTANTS!C66)</f>
        <v/>
      </c>
      <c r="G62" s="354" t="str">
        <f>IF(POLLUTANTS!D66= "","",POLLUTANTS!D66)</f>
        <v/>
      </c>
      <c r="H62" s="48"/>
    </row>
    <row r="63" spans="1:8">
      <c r="A63" s="101" t="s">
        <v>70</v>
      </c>
      <c r="B63" s="101"/>
      <c r="C63" s="134"/>
      <c r="D63" s="705"/>
      <c r="E63" s="354" t="str">
        <f>IF(POLLUTANTS!B67="","",POLLUTANTS!B67)</f>
        <v/>
      </c>
      <c r="F63" s="354" t="str">
        <f>IF(POLLUTANTS!C67= "","",POLLUTANTS!C67)</f>
        <v/>
      </c>
      <c r="G63" s="354" t="str">
        <f>IF(POLLUTANTS!D67= "","",POLLUTANTS!D67)</f>
        <v/>
      </c>
      <c r="H63" s="48"/>
    </row>
    <row r="64" spans="1:8">
      <c r="A64" s="101"/>
      <c r="B64" s="101"/>
      <c r="C64" s="101"/>
      <c r="D64" s="705"/>
      <c r="E64" s="354" t="str">
        <f>IF(POLLUTANTS!B68="","",POLLUTANTS!B68)</f>
        <v/>
      </c>
      <c r="F64" s="354" t="str">
        <f>IF(POLLUTANTS!C68= "","",POLLUTANTS!C68)</f>
        <v/>
      </c>
      <c r="G64" s="354" t="str">
        <f>IF(POLLUTANTS!D68= "","",POLLUTANTS!D68)</f>
        <v/>
      </c>
      <c r="H64" s="48"/>
    </row>
    <row r="65" spans="1:8" ht="12.75" customHeight="1">
      <c r="A65" s="101" t="s">
        <v>75</v>
      </c>
      <c r="B65" s="101"/>
      <c r="C65" s="101"/>
      <c r="D65" s="705"/>
      <c r="E65" s="354" t="str">
        <f>IF(POLLUTANTS!B69="","",POLLUTANTS!B69)</f>
        <v/>
      </c>
      <c r="F65" s="354" t="str">
        <f>IF(POLLUTANTS!C69= "","",POLLUTANTS!C69)</f>
        <v/>
      </c>
      <c r="G65" s="354" t="str">
        <f>IF(POLLUTANTS!D69= "","",POLLUTANTS!D69)</f>
        <v/>
      </c>
      <c r="H65" s="48"/>
    </row>
    <row r="66" spans="1:8">
      <c r="A66" s="101" t="s">
        <v>72</v>
      </c>
      <c r="B66" s="101"/>
      <c r="C66" s="101"/>
      <c r="D66" s="705"/>
      <c r="E66" s="354" t="str">
        <f>IF(POLLUTANTS!B70="","",POLLUTANTS!B70)</f>
        <v/>
      </c>
      <c r="F66" s="354" t="str">
        <f>IF(POLLUTANTS!C70= "","",POLLUTANTS!C70)</f>
        <v/>
      </c>
      <c r="G66" s="354" t="str">
        <f>IF(POLLUTANTS!D70= "","",POLLUTANTS!D70)</f>
        <v/>
      </c>
      <c r="H66" s="48"/>
    </row>
    <row r="67" spans="1:8">
      <c r="A67" s="101" t="s">
        <v>71</v>
      </c>
      <c r="B67" s="101"/>
      <c r="C67" s="101"/>
      <c r="D67" s="705"/>
      <c r="E67" s="354" t="str">
        <f>IF(POLLUTANTS!B71="","",POLLUTANTS!B71)</f>
        <v/>
      </c>
      <c r="F67" s="354" t="str">
        <f>IF(POLLUTANTS!C71= "","",POLLUTANTS!C71)</f>
        <v/>
      </c>
      <c r="G67" s="354" t="str">
        <f>IF(POLLUTANTS!D71= "","",POLLUTANTS!D71)</f>
        <v/>
      </c>
      <c r="H67" s="48"/>
    </row>
    <row r="68" spans="1:8" ht="14.25">
      <c r="A68" s="101" t="s">
        <v>349</v>
      </c>
      <c r="B68" s="101"/>
      <c r="C68" s="101"/>
      <c r="D68" s="705"/>
      <c r="E68" s="354" t="str">
        <f>IF(POLLUTANTS!B72="","",POLLUTANTS!B72)</f>
        <v/>
      </c>
      <c r="F68" s="354" t="str">
        <f>IF(POLLUTANTS!C72= "","",POLLUTANTS!C72)</f>
        <v/>
      </c>
      <c r="G68" s="354" t="str">
        <f>IF(POLLUTANTS!D72= "","",POLLUTANTS!D72)</f>
        <v/>
      </c>
      <c r="H68" s="48"/>
    </row>
    <row r="69" spans="1:8" ht="13.5" thickBot="1">
      <c r="A69" s="101" t="s">
        <v>73</v>
      </c>
      <c r="B69" s="101"/>
      <c r="C69" s="101"/>
      <c r="D69" s="706"/>
      <c r="E69" s="356" t="str">
        <f>IF(POLLUTANTS!B73="","",POLLUTANTS!B73)</f>
        <v/>
      </c>
      <c r="F69" s="355" t="str">
        <f>IF(POLLUTANTS!C73= "","",POLLUTANTS!C73)</f>
        <v/>
      </c>
      <c r="G69" s="355" t="str">
        <f>IF(POLLUTANTS!D73= "","",POLLUTANTS!D73)</f>
        <v/>
      </c>
      <c r="H69" s="49"/>
    </row>
    <row r="70" spans="1:8">
      <c r="A70" s="101" t="s">
        <v>74</v>
      </c>
      <c r="B70" s="101"/>
      <c r="C70" s="101"/>
    </row>
    <row r="71" spans="1:8">
      <c r="C71" s="101"/>
      <c r="E71" t="s">
        <v>21</v>
      </c>
    </row>
    <row r="72" spans="1:8">
      <c r="A72" t="s">
        <v>63</v>
      </c>
      <c r="B72" s="74">
        <f>101325/1000</f>
        <v>101.325</v>
      </c>
      <c r="E72" t="s">
        <v>203</v>
      </c>
    </row>
    <row r="73" spans="1:8" ht="12.75" customHeight="1">
      <c r="A73" t="s">
        <v>62</v>
      </c>
      <c r="B73">
        <v>293</v>
      </c>
      <c r="E73" s="700" t="s">
        <v>204</v>
      </c>
      <c r="F73" s="700"/>
      <c r="G73" s="700"/>
      <c r="H73" s="700"/>
    </row>
    <row r="74" spans="1:8" ht="14.25">
      <c r="A74" t="s">
        <v>354</v>
      </c>
      <c r="B74">
        <v>8.3143999999999991</v>
      </c>
      <c r="E74" s="700"/>
      <c r="F74" s="700"/>
      <c r="G74" s="700"/>
      <c r="H74" s="700"/>
    </row>
    <row r="76" spans="1:8">
      <c r="A76" t="s">
        <v>66</v>
      </c>
      <c r="B76" t="str">
        <f>VLOOKUP('USER INPUTS'!$B$24,DEFAULTS!$E$8:$G$69,3,FALSE)</f>
        <v/>
      </c>
      <c r="E76" s="700" t="s">
        <v>25</v>
      </c>
      <c r="F76" s="700"/>
      <c r="G76" s="700"/>
      <c r="H76" s="700"/>
    </row>
    <row r="77" spans="1:8">
      <c r="A77" t="s">
        <v>67</v>
      </c>
      <c r="B77" t="str">
        <f>VLOOKUP('USER INPUTS'!$B$26,DEFAULTS!$E$8:$G$69,3,FALSE)</f>
        <v/>
      </c>
      <c r="E77" s="700"/>
      <c r="F77" s="700"/>
      <c r="G77" s="700"/>
      <c r="H77" s="700"/>
    </row>
    <row r="78" spans="1:8">
      <c r="A78" t="s">
        <v>68</v>
      </c>
      <c r="B78">
        <f>VLOOKUP('USER INPUTS'!$B$28,DEFAULTS!$E$8:$G$69,3,FALSE)</f>
        <v>44.01</v>
      </c>
      <c r="E78" s="700"/>
      <c r="F78" s="700"/>
      <c r="G78" s="700"/>
      <c r="H78" s="700"/>
    </row>
    <row r="79" spans="1:8">
      <c r="A79" t="s">
        <v>69</v>
      </c>
      <c r="B79" t="str">
        <f>VLOOKUP('USER INPUTS'!$B$30,DEFAULTS!$E$8:$G$69,3,FALSE)</f>
        <v/>
      </c>
      <c r="E79" s="700"/>
      <c r="F79" s="700"/>
      <c r="G79" s="700"/>
      <c r="H79" s="700"/>
    </row>
    <row r="81" spans="1:2" ht="14.25">
      <c r="A81" t="s">
        <v>350</v>
      </c>
      <c r="B81" s="74" t="e">
        <f>(B76*$B$72)/($B$73*$B$74*$B$56)</f>
        <v>#VALUE!</v>
      </c>
    </row>
    <row r="82" spans="1:2" ht="14.25">
      <c r="A82" t="s">
        <v>351</v>
      </c>
      <c r="B82" s="74" t="e">
        <f>(B77*$B$72)/($B$73*$B$74*$B$56)</f>
        <v>#VALUE!</v>
      </c>
    </row>
    <row r="83" spans="1:2" ht="14.25">
      <c r="A83" t="s">
        <v>352</v>
      </c>
      <c r="B83" s="74">
        <f>(B78*$B$72)/($B$73*$B$74*$B$56)</f>
        <v>1.8304987908637643E-3</v>
      </c>
    </row>
    <row r="84" spans="1:2" ht="14.25">
      <c r="A84" t="s">
        <v>353</v>
      </c>
      <c r="B84" s="74" t="e">
        <f>(B79*$B$72)/($B$73*$B$74*$B$56)</f>
        <v>#VALUE!</v>
      </c>
    </row>
  </sheetData>
  <mergeCells count="4">
    <mergeCell ref="E73:H74"/>
    <mergeCell ref="E76:H79"/>
    <mergeCell ref="D8:D11"/>
    <mergeCell ref="D12:D69"/>
  </mergeCells>
  <phoneticPr fontId="51" type="noConversion"/>
  <pageMargins left="0.2" right="0.2" top="0.5" bottom="0.5" header="0.2" footer="0.2"/>
  <pageSetup orientation="portrait" r:id="rId1"/>
  <headerFooter alignWithMargins="0">
    <oddHeader>&amp;L&amp;9&amp;F&amp;R&amp;9&amp;D</oddHeader>
    <oddFooter>&amp;C&amp;9DEFAULTS - &amp;P</oddFooter>
  </headerFooter>
  <rowBreaks count="1" manualBreakCount="1">
    <brk id="46" max="7" man="1"/>
  </rowBreaks>
  <colBreaks count="1" manualBreakCount="1">
    <brk id="3" max="8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Q88"/>
  <sheetViews>
    <sheetView showGridLines="0" zoomScaleNormal="100" workbookViewId="0">
      <selection activeCell="L16" sqref="L16"/>
    </sheetView>
  </sheetViews>
  <sheetFormatPr defaultRowHeight="12.75"/>
  <cols>
    <col min="1" max="1" width="1.7109375" style="17" customWidth="1"/>
    <col min="2" max="2" width="13.140625" style="17" customWidth="1"/>
    <col min="3" max="3" width="22.140625" style="17" customWidth="1"/>
    <col min="4" max="4" width="13.7109375" style="17" customWidth="1"/>
    <col min="5" max="5" width="11.28515625" style="17" customWidth="1"/>
    <col min="6" max="8" width="10.85546875" style="17" customWidth="1"/>
    <col min="9" max="9" width="2.140625" style="17" customWidth="1"/>
    <col min="10" max="10" width="10" style="17" customWidth="1"/>
    <col min="11" max="11" width="15.85546875" style="17" customWidth="1"/>
    <col min="12" max="12" width="15.85546875" style="17" bestFit="1" customWidth="1"/>
    <col min="13" max="13" width="4.7109375" style="17" customWidth="1"/>
    <col min="14" max="15" width="9.140625" style="17"/>
    <col min="16" max="16" width="11.42578125" style="17" customWidth="1"/>
    <col min="17" max="16384" width="9.140625" style="17"/>
  </cols>
  <sheetData>
    <row r="1" spans="1:17" ht="16.5" customHeight="1">
      <c r="A1" s="196" t="s">
        <v>31</v>
      </c>
      <c r="D1" s="159" t="s">
        <v>170</v>
      </c>
      <c r="E1" s="601" t="s">
        <v>359</v>
      </c>
      <c r="F1" s="602"/>
      <c r="G1" s="602"/>
      <c r="H1" s="603"/>
    </row>
    <row r="2" spans="1:17" ht="16.5" customHeight="1">
      <c r="A2" s="50"/>
      <c r="B2" s="158"/>
      <c r="C2" s="160"/>
      <c r="D2" s="160"/>
      <c r="E2" s="19"/>
    </row>
    <row r="3" spans="1:17" ht="16.5" customHeight="1">
      <c r="A3" s="16"/>
      <c r="F3" s="424" t="b">
        <v>1</v>
      </c>
      <c r="J3" s="25" t="s">
        <v>231</v>
      </c>
      <c r="K3" s="25"/>
    </row>
    <row r="4" spans="1:17" ht="16.5" customHeight="1">
      <c r="A4" s="27"/>
      <c r="B4" s="25" t="s">
        <v>229</v>
      </c>
      <c r="I4" s="27"/>
      <c r="J4" s="597" t="s">
        <v>38</v>
      </c>
      <c r="K4" s="329" t="s">
        <v>33</v>
      </c>
      <c r="L4" s="156"/>
      <c r="Q4" s="18"/>
    </row>
    <row r="5" spans="1:17" ht="16.5" customHeight="1" thickBot="1">
      <c r="B5" s="171" t="s">
        <v>3</v>
      </c>
      <c r="C5" s="28"/>
      <c r="D5" s="323">
        <v>2018</v>
      </c>
      <c r="E5" s="604" t="str">
        <f>IF(AND($D$7=TRUE,$D$6&gt;0),"Landfill Closure Year entered is not used by the model unless 'Have Model Calculate Closure Year?' option is No.",IF(AND(ClosureCalcYes=TRUE,WasteCapacity&lt;=0),"Waste Design Capacity must be greater than zero for model to calculate closure year.",IF(AND(ClosureCalcYes=FALSE,WasteCapacity&gt;0),"Waste Design Capacity entered is not used by the model unless 'Have Model Calculate Closure Year?' option is Yes.","")))</f>
        <v/>
      </c>
      <c r="F5" s="605"/>
      <c r="G5" s="605"/>
      <c r="H5" s="606"/>
      <c r="J5" s="598"/>
      <c r="K5" s="157"/>
      <c r="L5" s="157"/>
    </row>
    <row r="6" spans="1:17" ht="16.5" customHeight="1" thickTop="1">
      <c r="B6" s="172" t="s">
        <v>4</v>
      </c>
      <c r="C6" s="19"/>
      <c r="D6" s="324">
        <v>2048</v>
      </c>
      <c r="E6" s="607"/>
      <c r="F6" s="608"/>
      <c r="G6" s="608"/>
      <c r="H6" s="609"/>
      <c r="J6" s="599" t="s">
        <v>5</v>
      </c>
      <c r="K6" s="23" t="s">
        <v>36</v>
      </c>
      <c r="L6" s="20" t="s">
        <v>37</v>
      </c>
    </row>
    <row r="7" spans="1:17" ht="16.5" customHeight="1" thickBot="1">
      <c r="B7" s="172" t="s">
        <v>35</v>
      </c>
      <c r="C7" s="19"/>
      <c r="D7" s="328" t="b">
        <v>0</v>
      </c>
      <c r="F7" s="26"/>
      <c r="G7" s="26"/>
      <c r="H7" s="36"/>
      <c r="J7" s="600"/>
      <c r="K7" s="24" t="str">
        <f>CONCATENATE("(",$K$4,")")</f>
        <v>(Mg/year)</v>
      </c>
      <c r="L7" s="21" t="str">
        <f>IF($K$7="(Mg/year)","(short tons/year)","(Mg/year)")</f>
        <v>(short tons/year)</v>
      </c>
    </row>
    <row r="8" spans="1:17" ht="16.5" customHeight="1">
      <c r="B8" s="173" t="s">
        <v>6</v>
      </c>
      <c r="C8" s="32"/>
      <c r="D8" s="325"/>
      <c r="E8" s="327" t="s">
        <v>247</v>
      </c>
      <c r="F8" s="37"/>
      <c r="G8" s="37"/>
      <c r="H8" s="38"/>
      <c r="J8" s="22">
        <f>IF(OpenYear&gt;0,OpenYear,0)</f>
        <v>2018</v>
      </c>
      <c r="K8" s="544">
        <v>189082</v>
      </c>
      <c r="L8" s="65">
        <f>IF(ISERROR(IF($K8&gt;0,IF($K$7="(Mg/year)",($K8*DEFAULTS!$B$55*DEFAULTS!$B$53/DEFAULTS!$B$54),($K8*DEFAULTS!$B$54/(DEFAULTS!$B$53*DEFAULTS!$B$55))),IF(SUM(K8:$K$87)=0,"",0))),0,IF($K8&gt;0,IF($K$7="(Mg/year)",($K8*DEFAULTS!$B$55*DEFAULTS!$B$53/DEFAULTS!$B$54),($K8*DEFAULTS!$B$54/(DEFAULTS!$B$53*DEFAULTS!$B$55))),IF(SUM(K8:$K$87)=0,"",0)))</f>
        <v>207990.2</v>
      </c>
    </row>
    <row r="9" spans="1:17" ht="16.5" customHeight="1">
      <c r="B9" s="612" t="str">
        <f>IF(AND(ClosureCalcYes=FALSE,(ClosureYear-OpenYear)&gt;79,ClosureYear&gt;0,OpenYear&gt;0),"Landfill Closure Year entered exceeds the 80-year waste acceptance limit. See Section 2.6 of the User's Manual.","")</f>
        <v/>
      </c>
      <c r="C9" s="613"/>
      <c r="D9" s="613"/>
      <c r="E9" s="261"/>
      <c r="F9" s="261"/>
      <c r="G9" s="261"/>
      <c r="H9" s="261"/>
      <c r="J9" s="22">
        <f>IF(ISERROR(IF(J8="","",(J8+1))),0,IF(J8="","",(J8+1)))</f>
        <v>2019</v>
      </c>
      <c r="K9" s="545">
        <v>293489</v>
      </c>
      <c r="L9" s="65">
        <f>IF(ISERROR(IF($K9&gt;0,IF($K$7="(Mg/year)",($K9*DEFAULTS!$B$55*DEFAULTS!$B$53/DEFAULTS!$B$54),($K9*DEFAULTS!$B$54/(DEFAULTS!$B$53*DEFAULTS!$B$55))),IF(SUM(K9:$K$87)=0,"",0))),0,IF($K9&gt;0,IF($K$7="(Mg/year)",($K9*DEFAULTS!$B$55*DEFAULTS!$B$53/DEFAULTS!$B$54),($K9*DEFAULTS!$B$54/(DEFAULTS!$B$53*DEFAULTS!$B$55))),IF(SUM(K9:$K$87)=0,"",0)))</f>
        <v>322837.90000000002</v>
      </c>
    </row>
    <row r="10" spans="1:17" ht="16.5" customHeight="1">
      <c r="A10" s="27"/>
      <c r="B10" s="614"/>
      <c r="C10" s="614"/>
      <c r="D10" s="614"/>
      <c r="E10" s="260"/>
      <c r="F10" s="260"/>
      <c r="G10" s="260"/>
      <c r="H10" s="260"/>
      <c r="J10" s="22">
        <f t="shared" ref="J10:J47" si="0">IF(J9="","",(J9+1))</f>
        <v>2020</v>
      </c>
      <c r="K10" s="545">
        <v>283523</v>
      </c>
      <c r="L10" s="65">
        <f>IF(ISERROR(IF($K10&gt;0,IF($K$7="(Mg/year)",($K10*DEFAULTS!$B$55*DEFAULTS!$B$53/DEFAULTS!$B$54),($K10*DEFAULTS!$B$54/(DEFAULTS!$B$53*DEFAULTS!$B$55))),IF(SUM(K10:$K$87)=0,"",0))),0,IF($K10&gt;0,IF($K$7="(Mg/year)",($K10*DEFAULTS!$B$55*DEFAULTS!$B$53/DEFAULTS!$B$54),($K10*DEFAULTS!$B$54/(DEFAULTS!$B$53*DEFAULTS!$B$55))),IF(SUM(K10:$K$87)=0,"",0)))</f>
        <v>311875.3</v>
      </c>
    </row>
    <row r="11" spans="1:17" ht="16.5" customHeight="1">
      <c r="B11" s="25" t="s">
        <v>230</v>
      </c>
      <c r="E11" s="199"/>
      <c r="F11" s="199"/>
      <c r="G11" s="199"/>
      <c r="H11" s="199"/>
      <c r="J11" s="22">
        <f t="shared" si="0"/>
        <v>2021</v>
      </c>
      <c r="K11" s="545">
        <v>143321</v>
      </c>
      <c r="L11" s="65">
        <f>IF(ISERROR(IF($K11&gt;0,IF($K$7="(Mg/year)",($K11*DEFAULTS!$B$55*DEFAULTS!$B$53/DEFAULTS!$B$54),($K11*DEFAULTS!$B$54/(DEFAULTS!$B$53*DEFAULTS!$B$55))),IF(SUM(K11:$K$87)=0,"",0))),0,IF($K11&gt;0,IF($K$7="(Mg/year)",($K11*DEFAULTS!$B$55*DEFAULTS!$B$53/DEFAULTS!$B$54),($K11*DEFAULTS!$B$54/(DEFAULTS!$B$53*DEFAULTS!$B$55))),IF(SUM(K11:$K$87)=0,"",0)))</f>
        <v>157653.1</v>
      </c>
    </row>
    <row r="12" spans="1:17" ht="16.5" customHeight="1">
      <c r="B12" s="34" t="s">
        <v>34</v>
      </c>
      <c r="C12" s="28"/>
      <c r="D12" s="265" t="str">
        <f>IF($F$13&gt;0,"User-specified k value should be based on site-specific data and determined","")</f>
        <v/>
      </c>
      <c r="E12" s="28"/>
      <c r="F12" s="256"/>
      <c r="G12" s="264"/>
      <c r="H12" s="262"/>
      <c r="J12" s="22">
        <f t="shared" si="0"/>
        <v>2022</v>
      </c>
      <c r="K12" s="545">
        <v>227851</v>
      </c>
      <c r="L12" s="65">
        <f>IF(ISERROR(IF($K12&gt;0,IF($K$7="(Mg/year)",($K12*DEFAULTS!$B$55*DEFAULTS!$B$53/DEFAULTS!$B$54),($K12*DEFAULTS!$B$54/(DEFAULTS!$B$53*DEFAULTS!$B$55))),IF(SUM(K12:$K$87)=0,"",0))),0,IF($K12&gt;0,IF($K$7="(Mg/year)",($K12*DEFAULTS!$B$55*DEFAULTS!$B$53/DEFAULTS!$B$54),($K12*DEFAULTS!$B$54/(DEFAULTS!$B$53*DEFAULTS!$B$55))),IF(SUM(K12:$K$87)=0,"",0)))</f>
        <v>250636.10000000003</v>
      </c>
    </row>
    <row r="13" spans="1:17" ht="16.5" customHeight="1">
      <c r="B13" s="330">
        <v>0.04</v>
      </c>
      <c r="C13" s="19"/>
      <c r="D13" s="147"/>
      <c r="E13" s="259" t="str">
        <f>IF(B13&lt;0,"User-specified value:","")</f>
        <v/>
      </c>
      <c r="F13" s="372"/>
      <c r="G13" s="373" t="str">
        <f>IF(AND($F$13&gt;0,$B$13&lt;0),"by EPA Method 2E.","")</f>
        <v/>
      </c>
      <c r="H13" s="263"/>
      <c r="J13" s="22">
        <f t="shared" si="0"/>
        <v>2023</v>
      </c>
      <c r="K13" s="545">
        <v>238727</v>
      </c>
      <c r="L13" s="65">
        <f>IF(ISERROR(IF($K13&gt;0,IF($K$7="(Mg/year)",($K13*DEFAULTS!$B$55*DEFAULTS!$B$53/DEFAULTS!$B$54),($K13*DEFAULTS!$B$54/(DEFAULTS!$B$53*DEFAULTS!$B$55))),IF(SUM(K13:$K$87)=0,"",0))),0,IF($K13&gt;0,IF($K$7="(Mg/year)",($K13*DEFAULTS!$B$55*DEFAULTS!$B$53/DEFAULTS!$B$54),($K13*DEFAULTS!$B$54/(DEFAULTS!$B$53*DEFAULTS!$B$55))),IF(SUM(K13:$K$87)=0,"",0)))</f>
        <v>262599.7</v>
      </c>
    </row>
    <row r="14" spans="1:17" ht="16.5" customHeight="1">
      <c r="B14" s="35" t="s">
        <v>346</v>
      </c>
      <c r="C14" s="19"/>
      <c r="D14" s="19"/>
      <c r="E14" s="266" t="str">
        <f>IF($F$15&gt;0,"User-specified Lo value should be based on site-specific","")</f>
        <v/>
      </c>
      <c r="F14" s="253"/>
      <c r="G14" s="253"/>
      <c r="H14" s="263"/>
      <c r="J14" s="22">
        <f t="shared" si="0"/>
        <v>2024</v>
      </c>
      <c r="K14" s="545">
        <v>250122</v>
      </c>
      <c r="L14" s="65">
        <f>IF(ISERROR(IF($K14&gt;0,IF($K$7="(Mg/year)",($K14*DEFAULTS!$B$55*DEFAULTS!$B$53/DEFAULTS!$B$54),($K14*DEFAULTS!$B$54/(DEFAULTS!$B$53*DEFAULTS!$B$55))),IF(SUM(K14:$K$87)=0,"",0))),0,IF($K14&gt;0,IF($K$7="(Mg/year)",($K14*DEFAULTS!$B$55*DEFAULTS!$B$53/DEFAULTS!$B$54),($K14*DEFAULTS!$B$54/(DEFAULTS!$B$53*DEFAULTS!$B$55))),IF(SUM(K14:$K$87)=0,"",0)))</f>
        <v>275134.2</v>
      </c>
    </row>
    <row r="15" spans="1:17" ht="16.5" customHeight="1">
      <c r="B15" s="331">
        <v>100</v>
      </c>
      <c r="C15" s="19"/>
      <c r="D15" s="147"/>
      <c r="E15" s="259" t="str">
        <f>IF(B15&lt;0,"User-specified value:","")</f>
        <v/>
      </c>
      <c r="F15" s="387"/>
      <c r="G15" s="610" t="str">
        <f>IF($F$15&gt;0, "data and determined by waste type and composition.","")</f>
        <v/>
      </c>
      <c r="H15" s="611"/>
      <c r="J15" s="22">
        <f t="shared" si="0"/>
        <v>2025</v>
      </c>
      <c r="K15" s="545">
        <v>262060</v>
      </c>
      <c r="L15" s="65">
        <f>IF(ISERROR(IF($K15&gt;0,IF($K$7="(Mg/year)",($K15*DEFAULTS!$B$55*DEFAULTS!$B$53/DEFAULTS!$B$54),($K15*DEFAULTS!$B$54/(DEFAULTS!$B$53*DEFAULTS!$B$55))),IF(SUM(K15:$K$87)=0,"",0))),0,IF($K15&gt;0,IF($K$7="(Mg/year)",($K15*DEFAULTS!$B$55*DEFAULTS!$B$53/DEFAULTS!$B$54),($K15*DEFAULTS!$B$54/(DEFAULTS!$B$53*DEFAULTS!$B$55))),IF(SUM(K15:$K$87)=0,"",0)))</f>
        <v>288266</v>
      </c>
    </row>
    <row r="16" spans="1:17" ht="16.5" customHeight="1">
      <c r="B16" s="35" t="s">
        <v>200</v>
      </c>
      <c r="C16" s="19"/>
      <c r="D16" s="19"/>
      <c r="E16" s="19"/>
      <c r="F16" s="179"/>
      <c r="G16" s="179"/>
      <c r="H16" s="255"/>
      <c r="J16" s="22">
        <f t="shared" si="0"/>
        <v>2026</v>
      </c>
      <c r="K16" s="545">
        <v>274569</v>
      </c>
      <c r="L16" s="65">
        <f>IF(ISERROR(IF($K16&gt;0,IF($K$7="(Mg/year)",($K16*DEFAULTS!$B$55*DEFAULTS!$B$53/DEFAULTS!$B$54),($K16*DEFAULTS!$B$54/(DEFAULTS!$B$53*DEFAULTS!$B$55))),IF(SUM(K16:$K$87)=0,"",0))),0,IF($K16&gt;0,IF($K$7="(Mg/year)",($K16*DEFAULTS!$B$55*DEFAULTS!$B$53/DEFAULTS!$B$54),($K16*DEFAULTS!$B$54/(DEFAULTS!$B$53*DEFAULTS!$B$55))),IF(SUM(K16:$K$87)=0,"",0)))</f>
        <v>302025.90000000002</v>
      </c>
    </row>
    <row r="17" spans="1:12" ht="16.5" customHeight="1">
      <c r="B17" s="331">
        <v>600</v>
      </c>
      <c r="C17" s="19"/>
      <c r="D17" s="147"/>
      <c r="E17" s="259" t="str">
        <f>IF(B17&lt;0,"User-specified value:","")</f>
        <v/>
      </c>
      <c r="F17" s="387"/>
      <c r="G17" s="160"/>
      <c r="H17" s="255"/>
      <c r="J17" s="22">
        <f t="shared" si="0"/>
        <v>2027</v>
      </c>
      <c r="K17" s="545">
        <v>287675</v>
      </c>
      <c r="L17" s="65">
        <f>IF(ISERROR(IF($K17&gt;0,IF($K$7="(Mg/year)",($K17*DEFAULTS!$B$55*DEFAULTS!$B$53/DEFAULTS!$B$54),($K17*DEFAULTS!$B$54/(DEFAULTS!$B$53*DEFAULTS!$B$55))),IF(SUM(K17:$K$87)=0,"",0))),0,IF($K17&gt;0,IF($K$7="(Mg/year)",($K17*DEFAULTS!$B$55*DEFAULTS!$B$53/DEFAULTS!$B$54),($K17*DEFAULTS!$B$54/(DEFAULTS!$B$53*DEFAULTS!$B$55))),IF(SUM(K17:$K$87)=0,"",0)))</f>
        <v>316442.5</v>
      </c>
    </row>
    <row r="18" spans="1:12" ht="16.5" customHeight="1">
      <c r="B18" s="35" t="s">
        <v>164</v>
      </c>
      <c r="C18" s="19"/>
      <c r="D18" s="268" t="str">
        <f>IF(AND(F$19&gt;0,OR($F$19&lt;40,$F$19&gt;60)),"Methane Content should be 40-60% to ensure proper use of the model.","")</f>
        <v/>
      </c>
      <c r="E18" s="19"/>
      <c r="F18" s="253"/>
      <c r="G18" s="253"/>
      <c r="H18" s="254"/>
      <c r="J18" s="146">
        <f t="shared" si="0"/>
        <v>2028</v>
      </c>
      <c r="K18" s="545">
        <v>301406</v>
      </c>
      <c r="L18" s="65">
        <f>IF(ISERROR(IF($K18&gt;0,IF($K$7="(Mg/year)",($K18*DEFAULTS!$B$55*DEFAULTS!$B$53/DEFAULTS!$B$54),($K18*DEFAULTS!$B$54/(DEFAULTS!$B$53*DEFAULTS!$B$55))),IF(SUM(K18:$K$87)=0,"",0))),0,IF($K18&gt;0,IF($K$7="(Mg/year)",($K18*DEFAULTS!$B$55*DEFAULTS!$B$53/DEFAULTS!$B$54),($K18*DEFAULTS!$B$54/(DEFAULTS!$B$53*DEFAULTS!$B$55))),IF(SUM(K18:$K$87)=0,"",0)))</f>
        <v>331546.59999999998</v>
      </c>
    </row>
    <row r="19" spans="1:12" ht="16.5" customHeight="1">
      <c r="B19" s="332">
        <v>-1</v>
      </c>
      <c r="C19" s="19"/>
      <c r="D19" s="147"/>
      <c r="E19" s="259" t="str">
        <f>IF(B19&lt;0,"User-specified value:","")</f>
        <v>User-specified value:</v>
      </c>
      <c r="F19" s="388">
        <v>60</v>
      </c>
      <c r="G19" s="253"/>
      <c r="H19" s="254"/>
      <c r="J19" s="146">
        <f t="shared" si="0"/>
        <v>2029</v>
      </c>
      <c r="K19" s="545">
        <v>315793</v>
      </c>
      <c r="L19" s="65">
        <f>IF(ISERROR(IF($K19&gt;0,IF($K$7="(Mg/year)",($K19*DEFAULTS!$B$55*DEFAULTS!$B$53/DEFAULTS!$B$54),($K19*DEFAULTS!$B$54/(DEFAULTS!$B$53*DEFAULTS!$B$55))),IF(SUM(K19:$K$87)=0,"",0))),0,IF($K19&gt;0,IF($K$7="(Mg/year)",($K19*DEFAULTS!$B$55*DEFAULTS!$B$53/DEFAULTS!$B$54),($K19*DEFAULTS!$B$54/(DEFAULTS!$B$53*DEFAULTS!$B$55))),IF(SUM(K19:$K$87)=0,"",0)))</f>
        <v>347372.3</v>
      </c>
    </row>
    <row r="20" spans="1:12" ht="16.5" customHeight="1">
      <c r="B20" s="267"/>
      <c r="C20" s="32"/>
      <c r="D20" s="32"/>
      <c r="E20" s="145"/>
      <c r="F20" s="257"/>
      <c r="G20" s="257"/>
      <c r="H20" s="258"/>
      <c r="J20" s="146">
        <f t="shared" si="0"/>
        <v>2030</v>
      </c>
      <c r="K20" s="545">
        <v>330866</v>
      </c>
      <c r="L20" s="65">
        <f>IF(ISERROR(IF($K20&gt;0,IF($K$7="(Mg/year)",($K20*DEFAULTS!$B$55*DEFAULTS!$B$53/DEFAULTS!$B$54),($K20*DEFAULTS!$B$54/(DEFAULTS!$B$53*DEFAULTS!$B$55))),IF(SUM(K20:$K$87)=0,"",0))),0,IF($K20&gt;0,IF($K$7="(Mg/year)",($K20*DEFAULTS!$B$55*DEFAULTS!$B$53/DEFAULTS!$B$54),($K20*DEFAULTS!$B$54/(DEFAULTS!$B$53*DEFAULTS!$B$55))),IF(SUM(K20:$K$87)=0,"",0)))</f>
        <v>363952.6</v>
      </c>
    </row>
    <row r="21" spans="1:12" ht="16.5" customHeight="1">
      <c r="A21" s="27"/>
      <c r="B21" s="198"/>
      <c r="I21" s="39"/>
      <c r="J21" s="22">
        <f t="shared" si="0"/>
        <v>2031</v>
      </c>
      <c r="K21" s="545">
        <v>346659</v>
      </c>
      <c r="L21" s="65">
        <f>IF(ISERROR(IF($K21&gt;0,IF($K$7="(Mg/year)",($K21*DEFAULTS!$B$55*DEFAULTS!$B$53/DEFAULTS!$B$54),($K21*DEFAULTS!$B$54/(DEFAULTS!$B$53*DEFAULTS!$B$55))),IF(SUM(K21:$K$87)=0,"",0))),0,IF($K21&gt;0,IF($K$7="(Mg/year)",($K21*DEFAULTS!$B$55*DEFAULTS!$B$53/DEFAULTS!$B$54),($K21*DEFAULTS!$B$54/(DEFAULTS!$B$53*DEFAULTS!$B$55))),IF(SUM(K21:$K$87)=0,"",0)))</f>
        <v>381324.9</v>
      </c>
    </row>
    <row r="22" spans="1:12" ht="16.5" customHeight="1">
      <c r="B22" s="25" t="s">
        <v>301</v>
      </c>
      <c r="I22" s="39"/>
      <c r="J22" s="22">
        <f t="shared" si="0"/>
        <v>2032</v>
      </c>
      <c r="K22" s="545">
        <v>363206</v>
      </c>
      <c r="L22" s="65">
        <f>IF(ISERROR(IF($K22&gt;0,IF($K$7="(Mg/year)",($K22*DEFAULTS!$B$55*DEFAULTS!$B$53/DEFAULTS!$B$54),($K22*DEFAULTS!$B$54/(DEFAULTS!$B$53*DEFAULTS!$B$55))),IF(SUM(K22:$K$87)=0,"",0))),0,IF($K22&gt;0,IF($K$7="(Mg/year)",($K22*DEFAULTS!$B$55*DEFAULTS!$B$53/DEFAULTS!$B$54),($K22*DEFAULTS!$B$54/(DEFAULTS!$B$53*DEFAULTS!$B$55))),IF(SUM(K22:$K$87)=0,"",0)))</f>
        <v>399526.6</v>
      </c>
    </row>
    <row r="23" spans="1:12" ht="16.5" customHeight="1" thickBot="1">
      <c r="B23" s="34" t="s">
        <v>46</v>
      </c>
      <c r="C23" s="28"/>
      <c r="D23" s="357" t="str">
        <f>IF(POLLUTANTS!H74=0,"Default pollutant parameters are currently being used by model.","User-specified pollutant parameters are currently being used by model.")</f>
        <v>Default pollutant parameters are currently being used by model.</v>
      </c>
      <c r="E23" s="28"/>
      <c r="F23" s="28"/>
      <c r="G23" s="28"/>
      <c r="H23" s="29"/>
      <c r="I23" s="39"/>
      <c r="J23" s="22">
        <f t="shared" si="0"/>
        <v>2033</v>
      </c>
      <c r="K23" s="546">
        <v>380542</v>
      </c>
      <c r="L23" s="65">
        <f>IF(ISERROR(IF($K23&gt;0,IF($K$7="(Mg/year)",($K23*DEFAULTS!$B$55*DEFAULTS!$B$53/DEFAULTS!$B$54),($K23*DEFAULTS!$B$54/(DEFAULTS!$B$53*DEFAULTS!$B$55))),IF(SUM(K23:$K$87)=0,"",0))),0,IF($K23&gt;0,IF($K$7="(Mg/year)",($K23*DEFAULTS!$B$55*DEFAULTS!$B$53/DEFAULTS!$B$54),($K23*DEFAULTS!$B$54/(DEFAULTS!$B$53*DEFAULTS!$B$55))),IF(SUM(K23:$K$87)=0,"",0)))</f>
        <v>418596.2</v>
      </c>
    </row>
    <row r="24" spans="1:12" ht="16.5" customHeight="1">
      <c r="B24" s="331" t="s">
        <v>360</v>
      </c>
      <c r="C24" s="19"/>
      <c r="D24" s="19"/>
      <c r="E24" s="19"/>
      <c r="F24" s="19"/>
      <c r="G24" s="19"/>
      <c r="H24" s="30"/>
      <c r="I24" s="39"/>
      <c r="J24" s="22">
        <f t="shared" si="0"/>
        <v>2034</v>
      </c>
      <c r="K24" s="547">
        <v>398706</v>
      </c>
      <c r="L24" s="65">
        <f>IF(ISERROR(IF($K24&gt;0,IF($K$7="(Mg/year)",($K24*DEFAULTS!$B$55*DEFAULTS!$B$53/DEFAULTS!$B$54),($K24*DEFAULTS!$B$54/(DEFAULTS!$B$53*DEFAULTS!$B$55))),IF(SUM(K24:$K$87)=0,"",0))),0,IF($K24&gt;0,IF($K$7="(Mg/year)",($K24*DEFAULTS!$B$55*DEFAULTS!$B$53/DEFAULTS!$B$54),($K24*DEFAULTS!$B$54/(DEFAULTS!$B$53*DEFAULTS!$B$55))),IF(SUM(K24:$K$87)=0,"",0)))</f>
        <v>438576.6</v>
      </c>
    </row>
    <row r="25" spans="1:12" ht="16.5" customHeight="1">
      <c r="B25" s="35" t="s">
        <v>47</v>
      </c>
      <c r="C25" s="19"/>
      <c r="D25" s="19"/>
      <c r="E25" s="19"/>
      <c r="F25" s="19"/>
      <c r="G25" s="19"/>
      <c r="H25" s="30"/>
      <c r="J25" s="22">
        <f t="shared" si="0"/>
        <v>2035</v>
      </c>
      <c r="K25" s="547">
        <v>417737</v>
      </c>
      <c r="L25" s="65">
        <f>IF(ISERROR(IF($K25&gt;0,IF($K$7="(Mg/year)",($K25*DEFAULTS!$B$55*DEFAULTS!$B$53/DEFAULTS!$B$54),($K25*DEFAULTS!$B$54/(DEFAULTS!$B$53*DEFAULTS!$B$55))),IF(SUM(K25:$K$87)=0,"",0))),0,IF($K25&gt;0,IF($K$7="(Mg/year)",($K25*DEFAULTS!$B$55*DEFAULTS!$B$53/DEFAULTS!$B$54),($K25*DEFAULTS!$B$54/(DEFAULTS!$B$53*DEFAULTS!$B$55))),IF(SUM(K25:$K$87)=0,"",0)))</f>
        <v>459510.7</v>
      </c>
    </row>
    <row r="26" spans="1:12" ht="16.5" customHeight="1">
      <c r="B26" s="331" t="s">
        <v>360</v>
      </c>
      <c r="C26" s="19"/>
      <c r="D26" s="19"/>
      <c r="E26" s="19"/>
      <c r="F26" s="19"/>
      <c r="G26" s="19"/>
      <c r="H26" s="30"/>
      <c r="J26" s="22">
        <f t="shared" si="0"/>
        <v>2036</v>
      </c>
      <c r="K26" s="547">
        <v>437677</v>
      </c>
      <c r="L26" s="65">
        <f>IF(ISERROR(IF($K26&gt;0,IF($K$7="(Mg/year)",($K26*DEFAULTS!$B$55*DEFAULTS!$B$53/DEFAULTS!$B$54),($K26*DEFAULTS!$B$54/(DEFAULTS!$B$53*DEFAULTS!$B$55))),IF(SUM(K26:$K$87)=0,"",0))),0,IF($K26&gt;0,IF($K$7="(Mg/year)",($K26*DEFAULTS!$B$55*DEFAULTS!$B$53/DEFAULTS!$B$54),($K26*DEFAULTS!$B$54/(DEFAULTS!$B$53*DEFAULTS!$B$55))),IF(SUM(K26:$K$87)=0,"",0)))</f>
        <v>481444.7</v>
      </c>
    </row>
    <row r="27" spans="1:12" ht="16.5" customHeight="1">
      <c r="B27" s="35" t="s">
        <v>49</v>
      </c>
      <c r="C27" s="19"/>
      <c r="D27" s="19"/>
      <c r="E27" s="19"/>
      <c r="F27" s="19"/>
      <c r="G27" s="19"/>
      <c r="H27" s="30"/>
      <c r="J27" s="22">
        <f t="shared" si="0"/>
        <v>2037</v>
      </c>
      <c r="K27" s="547">
        <v>458568</v>
      </c>
      <c r="L27" s="65">
        <f>IF(ISERROR(IF($K27&gt;0,IF($K$7="(Mg/year)",($K27*DEFAULTS!$B$55*DEFAULTS!$B$53/DEFAULTS!$B$54),($K27*DEFAULTS!$B$54/(DEFAULTS!$B$53*DEFAULTS!$B$55))),IF(SUM(K27:$K$87)=0,"",0))),0,IF($K27&gt;0,IF($K$7="(Mg/year)",($K27*DEFAULTS!$B$55*DEFAULTS!$B$53/DEFAULTS!$B$54),($K27*DEFAULTS!$B$54/(DEFAULTS!$B$53*DEFAULTS!$B$55))),IF(SUM(K27:$K$87)=0,"",0)))</f>
        <v>504424.80000000005</v>
      </c>
    </row>
    <row r="28" spans="1:12" ht="16.5" customHeight="1">
      <c r="B28" s="331" t="s">
        <v>44</v>
      </c>
      <c r="C28" s="19"/>
      <c r="D28" s="19"/>
      <c r="E28" s="19"/>
      <c r="F28" s="19"/>
      <c r="G28" s="19"/>
      <c r="H28" s="30"/>
      <c r="J28" s="22">
        <f t="shared" si="0"/>
        <v>2038</v>
      </c>
      <c r="K28" s="547">
        <v>480456</v>
      </c>
      <c r="L28" s="65">
        <f>IF(ISERROR(IF($K28&gt;0,IF($K$7="(Mg/year)",($K28*DEFAULTS!$B$55*DEFAULTS!$B$53/DEFAULTS!$B$54),($K28*DEFAULTS!$B$54/(DEFAULTS!$B$53*DEFAULTS!$B$55))),IF(SUM(K28:$K$87)=0,"",0))),0,IF($K28&gt;0,IF($K$7="(Mg/year)",($K28*DEFAULTS!$B$55*DEFAULTS!$B$53/DEFAULTS!$B$54),($K28*DEFAULTS!$B$54/(DEFAULTS!$B$53*DEFAULTS!$B$55))),IF(SUM(K28:$K$87)=0,"",0)))</f>
        <v>528501.60000000009</v>
      </c>
    </row>
    <row r="29" spans="1:12" ht="16.5" customHeight="1">
      <c r="B29" s="35" t="s">
        <v>48</v>
      </c>
      <c r="C29" s="19"/>
      <c r="D29" s="19"/>
      <c r="E29" s="19"/>
      <c r="F29" s="19"/>
      <c r="G29" s="19"/>
      <c r="H29" s="30"/>
      <c r="J29" s="22">
        <f t="shared" si="0"/>
        <v>2039</v>
      </c>
      <c r="K29" s="547">
        <v>503389</v>
      </c>
      <c r="L29" s="65">
        <f>IF(ISERROR(IF($K29&gt;0,IF($K$7="(Mg/year)",($K29*DEFAULTS!$B$55*DEFAULTS!$B$53/DEFAULTS!$B$54),($K29*DEFAULTS!$B$54/(DEFAULTS!$B$53*DEFAULTS!$B$55))),IF(SUM(K29:$K$87)=0,"",0))),0,IF($K29&gt;0,IF($K$7="(Mg/year)",($K29*DEFAULTS!$B$55*DEFAULTS!$B$53/DEFAULTS!$B$54),($K29*DEFAULTS!$B$54/(DEFAULTS!$B$53*DEFAULTS!$B$55))),IF(SUM(K29:$K$87)=0,"",0)))</f>
        <v>553727.9</v>
      </c>
    </row>
    <row r="30" spans="1:12" ht="16.5" customHeight="1">
      <c r="B30" s="331" t="s">
        <v>360</v>
      </c>
      <c r="C30" s="19"/>
      <c r="D30" s="19"/>
      <c r="E30" s="19"/>
      <c r="F30" s="19"/>
      <c r="G30" s="19"/>
      <c r="H30" s="30"/>
      <c r="J30" s="22">
        <f t="shared" si="0"/>
        <v>2040</v>
      </c>
      <c r="K30" s="547">
        <v>527417</v>
      </c>
      <c r="L30" s="65">
        <f>IF(ISERROR(IF($K30&gt;0,IF($K$7="(Mg/year)",($K30*DEFAULTS!$B$55*DEFAULTS!$B$53/DEFAULTS!$B$54),($K30*DEFAULTS!$B$54/(DEFAULTS!$B$53*DEFAULTS!$B$55))),IF(SUM(K30:$K$87)=0,"",0))),0,IF($K30&gt;0,IF($K$7="(Mg/year)",($K30*DEFAULTS!$B$55*DEFAULTS!$B$53/DEFAULTS!$B$54),($K30*DEFAULTS!$B$54/(DEFAULTS!$B$53*DEFAULTS!$B$55))),IF(SUM(K30:$K$87)=0,"",0)))</f>
        <v>580158.69999999995</v>
      </c>
    </row>
    <row r="31" spans="1:12" ht="16.5" customHeight="1">
      <c r="B31" s="31"/>
      <c r="C31" s="32"/>
      <c r="D31" s="32"/>
      <c r="E31" s="32"/>
      <c r="F31" s="32"/>
      <c r="G31" s="32"/>
      <c r="H31" s="33"/>
      <c r="J31" s="22">
        <f t="shared" si="0"/>
        <v>2041</v>
      </c>
      <c r="K31" s="547">
        <v>552592</v>
      </c>
      <c r="L31" s="65">
        <f>IF(ISERROR(IF($K31&gt;0,IF($K$7="(Mg/year)",($K31*DEFAULTS!$B$55*DEFAULTS!$B$53/DEFAULTS!$B$54),($K31*DEFAULTS!$B$54/(DEFAULTS!$B$53*DEFAULTS!$B$55))),IF(SUM(K31:$K$87)=0,"",0))),0,IF($K31&gt;0,IF($K$7="(Mg/year)",($K31*DEFAULTS!$B$55*DEFAULTS!$B$53/DEFAULTS!$B$54),($K31*DEFAULTS!$B$54/(DEFAULTS!$B$53*DEFAULTS!$B$55))),IF(SUM(K31:$K$87)=0,"",0)))</f>
        <v>607851.19999999995</v>
      </c>
    </row>
    <row r="32" spans="1:12" ht="16.5" customHeight="1">
      <c r="J32" s="22">
        <f t="shared" si="0"/>
        <v>2042</v>
      </c>
      <c r="K32" s="547">
        <v>578968</v>
      </c>
      <c r="L32" s="65">
        <f>IF(ISERROR(IF($K32&gt;0,IF($K$7="(Mg/year)",($K32*DEFAULTS!$B$55*DEFAULTS!$B$53/DEFAULTS!$B$54),($K32*DEFAULTS!$B$54/(DEFAULTS!$B$53*DEFAULTS!$B$55))),IF(SUM(K32:$K$87)=0,"",0))),0,IF($K32&gt;0,IF($K$7="(Mg/year)",($K32*DEFAULTS!$B$55*DEFAULTS!$B$53/DEFAULTS!$B$54),($K32*DEFAULTS!$B$54/(DEFAULTS!$B$53*DEFAULTS!$B$55))),IF(SUM(K32:$K$87)=0,"",0)))</f>
        <v>636864.80000000005</v>
      </c>
    </row>
    <row r="33" spans="2:12" ht="16.5" customHeight="1">
      <c r="B33" s="158" t="s">
        <v>172</v>
      </c>
      <c r="J33" s="22">
        <f t="shared" si="0"/>
        <v>2043</v>
      </c>
      <c r="K33" s="547">
        <v>606603</v>
      </c>
      <c r="L33" s="65">
        <f>IF(ISERROR(IF($K33&gt;0,IF($K$7="(Mg/year)",($K33*DEFAULTS!$B$55*DEFAULTS!$B$53/DEFAULTS!$B$54),($K33*DEFAULTS!$B$54/(DEFAULTS!$B$53*DEFAULTS!$B$55))),IF(SUM(K33:$K$87)=0,"",0))),0,IF($K33&gt;0,IF($K$7="(Mg/year)",($K33*DEFAULTS!$B$55*DEFAULTS!$B$53/DEFAULTS!$B$54),($K33*DEFAULTS!$B$54/(DEFAULTS!$B$53*DEFAULTS!$B$55))),IF(SUM(K33:$K$87)=0,"",0)))</f>
        <v>667263.30000000005</v>
      </c>
    </row>
    <row r="34" spans="2:12" ht="16.5" customHeight="1">
      <c r="B34" s="588"/>
      <c r="C34" s="589"/>
      <c r="D34" s="589"/>
      <c r="E34" s="589"/>
      <c r="F34" s="589"/>
      <c r="G34" s="590"/>
      <c r="J34" s="22">
        <f t="shared" si="0"/>
        <v>2044</v>
      </c>
      <c r="K34" s="547">
        <v>635558</v>
      </c>
      <c r="L34" s="65">
        <f>IF(ISERROR(IF($K34&gt;0,IF($K$7="(Mg/year)",($K34*DEFAULTS!$B$55*DEFAULTS!$B$53/DEFAULTS!$B$54),($K34*DEFAULTS!$B$54/(DEFAULTS!$B$53*DEFAULTS!$B$55))),IF(SUM(K34:$K$87)=0,"",0))),0,IF($K34&gt;0,IF($K$7="(Mg/year)",($K34*DEFAULTS!$B$55*DEFAULTS!$B$53/DEFAULTS!$B$54),($K34*DEFAULTS!$B$54/(DEFAULTS!$B$53*DEFAULTS!$B$55))),IF(SUM(K34:$K$87)=0,"",0)))</f>
        <v>699113.8</v>
      </c>
    </row>
    <row r="35" spans="2:12" ht="16.5" customHeight="1">
      <c r="B35" s="591"/>
      <c r="C35" s="592"/>
      <c r="D35" s="592"/>
      <c r="E35" s="592"/>
      <c r="F35" s="592"/>
      <c r="G35" s="593"/>
      <c r="J35" s="22">
        <f t="shared" si="0"/>
        <v>2045</v>
      </c>
      <c r="K35" s="547">
        <v>665894</v>
      </c>
      <c r="L35" s="65">
        <f>IF(ISERROR(IF($K35&gt;0,IF($K$7="(Mg/year)",($K35*DEFAULTS!$B$55*DEFAULTS!$B$53/DEFAULTS!$B$54),($K35*DEFAULTS!$B$54/(DEFAULTS!$B$53*DEFAULTS!$B$55))),IF(SUM(K35:$K$87)=0,"",0))),0,IF($K35&gt;0,IF($K$7="(Mg/year)",($K35*DEFAULTS!$B$55*DEFAULTS!$B$53/DEFAULTS!$B$54),($K35*DEFAULTS!$B$54/(DEFAULTS!$B$53*DEFAULTS!$B$55))),IF(SUM(K35:$K$87)=0,"",0)))</f>
        <v>732483.4</v>
      </c>
    </row>
    <row r="36" spans="2:12" ht="16.5" customHeight="1">
      <c r="B36" s="591"/>
      <c r="C36" s="592"/>
      <c r="D36" s="592"/>
      <c r="E36" s="592"/>
      <c r="F36" s="592"/>
      <c r="G36" s="593"/>
      <c r="J36" s="22">
        <f t="shared" si="0"/>
        <v>2046</v>
      </c>
      <c r="K36" s="547">
        <v>697679</v>
      </c>
      <c r="L36" s="65">
        <f>IF(ISERROR(IF($K36&gt;0,IF($K$7="(Mg/year)",($K36*DEFAULTS!$B$55*DEFAULTS!$B$53/DEFAULTS!$B$54),($K36*DEFAULTS!$B$54/(DEFAULTS!$B$53*DEFAULTS!$B$55))),IF(SUM(K36:$K$87)=0,"",0))),0,IF($K36&gt;0,IF($K$7="(Mg/year)",($K36*DEFAULTS!$B$55*DEFAULTS!$B$53/DEFAULTS!$B$54),($K36*DEFAULTS!$B$54/(DEFAULTS!$B$53*DEFAULTS!$B$55))),IF(SUM(K36:$K$87)=0,"",0)))</f>
        <v>767446.9</v>
      </c>
    </row>
    <row r="37" spans="2:12" ht="16.5" customHeight="1">
      <c r="B37" s="594"/>
      <c r="C37" s="595"/>
      <c r="D37" s="595"/>
      <c r="E37" s="595"/>
      <c r="F37" s="595"/>
      <c r="G37" s="596"/>
      <c r="J37" s="22">
        <f t="shared" si="0"/>
        <v>2047</v>
      </c>
      <c r="K37" s="547">
        <v>730980</v>
      </c>
      <c r="L37" s="65">
        <f>IF(ISERROR(IF($K37&gt;0,IF($K$7="(Mg/year)",($K37*DEFAULTS!$B$55*DEFAULTS!$B$53/DEFAULTS!$B$54),($K37*DEFAULTS!$B$54/(DEFAULTS!$B$53*DEFAULTS!$B$55))),IF(SUM(K37:$K$87)=0,"",0))),0,IF($K37&gt;0,IF($K$7="(Mg/year)",($K37*DEFAULTS!$B$55*DEFAULTS!$B$53/DEFAULTS!$B$54),($K37*DEFAULTS!$B$54/(DEFAULTS!$B$53*DEFAULTS!$B$55))),IF(SUM(K37:$K$87)=0,"",0)))</f>
        <v>804078</v>
      </c>
    </row>
    <row r="38" spans="2:12" ht="16.5" customHeight="1">
      <c r="J38" s="22">
        <f t="shared" si="0"/>
        <v>2048</v>
      </c>
      <c r="K38" s="547">
        <v>765871</v>
      </c>
      <c r="L38" s="65">
        <f>IF(ISERROR(IF($K38&gt;0,IF($K$7="(Mg/year)",($K38*DEFAULTS!$B$55*DEFAULTS!$B$53/DEFAULTS!$B$54),($K38*DEFAULTS!$B$54/(DEFAULTS!$B$53*DEFAULTS!$B$55))),IF(SUM(K38:$K$87)=0,"",0))),0,IF($K38&gt;0,IF($K$7="(Mg/year)",($K38*DEFAULTS!$B$55*DEFAULTS!$B$53/DEFAULTS!$B$54),($K38*DEFAULTS!$B$54/(DEFAULTS!$B$53*DEFAULTS!$B$55))),IF(SUM(K38:$K$87)=0,"",0)))</f>
        <v>842458.1</v>
      </c>
    </row>
    <row r="39" spans="2:12" ht="16.5" customHeight="1" thickBot="1">
      <c r="J39" s="22">
        <f t="shared" si="0"/>
        <v>2049</v>
      </c>
      <c r="K39" s="548">
        <v>0</v>
      </c>
      <c r="L39" s="65" t="str">
        <f>IF(ISERROR(IF($K39&gt;0,IF($K$7="(Mg/year)",($K39*DEFAULTS!$B$55*DEFAULTS!$B$53/DEFAULTS!$B$54),($K39*DEFAULTS!$B$54/(DEFAULTS!$B$53*DEFAULTS!$B$55))),IF(SUM(K39:$K$87)=0,"",0))),0,IF($K39&gt;0,IF($K$7="(Mg/year)",($K39*DEFAULTS!$B$55*DEFAULTS!$B$53/DEFAULTS!$B$54),($K39*DEFAULTS!$B$54/(DEFAULTS!$B$53*DEFAULTS!$B$55))),IF(SUM(K39:$K$87)=0,"",0)))</f>
        <v/>
      </c>
    </row>
    <row r="40" spans="2:12" ht="16.5" customHeight="1">
      <c r="J40" s="22">
        <f t="shared" si="0"/>
        <v>2050</v>
      </c>
      <c r="K40" s="326"/>
      <c r="L40" s="65" t="str">
        <f>IF(ISERROR(IF($K40&gt;0,IF($K$7="(Mg/year)",($K40*DEFAULTS!$B$55*DEFAULTS!$B$53/DEFAULTS!$B$54),($K40*DEFAULTS!$B$54/(DEFAULTS!$B$53*DEFAULTS!$B$55))),IF(SUM(K40:$K$87)=0,"",0))),0,IF($K40&gt;0,IF($K$7="(Mg/year)",($K40*DEFAULTS!$B$55*DEFAULTS!$B$53/DEFAULTS!$B$54),($K40*DEFAULTS!$B$54/(DEFAULTS!$B$53*DEFAULTS!$B$55))),IF(SUM(K40:$K$87)=0,"",0)))</f>
        <v/>
      </c>
    </row>
    <row r="41" spans="2:12" ht="16.5" customHeight="1">
      <c r="B41" s="371"/>
      <c r="J41" s="22">
        <f t="shared" si="0"/>
        <v>2051</v>
      </c>
      <c r="K41" s="326"/>
      <c r="L41" s="65" t="str">
        <f>IF(ISERROR(IF($K41&gt;0,IF($K$7="(Mg/year)",($K41*DEFAULTS!$B$55*DEFAULTS!$B$53/DEFAULTS!$B$54),($K41*DEFAULTS!$B$54/(DEFAULTS!$B$53*DEFAULTS!$B$55))),IF(SUM(K41:$K$87)=0,"",0))),0,IF($K41&gt;0,IF($K$7="(Mg/year)",($K41*DEFAULTS!$B$55*DEFAULTS!$B$53/DEFAULTS!$B$54),($K41*DEFAULTS!$B$54/(DEFAULTS!$B$53*DEFAULTS!$B$55))),IF(SUM(K41:$K$87)=0,"",0)))</f>
        <v/>
      </c>
    </row>
    <row r="42" spans="2:12" ht="16.5" customHeight="1">
      <c r="J42" s="22">
        <f t="shared" si="0"/>
        <v>2052</v>
      </c>
      <c r="K42" s="326"/>
      <c r="L42" s="65" t="str">
        <f>IF(ISERROR(IF($K42&gt;0,IF($K$7="(Mg/year)",($K42*DEFAULTS!$B$55*DEFAULTS!$B$53/DEFAULTS!$B$54),($K42*DEFAULTS!$B$54/(DEFAULTS!$B$53*DEFAULTS!$B$55))),IF(SUM(K42:$K$87)=0,"",0))),0,IF($K42&gt;0,IF($K$7="(Mg/year)",($K42*DEFAULTS!$B$55*DEFAULTS!$B$53/DEFAULTS!$B$54),($K42*DEFAULTS!$B$54/(DEFAULTS!$B$53*DEFAULTS!$B$55))),IF(SUM(K42:$K$87)=0,"",0)))</f>
        <v/>
      </c>
    </row>
    <row r="43" spans="2:12" ht="16.5" customHeight="1">
      <c r="J43" s="22">
        <f t="shared" si="0"/>
        <v>2053</v>
      </c>
      <c r="K43" s="326"/>
      <c r="L43" s="65" t="str">
        <f>IF(ISERROR(IF($K43&gt;0,IF($K$7="(Mg/year)",($K43*DEFAULTS!$B$55*DEFAULTS!$B$53/DEFAULTS!$B$54),($K43*DEFAULTS!$B$54/(DEFAULTS!$B$53*DEFAULTS!$B$55))),IF(SUM(K43:$K$87)=0,"",0))),0,IF($K43&gt;0,IF($K$7="(Mg/year)",($K43*DEFAULTS!$B$55*DEFAULTS!$B$53/DEFAULTS!$B$54),($K43*DEFAULTS!$B$54/(DEFAULTS!$B$53*DEFAULTS!$B$55))),IF(SUM(K43:$K$87)=0,"",0)))</f>
        <v/>
      </c>
    </row>
    <row r="44" spans="2:12" ht="16.5" customHeight="1">
      <c r="J44" s="22">
        <f t="shared" si="0"/>
        <v>2054</v>
      </c>
      <c r="K44" s="326"/>
      <c r="L44" s="65" t="str">
        <f>IF(ISERROR(IF($K44&gt;0,IF($K$7="(Mg/year)",($K44*DEFAULTS!$B$55*DEFAULTS!$B$53/DEFAULTS!$B$54),($K44*DEFAULTS!$B$54/(DEFAULTS!$B$53*DEFAULTS!$B$55))),IF(SUM(K44:$K$87)=0,"",0))),0,IF($K44&gt;0,IF($K$7="(Mg/year)",($K44*DEFAULTS!$B$55*DEFAULTS!$B$53/DEFAULTS!$B$54),($K44*DEFAULTS!$B$54/(DEFAULTS!$B$53*DEFAULTS!$B$55))),IF(SUM(K44:$K$87)=0,"",0)))</f>
        <v/>
      </c>
    </row>
    <row r="45" spans="2:12" ht="16.5" customHeight="1">
      <c r="J45" s="22">
        <f t="shared" si="0"/>
        <v>2055</v>
      </c>
      <c r="K45" s="326"/>
      <c r="L45" s="65" t="str">
        <f>IF(ISERROR(IF($K45&gt;0,IF($K$7="(Mg/year)",($K45*DEFAULTS!$B$55*DEFAULTS!$B$53/DEFAULTS!$B$54),($K45*DEFAULTS!$B$54/(DEFAULTS!$B$53*DEFAULTS!$B$55))),IF(SUM(K45:$K$87)=0,"",0))),0,IF($K45&gt;0,IF($K$7="(Mg/year)",($K45*DEFAULTS!$B$55*DEFAULTS!$B$53/DEFAULTS!$B$54),($K45*DEFAULTS!$B$54/(DEFAULTS!$B$53*DEFAULTS!$B$55))),IF(SUM(K45:$K$87)=0,"",0)))</f>
        <v/>
      </c>
    </row>
    <row r="46" spans="2:12" ht="16.5" customHeight="1">
      <c r="J46" s="148">
        <f t="shared" si="0"/>
        <v>2056</v>
      </c>
      <c r="K46" s="326"/>
      <c r="L46" s="65" t="str">
        <f>IF(ISERROR(IF($K46&gt;0,IF($K$7="(Mg/year)",($K46*DEFAULTS!$B$55*DEFAULTS!$B$53/DEFAULTS!$B$54),($K46*DEFAULTS!$B$54/(DEFAULTS!$B$53*DEFAULTS!$B$55))),IF(SUM(K46:$K$87)=0,"",0))),0,IF($K46&gt;0,IF($K$7="(Mg/year)",($K46*DEFAULTS!$B$55*DEFAULTS!$B$53/DEFAULTS!$B$54),($K46*DEFAULTS!$B$54/(DEFAULTS!$B$53*DEFAULTS!$B$55))),IF(SUM(K46:$K$87)=0,"",0)))</f>
        <v/>
      </c>
    </row>
    <row r="47" spans="2:12" ht="16.5" customHeight="1">
      <c r="J47" s="22">
        <f t="shared" si="0"/>
        <v>2057</v>
      </c>
      <c r="K47" s="326"/>
      <c r="L47" s="65" t="str">
        <f>IF(ISERROR(IF($K47&gt;0,IF($K$7="(Mg/year)",($K47*DEFAULTS!$B$55*DEFAULTS!$B$53/DEFAULTS!$B$54),($K47*DEFAULTS!$B$54/(DEFAULTS!$B$53*DEFAULTS!$B$55))),IF(SUM(K47:$K$87)=0,"",0))),0,IF($K47&gt;0,IF($K$7="(Mg/year)",($K47*DEFAULTS!$B$55*DEFAULTS!$B$53/DEFAULTS!$B$54),($K47*DEFAULTS!$B$54/(DEFAULTS!$B$53*DEFAULTS!$B$55))),IF(SUM(K47:$K$87)=0,"",0)))</f>
        <v/>
      </c>
    </row>
    <row r="48" spans="2:12" ht="16.5" customHeight="1">
      <c r="J48" s="22">
        <f t="shared" ref="J48:J79" si="1">IF(J47="","",(J47+1))</f>
        <v>2058</v>
      </c>
      <c r="K48" s="326"/>
      <c r="L48" s="65" t="str">
        <f>IF(ISERROR(IF($K48&gt;0,IF($K$7="(Mg/year)",($K48*DEFAULTS!$B$55*DEFAULTS!$B$53/DEFAULTS!$B$54),($K48*DEFAULTS!$B$54/(DEFAULTS!$B$53*DEFAULTS!$B$55))),IF(SUM(K48:$K$87)=0,"",0))),0,IF($K48&gt;0,IF($K$7="(Mg/year)",($K48*DEFAULTS!$B$55*DEFAULTS!$B$53/DEFAULTS!$B$54),($K48*DEFAULTS!$B$54/(DEFAULTS!$B$53*DEFAULTS!$B$55))),IF(SUM(K48:$K$87)=0,"",0)))</f>
        <v/>
      </c>
    </row>
    <row r="49" spans="10:12" ht="16.5" customHeight="1">
      <c r="J49" s="22">
        <f t="shared" si="1"/>
        <v>2059</v>
      </c>
      <c r="K49" s="326"/>
      <c r="L49" s="65" t="str">
        <f>IF(ISERROR(IF($K49&gt;0,IF($K$7="(Mg/year)",($K49*DEFAULTS!$B$55*DEFAULTS!$B$53/DEFAULTS!$B$54),($K49*DEFAULTS!$B$54/(DEFAULTS!$B$53*DEFAULTS!$B$55))),IF(SUM(K49:$K$87)=0,"",0))),0,IF($K49&gt;0,IF($K$7="(Mg/year)",($K49*DEFAULTS!$B$55*DEFAULTS!$B$53/DEFAULTS!$B$54),($K49*DEFAULTS!$B$54/(DEFAULTS!$B$53*DEFAULTS!$B$55))),IF(SUM(K49:$K$87)=0,"",0)))</f>
        <v/>
      </c>
    </row>
    <row r="50" spans="10:12" ht="16.5" customHeight="1">
      <c r="J50" s="22">
        <f t="shared" si="1"/>
        <v>2060</v>
      </c>
      <c r="K50" s="326"/>
      <c r="L50" s="65" t="str">
        <f>IF(ISERROR(IF($K50&gt;0,IF($K$7="(Mg/year)",($K50*DEFAULTS!$B$55*DEFAULTS!$B$53/DEFAULTS!$B$54),($K50*DEFAULTS!$B$54/(DEFAULTS!$B$53*DEFAULTS!$B$55))),IF(SUM(K50:$K$87)=0,"",0))),0,IF($K50&gt;0,IF($K$7="(Mg/year)",($K50*DEFAULTS!$B$55*DEFAULTS!$B$53/DEFAULTS!$B$54),($K50*DEFAULTS!$B$54/(DEFAULTS!$B$53*DEFAULTS!$B$55))),IF(SUM(K50:$K$87)=0,"",0)))</f>
        <v/>
      </c>
    </row>
    <row r="51" spans="10:12" ht="16.5" customHeight="1">
      <c r="J51" s="22">
        <f t="shared" si="1"/>
        <v>2061</v>
      </c>
      <c r="K51" s="326"/>
      <c r="L51" s="65" t="str">
        <f>IF(ISERROR(IF($K51&gt;0,IF($K$7="(Mg/year)",($K51*DEFAULTS!$B$55*DEFAULTS!$B$53/DEFAULTS!$B$54),($K51*DEFAULTS!$B$54/(DEFAULTS!$B$53*DEFAULTS!$B$55))),IF(SUM(K51:$K$87)=0,"",0))),0,IF($K51&gt;0,IF($K$7="(Mg/year)",($K51*DEFAULTS!$B$55*DEFAULTS!$B$53/DEFAULTS!$B$54),($K51*DEFAULTS!$B$54/(DEFAULTS!$B$53*DEFAULTS!$B$55))),IF(SUM(K51:$K$87)=0,"",0)))</f>
        <v/>
      </c>
    </row>
    <row r="52" spans="10:12" ht="16.5" customHeight="1">
      <c r="J52" s="22">
        <f t="shared" si="1"/>
        <v>2062</v>
      </c>
      <c r="K52" s="326"/>
      <c r="L52" s="65" t="str">
        <f>IF(ISERROR(IF($K52&gt;0,IF($K$7="(Mg/year)",($K52*DEFAULTS!$B$55*DEFAULTS!$B$53/DEFAULTS!$B$54),($K52*DEFAULTS!$B$54/(DEFAULTS!$B$53*DEFAULTS!$B$55))),IF(SUM(K52:$K$87)=0,"",0))),0,IF($K52&gt;0,IF($K$7="(Mg/year)",($K52*DEFAULTS!$B$55*DEFAULTS!$B$53/DEFAULTS!$B$54),($K52*DEFAULTS!$B$54/(DEFAULTS!$B$53*DEFAULTS!$B$55))),IF(SUM(K52:$K$87)=0,"",0)))</f>
        <v/>
      </c>
    </row>
    <row r="53" spans="10:12" ht="16.5" customHeight="1">
      <c r="J53" s="22">
        <f t="shared" si="1"/>
        <v>2063</v>
      </c>
      <c r="K53" s="326"/>
      <c r="L53" s="65" t="str">
        <f>IF(ISERROR(IF($K53&gt;0,IF($K$7="(Mg/year)",($K53*DEFAULTS!$B$55*DEFAULTS!$B$53/DEFAULTS!$B$54),($K53*DEFAULTS!$B$54/(DEFAULTS!$B$53*DEFAULTS!$B$55))),IF(SUM(K53:$K$87)=0,"",0))),0,IF($K53&gt;0,IF($K$7="(Mg/year)",($K53*DEFAULTS!$B$55*DEFAULTS!$B$53/DEFAULTS!$B$54),($K53*DEFAULTS!$B$54/(DEFAULTS!$B$53*DEFAULTS!$B$55))),IF(SUM(K53:$K$87)=0,"",0)))</f>
        <v/>
      </c>
    </row>
    <row r="54" spans="10:12" ht="16.5" customHeight="1">
      <c r="J54" s="22">
        <f t="shared" si="1"/>
        <v>2064</v>
      </c>
      <c r="K54" s="326"/>
      <c r="L54" s="65" t="str">
        <f>IF(ISERROR(IF($K54&gt;0,IF($K$7="(Mg/year)",($K54*DEFAULTS!$B$55*DEFAULTS!$B$53/DEFAULTS!$B$54),($K54*DEFAULTS!$B$54/(DEFAULTS!$B$53*DEFAULTS!$B$55))),IF(SUM(K54:$K$87)=0,"",0))),0,IF($K54&gt;0,IF($K$7="(Mg/year)",($K54*DEFAULTS!$B$55*DEFAULTS!$B$53/DEFAULTS!$B$54),($K54*DEFAULTS!$B$54/(DEFAULTS!$B$53*DEFAULTS!$B$55))),IF(SUM(K54:$K$87)=0,"",0)))</f>
        <v/>
      </c>
    </row>
    <row r="55" spans="10:12" ht="16.5" customHeight="1">
      <c r="J55" s="22">
        <f t="shared" si="1"/>
        <v>2065</v>
      </c>
      <c r="K55" s="326"/>
      <c r="L55" s="65" t="str">
        <f>IF(ISERROR(IF($K55&gt;0,IF($K$7="(Mg/year)",($K55*DEFAULTS!$B$55*DEFAULTS!$B$53/DEFAULTS!$B$54),($K55*DEFAULTS!$B$54/(DEFAULTS!$B$53*DEFAULTS!$B$55))),IF(SUM(K55:$K$87)=0,"",0))),0,IF($K55&gt;0,IF($K$7="(Mg/year)",($K55*DEFAULTS!$B$55*DEFAULTS!$B$53/DEFAULTS!$B$54),($K55*DEFAULTS!$B$54/(DEFAULTS!$B$53*DEFAULTS!$B$55))),IF(SUM(K55:$K$87)=0,"",0)))</f>
        <v/>
      </c>
    </row>
    <row r="56" spans="10:12" ht="16.5" customHeight="1">
      <c r="J56" s="22">
        <f t="shared" si="1"/>
        <v>2066</v>
      </c>
      <c r="K56" s="326"/>
      <c r="L56" s="65" t="str">
        <f>IF(ISERROR(IF($K56&gt;0,IF($K$7="(Mg/year)",($K56*DEFAULTS!$B$55*DEFAULTS!$B$53/DEFAULTS!$B$54),($K56*DEFAULTS!$B$54/(DEFAULTS!$B$53*DEFAULTS!$B$55))),IF(SUM(K56:$K$87)=0,"",0))),0,IF($K56&gt;0,IF($K$7="(Mg/year)",($K56*DEFAULTS!$B$55*DEFAULTS!$B$53/DEFAULTS!$B$54),($K56*DEFAULTS!$B$54/(DEFAULTS!$B$53*DEFAULTS!$B$55))),IF(SUM(K56:$K$87)=0,"",0)))</f>
        <v/>
      </c>
    </row>
    <row r="57" spans="10:12" ht="16.5" customHeight="1">
      <c r="J57" s="22">
        <f t="shared" si="1"/>
        <v>2067</v>
      </c>
      <c r="K57" s="326"/>
      <c r="L57" s="65" t="str">
        <f>IF(ISERROR(IF($K57&gt;0,IF($K$7="(Mg/year)",($K57*DEFAULTS!$B$55*DEFAULTS!$B$53/DEFAULTS!$B$54),($K57*DEFAULTS!$B$54/(DEFAULTS!$B$53*DEFAULTS!$B$55))),IF(SUM(K57:$K$87)=0,"",0))),0,IF($K57&gt;0,IF($K$7="(Mg/year)",($K57*DEFAULTS!$B$55*DEFAULTS!$B$53/DEFAULTS!$B$54),($K57*DEFAULTS!$B$54/(DEFAULTS!$B$53*DEFAULTS!$B$55))),IF(SUM(K57:$K$87)=0,"",0)))</f>
        <v/>
      </c>
    </row>
    <row r="58" spans="10:12" ht="16.5" customHeight="1">
      <c r="J58" s="22">
        <f t="shared" si="1"/>
        <v>2068</v>
      </c>
      <c r="K58" s="326"/>
      <c r="L58" s="65" t="str">
        <f>IF(ISERROR(IF($K58&gt;0,IF($K$7="(Mg/year)",($K58*DEFAULTS!$B$55*DEFAULTS!$B$53/DEFAULTS!$B$54),($K58*DEFAULTS!$B$54/(DEFAULTS!$B$53*DEFAULTS!$B$55))),IF(SUM(K58:$K$87)=0,"",0))),0,IF($K58&gt;0,IF($K$7="(Mg/year)",($K58*DEFAULTS!$B$55*DEFAULTS!$B$53/DEFAULTS!$B$54),($K58*DEFAULTS!$B$54/(DEFAULTS!$B$53*DEFAULTS!$B$55))),IF(SUM(K58:$K$87)=0,"",0)))</f>
        <v/>
      </c>
    </row>
    <row r="59" spans="10:12" ht="16.5" customHeight="1">
      <c r="J59" s="22">
        <f t="shared" si="1"/>
        <v>2069</v>
      </c>
      <c r="K59" s="326"/>
      <c r="L59" s="65" t="str">
        <f>IF(ISERROR(IF($K59&gt;0,IF($K$7="(Mg/year)",($K59*DEFAULTS!$B$55*DEFAULTS!$B$53/DEFAULTS!$B$54),($K59*DEFAULTS!$B$54/(DEFAULTS!$B$53*DEFAULTS!$B$55))),IF(SUM(K59:$K$87)=0,"",0))),0,IF($K59&gt;0,IF($K$7="(Mg/year)",($K59*DEFAULTS!$B$55*DEFAULTS!$B$53/DEFAULTS!$B$54),($K59*DEFAULTS!$B$54/(DEFAULTS!$B$53*DEFAULTS!$B$55))),IF(SUM(K59:$K$87)=0,"",0)))</f>
        <v/>
      </c>
    </row>
    <row r="60" spans="10:12" ht="16.5" customHeight="1">
      <c r="J60" s="22">
        <f t="shared" si="1"/>
        <v>2070</v>
      </c>
      <c r="K60" s="326"/>
      <c r="L60" s="65" t="str">
        <f>IF(ISERROR(IF($K60&gt;0,IF($K$7="(Mg/year)",($K60*DEFAULTS!$B$55*DEFAULTS!$B$53/DEFAULTS!$B$54),($K60*DEFAULTS!$B$54/(DEFAULTS!$B$53*DEFAULTS!$B$55))),IF(SUM(K60:$K$87)=0,"",0))),0,IF($K60&gt;0,IF($K$7="(Mg/year)",($K60*DEFAULTS!$B$55*DEFAULTS!$B$53/DEFAULTS!$B$54),($K60*DEFAULTS!$B$54/(DEFAULTS!$B$53*DEFAULTS!$B$55))),IF(SUM(K60:$K$87)=0,"",0)))</f>
        <v/>
      </c>
    </row>
    <row r="61" spans="10:12" ht="16.5" customHeight="1">
      <c r="J61" s="22">
        <f t="shared" si="1"/>
        <v>2071</v>
      </c>
      <c r="K61" s="326"/>
      <c r="L61" s="65" t="str">
        <f>IF(ISERROR(IF($K61&gt;0,IF($K$7="(Mg/year)",($K61*DEFAULTS!$B$55*DEFAULTS!$B$53/DEFAULTS!$B$54),($K61*DEFAULTS!$B$54/(DEFAULTS!$B$53*DEFAULTS!$B$55))),IF(SUM(K61:$K$87)=0,"",0))),0,IF($K61&gt;0,IF($K$7="(Mg/year)",($K61*DEFAULTS!$B$55*DEFAULTS!$B$53/DEFAULTS!$B$54),($K61*DEFAULTS!$B$54/(DEFAULTS!$B$53*DEFAULTS!$B$55))),IF(SUM(K61:$K$87)=0,"",0)))</f>
        <v/>
      </c>
    </row>
    <row r="62" spans="10:12" ht="16.5" customHeight="1">
      <c r="J62" s="22">
        <f t="shared" si="1"/>
        <v>2072</v>
      </c>
      <c r="K62" s="326"/>
      <c r="L62" s="65" t="str">
        <f>IF(ISERROR(IF($K62&gt;0,IF($K$7="(Mg/year)",($K62*DEFAULTS!$B$55*DEFAULTS!$B$53/DEFAULTS!$B$54),($K62*DEFAULTS!$B$54/(DEFAULTS!$B$53*DEFAULTS!$B$55))),IF(SUM(K62:$K$87)=0,"",0))),0,IF($K62&gt;0,IF($K$7="(Mg/year)",($K62*DEFAULTS!$B$55*DEFAULTS!$B$53/DEFAULTS!$B$54),($K62*DEFAULTS!$B$54/(DEFAULTS!$B$53*DEFAULTS!$B$55))),IF(SUM(K62:$K$87)=0,"",0)))</f>
        <v/>
      </c>
    </row>
    <row r="63" spans="10:12" ht="16.5" customHeight="1">
      <c r="J63" s="22">
        <f t="shared" si="1"/>
        <v>2073</v>
      </c>
      <c r="K63" s="326"/>
      <c r="L63" s="65" t="str">
        <f>IF(ISERROR(IF($K63&gt;0,IF($K$7="(Mg/year)",($K63*DEFAULTS!$B$55*DEFAULTS!$B$53/DEFAULTS!$B$54),($K63*DEFAULTS!$B$54/(DEFAULTS!$B$53*DEFAULTS!$B$55))),IF(SUM(K63:$K$87)=0,"",0))),0,IF($K63&gt;0,IF($K$7="(Mg/year)",($K63*DEFAULTS!$B$55*DEFAULTS!$B$53/DEFAULTS!$B$54),($K63*DEFAULTS!$B$54/(DEFAULTS!$B$53*DEFAULTS!$B$55))),IF(SUM(K63:$K$87)=0,"",0)))</f>
        <v/>
      </c>
    </row>
    <row r="64" spans="10:12" ht="16.5" customHeight="1">
      <c r="J64" s="22">
        <f t="shared" si="1"/>
        <v>2074</v>
      </c>
      <c r="K64" s="326"/>
      <c r="L64" s="65" t="str">
        <f>IF(ISERROR(IF($K64&gt;0,IF($K$7="(Mg/year)",($K64*DEFAULTS!$B$55*DEFAULTS!$B$53/DEFAULTS!$B$54),($K64*DEFAULTS!$B$54/(DEFAULTS!$B$53*DEFAULTS!$B$55))),IF(SUM(K64:$K$87)=0,"",0))),0,IF($K64&gt;0,IF($K$7="(Mg/year)",($K64*DEFAULTS!$B$55*DEFAULTS!$B$53/DEFAULTS!$B$54),($K64*DEFAULTS!$B$54/(DEFAULTS!$B$53*DEFAULTS!$B$55))),IF(SUM(K64:$K$87)=0,"",0)))</f>
        <v/>
      </c>
    </row>
    <row r="65" spans="10:12" ht="16.5" customHeight="1">
      <c r="J65" s="22">
        <f t="shared" si="1"/>
        <v>2075</v>
      </c>
      <c r="K65" s="326"/>
      <c r="L65" s="65" t="str">
        <f>IF(ISERROR(IF($K65&gt;0,IF($K$7="(Mg/year)",($K65*DEFAULTS!$B$55*DEFAULTS!$B$53/DEFAULTS!$B$54),($K65*DEFAULTS!$B$54/(DEFAULTS!$B$53*DEFAULTS!$B$55))),IF(SUM(K65:$K$87)=0,"",0))),0,IF($K65&gt;0,IF($K$7="(Mg/year)",($K65*DEFAULTS!$B$55*DEFAULTS!$B$53/DEFAULTS!$B$54),($K65*DEFAULTS!$B$54/(DEFAULTS!$B$53*DEFAULTS!$B$55))),IF(SUM(K65:$K$87)=0,"",0)))</f>
        <v/>
      </c>
    </row>
    <row r="66" spans="10:12" ht="16.5" customHeight="1">
      <c r="J66" s="22">
        <f t="shared" si="1"/>
        <v>2076</v>
      </c>
      <c r="K66" s="326"/>
      <c r="L66" s="65" t="str">
        <f>IF(ISERROR(IF($K66&gt;0,IF($K$7="(Mg/year)",($K66*DEFAULTS!$B$55*DEFAULTS!$B$53/DEFAULTS!$B$54),($K66*DEFAULTS!$B$54/(DEFAULTS!$B$53*DEFAULTS!$B$55))),IF(SUM(K66:$K$87)=0,"",0))),0,IF($K66&gt;0,IF($K$7="(Mg/year)",($K66*DEFAULTS!$B$55*DEFAULTS!$B$53/DEFAULTS!$B$54),($K66*DEFAULTS!$B$54/(DEFAULTS!$B$53*DEFAULTS!$B$55))),IF(SUM(K66:$K$87)=0,"",0)))</f>
        <v/>
      </c>
    </row>
    <row r="67" spans="10:12" ht="16.5" customHeight="1">
      <c r="J67" s="22">
        <f t="shared" si="1"/>
        <v>2077</v>
      </c>
      <c r="K67" s="326"/>
      <c r="L67" s="65" t="str">
        <f>IF(ISERROR(IF($K67&gt;0,IF($K$7="(Mg/year)",($K67*DEFAULTS!$B$55*DEFAULTS!$B$53/DEFAULTS!$B$54),($K67*DEFAULTS!$B$54/(DEFAULTS!$B$53*DEFAULTS!$B$55))),IF(SUM(K67:$K$87)=0,"",0))),0,IF($K67&gt;0,IF($K$7="(Mg/year)",($K67*DEFAULTS!$B$55*DEFAULTS!$B$53/DEFAULTS!$B$54),($K67*DEFAULTS!$B$54/(DEFAULTS!$B$53*DEFAULTS!$B$55))),IF(SUM(K67:$K$87)=0,"",0)))</f>
        <v/>
      </c>
    </row>
    <row r="68" spans="10:12" ht="16.5" customHeight="1">
      <c r="J68" s="22">
        <f t="shared" si="1"/>
        <v>2078</v>
      </c>
      <c r="K68" s="326"/>
      <c r="L68" s="65" t="str">
        <f>IF(ISERROR(IF($K68&gt;0,IF($K$7="(Mg/year)",($K68*DEFAULTS!$B$55*DEFAULTS!$B$53/DEFAULTS!$B$54),($K68*DEFAULTS!$B$54/(DEFAULTS!$B$53*DEFAULTS!$B$55))),IF(SUM(K68:$K$87)=0,"",0))),0,IF($K68&gt;0,IF($K$7="(Mg/year)",($K68*DEFAULTS!$B$55*DEFAULTS!$B$53/DEFAULTS!$B$54),($K68*DEFAULTS!$B$54/(DEFAULTS!$B$53*DEFAULTS!$B$55))),IF(SUM(K68:$K$87)=0,"",0)))</f>
        <v/>
      </c>
    </row>
    <row r="69" spans="10:12" ht="16.5" customHeight="1">
      <c r="J69" s="22">
        <f t="shared" si="1"/>
        <v>2079</v>
      </c>
      <c r="K69" s="326"/>
      <c r="L69" s="65" t="str">
        <f>IF(ISERROR(IF($K69&gt;0,IF($K$7="(Mg/year)",($K69*DEFAULTS!$B$55*DEFAULTS!$B$53/DEFAULTS!$B$54),($K69*DEFAULTS!$B$54/(DEFAULTS!$B$53*DEFAULTS!$B$55))),IF(SUM(K69:$K$87)=0,"",0))),0,IF($K69&gt;0,IF($K$7="(Mg/year)",($K69*DEFAULTS!$B$55*DEFAULTS!$B$53/DEFAULTS!$B$54),($K69*DEFAULTS!$B$54/(DEFAULTS!$B$53*DEFAULTS!$B$55))),IF(SUM(K69:$K$87)=0,"",0)))</f>
        <v/>
      </c>
    </row>
    <row r="70" spans="10:12" ht="16.5" customHeight="1">
      <c r="J70" s="22">
        <f t="shared" si="1"/>
        <v>2080</v>
      </c>
      <c r="K70" s="326"/>
      <c r="L70" s="65" t="str">
        <f>IF(ISERROR(IF($K70&gt;0,IF($K$7="(Mg/year)",($K70*DEFAULTS!$B$55*DEFAULTS!$B$53/DEFAULTS!$B$54),($K70*DEFAULTS!$B$54/(DEFAULTS!$B$53*DEFAULTS!$B$55))),IF(SUM(K70:$K$87)=0,"",0))),0,IF($K70&gt;0,IF($K$7="(Mg/year)",($K70*DEFAULTS!$B$55*DEFAULTS!$B$53/DEFAULTS!$B$54),($K70*DEFAULTS!$B$54/(DEFAULTS!$B$53*DEFAULTS!$B$55))),IF(SUM(K70:$K$87)=0,"",0)))</f>
        <v/>
      </c>
    </row>
    <row r="71" spans="10:12" ht="16.5" customHeight="1">
      <c r="J71" s="22">
        <f t="shared" si="1"/>
        <v>2081</v>
      </c>
      <c r="K71" s="326"/>
      <c r="L71" s="65" t="str">
        <f>IF(ISERROR(IF($K71&gt;0,IF($K$7="(Mg/year)",($K71*DEFAULTS!$B$55*DEFAULTS!$B$53/DEFAULTS!$B$54),($K71*DEFAULTS!$B$54/(DEFAULTS!$B$53*DEFAULTS!$B$55))),IF(SUM(K71:$K$87)=0,"",0))),0,IF($K71&gt;0,IF($K$7="(Mg/year)",($K71*DEFAULTS!$B$55*DEFAULTS!$B$53/DEFAULTS!$B$54),($K71*DEFAULTS!$B$54/(DEFAULTS!$B$53*DEFAULTS!$B$55))),IF(SUM(K71:$K$87)=0,"",0)))</f>
        <v/>
      </c>
    </row>
    <row r="72" spans="10:12" ht="16.5" customHeight="1">
      <c r="J72" s="22">
        <f t="shared" si="1"/>
        <v>2082</v>
      </c>
      <c r="K72" s="326"/>
      <c r="L72" s="65" t="str">
        <f>IF(ISERROR(IF($K72&gt;0,IF($K$7="(Mg/year)",($K72*DEFAULTS!$B$55*DEFAULTS!$B$53/DEFAULTS!$B$54),($K72*DEFAULTS!$B$54/(DEFAULTS!$B$53*DEFAULTS!$B$55))),IF(SUM(K72:$K$87)=0,"",0))),0,IF($K72&gt;0,IF($K$7="(Mg/year)",($K72*DEFAULTS!$B$55*DEFAULTS!$B$53/DEFAULTS!$B$54),($K72*DEFAULTS!$B$54/(DEFAULTS!$B$53*DEFAULTS!$B$55))),IF(SUM(K72:$K$87)=0,"",0)))</f>
        <v/>
      </c>
    </row>
    <row r="73" spans="10:12" ht="16.5" customHeight="1">
      <c r="J73" s="22">
        <f t="shared" si="1"/>
        <v>2083</v>
      </c>
      <c r="K73" s="326"/>
      <c r="L73" s="65" t="str">
        <f>IF(ISERROR(IF($K73&gt;0,IF($K$7="(Mg/year)",($K73*DEFAULTS!$B$55*DEFAULTS!$B$53/DEFAULTS!$B$54),($K73*DEFAULTS!$B$54/(DEFAULTS!$B$53*DEFAULTS!$B$55))),IF(SUM(K73:$K$87)=0,"",0))),0,IF($K73&gt;0,IF($K$7="(Mg/year)",($K73*DEFAULTS!$B$55*DEFAULTS!$B$53/DEFAULTS!$B$54),($K73*DEFAULTS!$B$54/(DEFAULTS!$B$53*DEFAULTS!$B$55))),IF(SUM(K73:$K$87)=0,"",0)))</f>
        <v/>
      </c>
    </row>
    <row r="74" spans="10:12" ht="16.5" customHeight="1">
      <c r="J74" s="22">
        <f t="shared" si="1"/>
        <v>2084</v>
      </c>
      <c r="K74" s="326"/>
      <c r="L74" s="65" t="str">
        <f>IF(ISERROR(IF($K74&gt;0,IF($K$7="(Mg/year)",($K74*DEFAULTS!$B$55*DEFAULTS!$B$53/DEFAULTS!$B$54),($K74*DEFAULTS!$B$54/(DEFAULTS!$B$53*DEFAULTS!$B$55))),IF(SUM(K74:$K$87)=0,"",0))),0,IF($K74&gt;0,IF($K$7="(Mg/year)",($K74*DEFAULTS!$B$55*DEFAULTS!$B$53/DEFAULTS!$B$54),($K74*DEFAULTS!$B$54/(DEFAULTS!$B$53*DEFAULTS!$B$55))),IF(SUM(K74:$K$87)=0,"",0)))</f>
        <v/>
      </c>
    </row>
    <row r="75" spans="10:12" ht="16.5" customHeight="1">
      <c r="J75" s="22">
        <f t="shared" si="1"/>
        <v>2085</v>
      </c>
      <c r="K75" s="326"/>
      <c r="L75" s="65" t="str">
        <f>IF(ISERROR(IF($K75&gt;0,IF($K$7="(Mg/year)",($K75*DEFAULTS!$B$55*DEFAULTS!$B$53/DEFAULTS!$B$54),($K75*DEFAULTS!$B$54/(DEFAULTS!$B$53*DEFAULTS!$B$55))),IF(SUM(K75:$K$87)=0,"",0))),0,IF($K75&gt;0,IF($K$7="(Mg/year)",($K75*DEFAULTS!$B$55*DEFAULTS!$B$53/DEFAULTS!$B$54),($K75*DEFAULTS!$B$54/(DEFAULTS!$B$53*DEFAULTS!$B$55))),IF(SUM(K75:$K$87)=0,"",0)))</f>
        <v/>
      </c>
    </row>
    <row r="76" spans="10:12" ht="16.5" customHeight="1">
      <c r="J76" s="22">
        <f t="shared" si="1"/>
        <v>2086</v>
      </c>
      <c r="K76" s="326"/>
      <c r="L76" s="65" t="str">
        <f>IF(ISERROR(IF($K76&gt;0,IF($K$7="(Mg/year)",($K76*DEFAULTS!$B$55*DEFAULTS!$B$53/DEFAULTS!$B$54),($K76*DEFAULTS!$B$54/(DEFAULTS!$B$53*DEFAULTS!$B$55))),IF(SUM(K76:$K$87)=0,"",0))),0,IF($K76&gt;0,IF($K$7="(Mg/year)",($K76*DEFAULTS!$B$55*DEFAULTS!$B$53/DEFAULTS!$B$54),($K76*DEFAULTS!$B$54/(DEFAULTS!$B$53*DEFAULTS!$B$55))),IF(SUM(K76:$K$87)=0,"",0)))</f>
        <v/>
      </c>
    </row>
    <row r="77" spans="10:12" ht="16.5" customHeight="1">
      <c r="J77" s="22">
        <f t="shared" si="1"/>
        <v>2087</v>
      </c>
      <c r="K77" s="326"/>
      <c r="L77" s="65" t="str">
        <f>IF(ISERROR(IF($K77&gt;0,IF($K$7="(Mg/year)",($K77*DEFAULTS!$B$55*DEFAULTS!$B$53/DEFAULTS!$B$54),($K77*DEFAULTS!$B$54/(DEFAULTS!$B$53*DEFAULTS!$B$55))),IF(SUM(K77:$K$87)=0,"",0))),0,IF($K77&gt;0,IF($K$7="(Mg/year)",($K77*DEFAULTS!$B$55*DEFAULTS!$B$53/DEFAULTS!$B$54),($K77*DEFAULTS!$B$54/(DEFAULTS!$B$53*DEFAULTS!$B$55))),IF(SUM(K77:$K$87)=0,"",0)))</f>
        <v/>
      </c>
    </row>
    <row r="78" spans="10:12" ht="16.5" customHeight="1">
      <c r="J78" s="22">
        <f t="shared" si="1"/>
        <v>2088</v>
      </c>
      <c r="K78" s="326"/>
      <c r="L78" s="65" t="str">
        <f>IF(ISERROR(IF($K78&gt;0,IF($K$7="(Mg/year)",($K78*DEFAULTS!$B$55*DEFAULTS!$B$53/DEFAULTS!$B$54),($K78*DEFAULTS!$B$54/(DEFAULTS!$B$53*DEFAULTS!$B$55))),IF(SUM(K78:$K$87)=0,"",0))),0,IF($K78&gt;0,IF($K$7="(Mg/year)",($K78*DEFAULTS!$B$55*DEFAULTS!$B$53/DEFAULTS!$B$54),($K78*DEFAULTS!$B$54/(DEFAULTS!$B$53*DEFAULTS!$B$55))),IF(SUM(K78:$K$87)=0,"",0)))</f>
        <v/>
      </c>
    </row>
    <row r="79" spans="10:12" ht="16.5" customHeight="1">
      <c r="J79" s="22">
        <f t="shared" si="1"/>
        <v>2089</v>
      </c>
      <c r="K79" s="326"/>
      <c r="L79" s="65" t="str">
        <f>IF(ISERROR(IF($K79&gt;0,IF($K$7="(Mg/year)",($K79*DEFAULTS!$B$55*DEFAULTS!$B$53/DEFAULTS!$B$54),($K79*DEFAULTS!$B$54/(DEFAULTS!$B$53*DEFAULTS!$B$55))),IF(SUM(K79:$K$87)=0,"",0))),0,IF($K79&gt;0,IF($K$7="(Mg/year)",($K79*DEFAULTS!$B$55*DEFAULTS!$B$53/DEFAULTS!$B$54),($K79*DEFAULTS!$B$54/(DEFAULTS!$B$53*DEFAULTS!$B$55))),IF(SUM(K79:$K$87)=0,"",0)))</f>
        <v/>
      </c>
    </row>
    <row r="80" spans="10:12" ht="16.5" customHeight="1">
      <c r="J80" s="22">
        <f t="shared" ref="J80:J87" si="2">IF(J79="","",(J79+1))</f>
        <v>2090</v>
      </c>
      <c r="K80" s="326"/>
      <c r="L80" s="65" t="str">
        <f>IF(ISERROR(IF($K80&gt;0,IF($K$7="(Mg/year)",($K80*DEFAULTS!$B$55*DEFAULTS!$B$53/DEFAULTS!$B$54),($K80*DEFAULTS!$B$54/(DEFAULTS!$B$53*DEFAULTS!$B$55))),IF(SUM(K80:$K$87)=0,"",0))),0,IF($K80&gt;0,IF($K$7="(Mg/year)",($K80*DEFAULTS!$B$55*DEFAULTS!$B$53/DEFAULTS!$B$54),($K80*DEFAULTS!$B$54/(DEFAULTS!$B$53*DEFAULTS!$B$55))),IF(SUM(K80:$K$87)=0,"",0)))</f>
        <v/>
      </c>
    </row>
    <row r="81" spans="10:12" ht="16.5" customHeight="1">
      <c r="J81" s="22">
        <f t="shared" si="2"/>
        <v>2091</v>
      </c>
      <c r="K81" s="326"/>
      <c r="L81" s="65" t="str">
        <f>IF(ISERROR(IF($K81&gt;0,IF($K$7="(Mg/year)",($K81*DEFAULTS!$B$55*DEFAULTS!$B$53/DEFAULTS!$B$54),($K81*DEFAULTS!$B$54/(DEFAULTS!$B$53*DEFAULTS!$B$55))),IF(SUM(K81:$K$87)=0,"",0))),0,IF($K81&gt;0,IF($K$7="(Mg/year)",($K81*DEFAULTS!$B$55*DEFAULTS!$B$53/DEFAULTS!$B$54),($K81*DEFAULTS!$B$54/(DEFAULTS!$B$53*DEFAULTS!$B$55))),IF(SUM(K81:$K$87)=0,"",0)))</f>
        <v/>
      </c>
    </row>
    <row r="82" spans="10:12" ht="16.5" customHeight="1">
      <c r="J82" s="22">
        <f t="shared" si="2"/>
        <v>2092</v>
      </c>
      <c r="K82" s="326"/>
      <c r="L82" s="65" t="str">
        <f>IF(ISERROR(IF($K82&gt;0,IF($K$7="(Mg/year)",($K82*DEFAULTS!$B$55*DEFAULTS!$B$53/DEFAULTS!$B$54),($K82*DEFAULTS!$B$54/(DEFAULTS!$B$53*DEFAULTS!$B$55))),IF(SUM(K82:$K$87)=0,"",0))),0,IF($K82&gt;0,IF($K$7="(Mg/year)",($K82*DEFAULTS!$B$55*DEFAULTS!$B$53/DEFAULTS!$B$54),($K82*DEFAULTS!$B$54/(DEFAULTS!$B$53*DEFAULTS!$B$55))),IF(SUM(K82:$K$87)=0,"",0)))</f>
        <v/>
      </c>
    </row>
    <row r="83" spans="10:12" ht="16.5" customHeight="1">
      <c r="J83" s="22">
        <f t="shared" si="2"/>
        <v>2093</v>
      </c>
      <c r="K83" s="326"/>
      <c r="L83" s="65" t="str">
        <f>IF(ISERROR(IF($K83&gt;0,IF($K$7="(Mg/year)",($K83*DEFAULTS!$B$55*DEFAULTS!$B$53/DEFAULTS!$B$54),($K83*DEFAULTS!$B$54/(DEFAULTS!$B$53*DEFAULTS!$B$55))),IF(SUM(K83:$K$87)=0,"",0))),0,IF($K83&gt;0,IF($K$7="(Mg/year)",($K83*DEFAULTS!$B$55*DEFAULTS!$B$53/DEFAULTS!$B$54),($K83*DEFAULTS!$B$54/(DEFAULTS!$B$53*DEFAULTS!$B$55))),IF(SUM(K83:$K$87)=0,"",0)))</f>
        <v/>
      </c>
    </row>
    <row r="84" spans="10:12" ht="16.5" customHeight="1">
      <c r="J84" s="22">
        <f t="shared" si="2"/>
        <v>2094</v>
      </c>
      <c r="K84" s="326"/>
      <c r="L84" s="65" t="str">
        <f>IF(ISERROR(IF($K84&gt;0,IF($K$7="(Mg/year)",($K84*DEFAULTS!$B$55*DEFAULTS!$B$53/DEFAULTS!$B$54),($K84*DEFAULTS!$B$54/(DEFAULTS!$B$53*DEFAULTS!$B$55))),IF(SUM(K84:$K$87)=0,"",0))),0,IF($K84&gt;0,IF($K$7="(Mg/year)",($K84*DEFAULTS!$B$55*DEFAULTS!$B$53/DEFAULTS!$B$54),($K84*DEFAULTS!$B$54/(DEFAULTS!$B$53*DEFAULTS!$B$55))),IF(SUM(K84:$K$87)=0,"",0)))</f>
        <v/>
      </c>
    </row>
    <row r="85" spans="10:12" ht="16.5" customHeight="1">
      <c r="J85" s="22">
        <f t="shared" si="2"/>
        <v>2095</v>
      </c>
      <c r="K85" s="326"/>
      <c r="L85" s="65" t="str">
        <f>IF(ISERROR(IF($K85&gt;0,IF($K$7="(Mg/year)",($K85*DEFAULTS!$B$55*DEFAULTS!$B$53/DEFAULTS!$B$54),($K85*DEFAULTS!$B$54/(DEFAULTS!$B$53*DEFAULTS!$B$55))),IF(SUM(K85:$K$87)=0,"",0))),0,IF($K85&gt;0,IF($K$7="(Mg/year)",($K85*DEFAULTS!$B$55*DEFAULTS!$B$53/DEFAULTS!$B$54),($K85*DEFAULTS!$B$54/(DEFAULTS!$B$53*DEFAULTS!$B$55))),IF(SUM(K85:$K$87)=0,"",0)))</f>
        <v/>
      </c>
    </row>
    <row r="86" spans="10:12" ht="16.5" customHeight="1">
      <c r="J86" s="22">
        <f t="shared" si="2"/>
        <v>2096</v>
      </c>
      <c r="K86" s="326"/>
      <c r="L86" s="65" t="str">
        <f>IF(ISERROR(IF($K86&gt;0,IF($K$7="(Mg/year)",($K86*DEFAULTS!$B$55*DEFAULTS!$B$53/DEFAULTS!$B$54),($K86*DEFAULTS!$B$54/(DEFAULTS!$B$53*DEFAULTS!$B$55))),IF(SUM(K86:$K$87)=0,"",0))),0,IF($K86&gt;0,IF($K$7="(Mg/year)",($K86*DEFAULTS!$B$55*DEFAULTS!$B$53/DEFAULTS!$B$54),($K86*DEFAULTS!$B$54/(DEFAULTS!$B$53*DEFAULTS!$B$55))),IF(SUM(K86:$K$87)=0,"",0)))</f>
        <v/>
      </c>
    </row>
    <row r="87" spans="10:12" ht="16.5" customHeight="1" thickBot="1">
      <c r="J87" s="175">
        <f t="shared" si="2"/>
        <v>2097</v>
      </c>
      <c r="K87" s="509"/>
      <c r="L87" s="384" t="str">
        <f>IF(ISERROR(IF($K87&gt;0,IF($K$7="(Mg/year)",($K87*DEFAULTS!$B$55*DEFAULTS!$B$53/DEFAULTS!$B$54),($K87*DEFAULTS!$B$54/(DEFAULTS!$B$53*DEFAULTS!$B$55))),IF(SUM(K87:$K$87)=0,"",0))),0,IF($K87&gt;0,IF($K$7="(Mg/year)",($K87*DEFAULTS!$B$55*DEFAULTS!$B$53/DEFAULTS!$B$54),($K87*DEFAULTS!$B$54/(DEFAULTS!$B$53*DEFAULTS!$B$55))),IF(SUM(K87:$K$87)=0,"",0)))</f>
        <v/>
      </c>
    </row>
    <row r="88" spans="10:12" ht="13.5" thickTop="1">
      <c r="J88" s="389"/>
      <c r="K88" s="389"/>
      <c r="L88" s="389"/>
    </row>
  </sheetData>
  <sheetProtection password="A4D6" sheet="1" objects="1" scenarios="1"/>
  <mergeCells count="7">
    <mergeCell ref="B34:G37"/>
    <mergeCell ref="J4:J5"/>
    <mergeCell ref="J6:J7"/>
    <mergeCell ref="E1:H1"/>
    <mergeCell ref="E5:H6"/>
    <mergeCell ref="G15:H15"/>
    <mergeCell ref="B9:D10"/>
  </mergeCells>
  <phoneticPr fontId="51" type="noConversion"/>
  <conditionalFormatting sqref="F13">
    <cfRule type="expression" dxfId="7" priority="1" stopIfTrue="1">
      <formula>$E$13=""</formula>
    </cfRule>
    <cfRule type="expression" dxfId="6" priority="2" stopIfTrue="1">
      <formula>$E$13="User-specified value:"</formula>
    </cfRule>
  </conditionalFormatting>
  <conditionalFormatting sqref="F15">
    <cfRule type="expression" dxfId="5" priority="3" stopIfTrue="1">
      <formula>$E$15=""</formula>
    </cfRule>
    <cfRule type="expression" dxfId="4" priority="4" stopIfTrue="1">
      <formula>$E$15="User-specified value:"</formula>
    </cfRule>
  </conditionalFormatting>
  <conditionalFormatting sqref="F17">
    <cfRule type="expression" dxfId="3" priority="5" stopIfTrue="1">
      <formula>$E$17=""</formula>
    </cfRule>
    <cfRule type="expression" dxfId="2" priority="6" stopIfTrue="1">
      <formula>$E$17="User-specified value:"</formula>
    </cfRule>
  </conditionalFormatting>
  <conditionalFormatting sqref="F19">
    <cfRule type="expression" dxfId="1" priority="7" stopIfTrue="1">
      <formula>$E$19=""</formula>
    </cfRule>
    <cfRule type="expression" dxfId="0" priority="8" stopIfTrue="1">
      <formula>$E$19="User-specified value:"</formula>
    </cfRule>
  </conditionalFormatting>
  <dataValidations xWindow="322" yWindow="402" count="13">
    <dataValidation type="textLength" allowBlank="1" showInputMessage="1" showErrorMessage="1" errorTitle="Character Limit Exceeded" error="Limit Description/Comments to 450 characters." sqref="B34:G37">
      <formula1>0</formula1>
      <formula2>450</formula2>
    </dataValidation>
    <dataValidation allowBlank="1" showInputMessage="1" showErrorMessage="1" errorTitle="Character Length Exceeded" error="Edit text._x000a_" sqref="B38"/>
    <dataValidation type="textLength" allowBlank="1" showInputMessage="1" showErrorMessage="1" errorTitle="Character Limit Exceeded" error="Limit Landfill Name or Identifier to 50 characters." sqref="E1:H1">
      <formula1>0</formula1>
      <formula2>50</formula2>
    </dataValidation>
    <dataValidation type="whole" operator="greaterThanOrEqual" allowBlank="1" showInputMessage="1" showErrorMessage="1" errorTitle="Invalid Landfill Closure Year" error="Landfill Closure Year cannot be less than Landfill Open Year._x000a_" sqref="D6">
      <formula1>MAX(D5,0)</formula1>
    </dataValidation>
    <dataValidation type="decimal" operator="greaterThanOrEqual" allowBlank="1" showInputMessage="1" showErrorMessage="1" errorTitle="Invalid Waste Design Capacity" error="Please enter a Waste Design Capacity with a positive value." sqref="D8">
      <formula1>0</formula1>
    </dataValidation>
    <dataValidation type="whole" operator="greaterThanOrEqual" allowBlank="1" showInputMessage="1" showErrorMessage="1" errorTitle="Invalid Landfill Open Year" error="Please enter a Landfill Open Year with a positive value." sqref="D5">
      <formula1>0</formula1>
    </dataValidation>
    <dataValidation type="decimal" operator="greaterThanOrEqual" allowBlank="1" showInputMessage="1" showErrorMessage="1" errorTitle="Invalid Waste Acceptance Rate" error="Pleate enter a Wate Acceptance Rate with a positive value." sqref="K40:K87">
      <formula1>0</formula1>
    </dataValidation>
    <dataValidation type="decimal" operator="greaterThan" allowBlank="1" showInputMessage="1" showErrorMessage="1" errorTitle="Invalid Methane Generation Rate" error="Please enter a Methane Generation Rate." sqref="E13">
      <formula1>0</formula1>
    </dataValidation>
    <dataValidation type="decimal" allowBlank="1" showInputMessage="1" showErrorMessage="1" errorTitle="Invalid Methane Content" error="Please enter a Methane Content between 40 and 60%." sqref="E19">
      <formula1>40</formula1>
      <formula2>60</formula2>
    </dataValidation>
    <dataValidation type="decimal" operator="greaterThanOrEqual" allowBlank="1" showInputMessage="1" showErrorMessage="1" errorTitle="Invalid k value" error="Please enter a positive Methane Generation Rate._x000a_" sqref="F13">
      <formula1>0</formula1>
    </dataValidation>
    <dataValidation type="decimal" operator="greaterThanOrEqual" allowBlank="1" showInputMessage="1" showErrorMessage="1" errorTitle="Invalid Lo" error="Please enter a positive value for Potential Methane Generation Capacity." sqref="F15">
      <formula1>0</formula1>
    </dataValidation>
    <dataValidation type="decimal" operator="greaterThanOrEqual" allowBlank="1" showInputMessage="1" showErrorMessage="1" errorTitle="Invalid NMOC Concentration" error="Please enter a positive value for NMOC Concentration." sqref="F17">
      <formula1>0</formula1>
    </dataValidation>
    <dataValidation type="decimal" operator="greaterThanOrEqual" allowBlank="1" showInputMessage="1" showErrorMessage="1" errorTitle="Invalid Methane Content" error="Please enter a positive value for Methane Content." sqref="F19">
      <formula1>0</formula1>
    </dataValidation>
  </dataValidations>
  <printOptions horizontalCentered="1"/>
  <pageMargins left="0.2" right="0.2" top="0.5" bottom="0.5" header="0.2" footer="0.2"/>
  <pageSetup scale="89" fitToWidth="2" fitToHeight="2" orientation="portrait" blackAndWhite="1" r:id="rId1"/>
  <headerFooter alignWithMargins="0">
    <oddHeader>&amp;L&amp;9&amp;F&amp;R&amp;9&amp;D</oddHeader>
    <oddFooter>&amp;C&amp;9USER INPUTS - &amp;P</oddFooter>
  </headerFooter>
  <rowBreaks count="1" manualBreakCount="1">
    <brk id="47" min="9" max="12" man="1"/>
  </rowBreaks>
  <colBreaks count="1" manualBreakCount="1">
    <brk id="9" max="86" man="1"/>
  </colBreaks>
  <ignoredErrors>
    <ignoredError sqref="E14" formula="1"/>
  </ignoredErrors>
  <drawing r:id="rId2"/>
  <legacyDrawing r:id="rId3"/>
  <controls>
    <mc:AlternateContent xmlns:mc="http://schemas.openxmlformats.org/markup-compatibility/2006">
      <mc:Choice Requires="x14">
        <control shapeId="1066" r:id="rId4" name="RestorePollutants">
          <controlPr defaultSize="0" autoLine="0" r:id="rId5">
            <anchor moveWithCells="1">
              <from>
                <xdr:col>5</xdr:col>
                <xdr:colOff>352425</xdr:colOff>
                <xdr:row>26</xdr:row>
                <xdr:rowOff>114300</xdr:rowOff>
              </from>
              <to>
                <xdr:col>7</xdr:col>
                <xdr:colOff>209550</xdr:colOff>
                <xdr:row>29</xdr:row>
                <xdr:rowOff>85725</xdr:rowOff>
              </to>
            </anchor>
          </controlPr>
        </control>
      </mc:Choice>
      <mc:Fallback>
        <control shapeId="1066" r:id="rId4" name="RestorePollutants"/>
      </mc:Fallback>
    </mc:AlternateContent>
    <mc:AlternateContent xmlns:mc="http://schemas.openxmlformats.org/markup-compatibility/2006">
      <mc:Choice Requires="x14">
        <control shapeId="1065" r:id="rId6" name="EditPollutants">
          <controlPr defaultSize="0" autoLine="0" r:id="rId7">
            <anchor moveWithCells="1">
              <from>
                <xdr:col>5</xdr:col>
                <xdr:colOff>352425</xdr:colOff>
                <xdr:row>23</xdr:row>
                <xdr:rowOff>38100</xdr:rowOff>
              </from>
              <to>
                <xdr:col>7</xdr:col>
                <xdr:colOff>209550</xdr:colOff>
                <xdr:row>26</xdr:row>
                <xdr:rowOff>9525</xdr:rowOff>
              </to>
            </anchor>
          </controlPr>
        </control>
      </mc:Choice>
      <mc:Fallback>
        <control shapeId="1065" r:id="rId6" name="EditPollutants"/>
      </mc:Fallback>
    </mc:AlternateContent>
    <mc:AlternateContent xmlns:mc="http://schemas.openxmlformats.org/markup-compatibility/2006">
      <mc:Choice Requires="x14">
        <control shapeId="1062" r:id="rId8" name="EmissionConc4">
          <controlPr defaultSize="0" autoLine="0" linkedCell="B30" listFillRange="DEFAULTS!E8:F69" r:id="rId9">
            <anchor moveWithCells="1">
              <from>
                <xdr:col>1</xdr:col>
                <xdr:colOff>28575</xdr:colOff>
                <xdr:row>29</xdr:row>
                <xdr:rowOff>0</xdr:rowOff>
              </from>
              <to>
                <xdr:col>4</xdr:col>
                <xdr:colOff>685800</xdr:colOff>
                <xdr:row>30</xdr:row>
                <xdr:rowOff>28575</xdr:rowOff>
              </to>
            </anchor>
          </controlPr>
        </control>
      </mc:Choice>
      <mc:Fallback>
        <control shapeId="1062" r:id="rId8" name="EmissionConc4"/>
      </mc:Fallback>
    </mc:AlternateContent>
    <mc:AlternateContent xmlns:mc="http://schemas.openxmlformats.org/markup-compatibility/2006">
      <mc:Choice Requires="x14">
        <control shapeId="1061" r:id="rId10" name="EmissionConc3">
          <controlPr defaultSize="0" autoLine="0" linkedCell="B28" listFillRange="DEFAULTS!E8:F69" r:id="rId11">
            <anchor moveWithCells="1">
              <from>
                <xdr:col>1</xdr:col>
                <xdr:colOff>28575</xdr:colOff>
                <xdr:row>27</xdr:row>
                <xdr:rowOff>0</xdr:rowOff>
              </from>
              <to>
                <xdr:col>4</xdr:col>
                <xdr:colOff>685800</xdr:colOff>
                <xdr:row>28</xdr:row>
                <xdr:rowOff>28575</xdr:rowOff>
              </to>
            </anchor>
          </controlPr>
        </control>
      </mc:Choice>
      <mc:Fallback>
        <control shapeId="1061" r:id="rId10" name="EmissionConc3"/>
      </mc:Fallback>
    </mc:AlternateContent>
    <mc:AlternateContent xmlns:mc="http://schemas.openxmlformats.org/markup-compatibility/2006">
      <mc:Choice Requires="x14">
        <control shapeId="1060" r:id="rId12" name="EmissionConc2">
          <controlPr defaultSize="0" autoLine="0" linkedCell="B26" listFillRange="DEFAULTS!E8:F69" r:id="rId9">
            <anchor moveWithCells="1">
              <from>
                <xdr:col>1</xdr:col>
                <xdr:colOff>28575</xdr:colOff>
                <xdr:row>25</xdr:row>
                <xdr:rowOff>0</xdr:rowOff>
              </from>
              <to>
                <xdr:col>4</xdr:col>
                <xdr:colOff>685800</xdr:colOff>
                <xdr:row>26</xdr:row>
                <xdr:rowOff>28575</xdr:rowOff>
              </to>
            </anchor>
          </controlPr>
        </control>
      </mc:Choice>
      <mc:Fallback>
        <control shapeId="1060" r:id="rId12" name="EmissionConc2"/>
      </mc:Fallback>
    </mc:AlternateContent>
    <mc:AlternateContent xmlns:mc="http://schemas.openxmlformats.org/markup-compatibility/2006">
      <mc:Choice Requires="x14">
        <control shapeId="1055" r:id="rId13" name="NMOCConc">
          <controlPr defaultSize="0" autoLine="0" linkedCell="B17" listFillRange="DEFAULTS!A25:B28" r:id="rId14">
            <anchor moveWithCells="1">
              <from>
                <xdr:col>1</xdr:col>
                <xdr:colOff>28575</xdr:colOff>
                <xdr:row>16</xdr:row>
                <xdr:rowOff>19050</xdr:rowOff>
              </from>
              <to>
                <xdr:col>3</xdr:col>
                <xdr:colOff>381000</xdr:colOff>
                <xdr:row>17</xdr:row>
                <xdr:rowOff>9525</xdr:rowOff>
              </to>
            </anchor>
          </controlPr>
        </control>
      </mc:Choice>
      <mc:Fallback>
        <control shapeId="1055" r:id="rId13" name="NMOCConc"/>
      </mc:Fallback>
    </mc:AlternateContent>
    <mc:AlternateContent xmlns:mc="http://schemas.openxmlformats.org/markup-compatibility/2006">
      <mc:Choice Requires="x14">
        <control shapeId="1054" r:id="rId15" name="ClearAllInputs">
          <controlPr defaultSize="0" autoLine="0" r:id="rId16">
            <anchor moveWithCells="1">
              <from>
                <xdr:col>5</xdr:col>
                <xdr:colOff>19050</xdr:colOff>
                <xdr:row>1</xdr:row>
                <xdr:rowOff>161925</xdr:rowOff>
              </from>
              <to>
                <xdr:col>7</xdr:col>
                <xdr:colOff>361950</xdr:colOff>
                <xdr:row>3</xdr:row>
                <xdr:rowOff>161925</xdr:rowOff>
              </to>
            </anchor>
          </controlPr>
        </control>
      </mc:Choice>
      <mc:Fallback>
        <control shapeId="1054" r:id="rId15" name="ClearAllInputs"/>
      </mc:Fallback>
    </mc:AlternateContent>
    <mc:AlternateContent xmlns:mc="http://schemas.openxmlformats.org/markup-compatibility/2006">
      <mc:Choice Requires="x14">
        <control shapeId="1047" r:id="rId17" name="EmissionConc1">
          <controlPr defaultSize="0" autoLine="0" linkedCell="B24" listFillRange="DEFAULTS!E8:F69" r:id="rId9">
            <anchor moveWithCells="1">
              <from>
                <xdr:col>1</xdr:col>
                <xdr:colOff>28575</xdr:colOff>
                <xdr:row>23</xdr:row>
                <xdr:rowOff>0</xdr:rowOff>
              </from>
              <to>
                <xdr:col>4</xdr:col>
                <xdr:colOff>685800</xdr:colOff>
                <xdr:row>24</xdr:row>
                <xdr:rowOff>28575</xdr:rowOff>
              </to>
            </anchor>
          </controlPr>
        </control>
      </mc:Choice>
      <mc:Fallback>
        <control shapeId="1047" r:id="rId17" name="EmissionConc1"/>
      </mc:Fallback>
    </mc:AlternateContent>
    <mc:AlternateContent xmlns:mc="http://schemas.openxmlformats.org/markup-compatibility/2006">
      <mc:Choice Requires="x14">
        <control shapeId="1046" r:id="rId18" name="WasteAcceptanceUnits">
          <controlPr defaultSize="0" autoLine="0" linkedCell="K4" listFillRange="DEFAULTS!A43:A44" r:id="rId19">
            <anchor moveWithCells="1">
              <from>
                <xdr:col>10</xdr:col>
                <xdr:colOff>0</xdr:colOff>
                <xdr:row>3</xdr:row>
                <xdr:rowOff>47625</xdr:rowOff>
              </from>
              <to>
                <xdr:col>11</xdr:col>
                <xdr:colOff>85725</xdr:colOff>
                <xdr:row>4</xdr:row>
                <xdr:rowOff>85725</xdr:rowOff>
              </to>
            </anchor>
          </controlPr>
        </control>
      </mc:Choice>
      <mc:Fallback>
        <control shapeId="1046" r:id="rId18" name="WasteAcceptanceUnits"/>
      </mc:Fallback>
    </mc:AlternateContent>
    <mc:AlternateContent xmlns:mc="http://schemas.openxmlformats.org/markup-compatibility/2006">
      <mc:Choice Requires="x14">
        <control shapeId="1045" r:id="rId20" name="ClosureCalcNo">
          <controlPr autoLine="0" linkedCell="F3" r:id="rId21">
            <anchor moveWithCells="1">
              <from>
                <xdr:col>3</xdr:col>
                <xdr:colOff>466725</xdr:colOff>
                <xdr:row>6</xdr:row>
                <xdr:rowOff>9525</xdr:rowOff>
              </from>
              <to>
                <xdr:col>4</xdr:col>
                <xdr:colOff>0</xdr:colOff>
                <xdr:row>7</xdr:row>
                <xdr:rowOff>9525</xdr:rowOff>
              </to>
            </anchor>
          </controlPr>
        </control>
      </mc:Choice>
      <mc:Fallback>
        <control shapeId="1045" r:id="rId20" name="ClosureCalcNo"/>
      </mc:Fallback>
    </mc:AlternateContent>
    <mc:AlternateContent xmlns:mc="http://schemas.openxmlformats.org/markup-compatibility/2006">
      <mc:Choice Requires="x14">
        <control shapeId="1044" r:id="rId22" name="ClosureCalcYes">
          <controlPr defaultSize="0" autoLine="0" linkedCell="D7" r:id="rId23">
            <anchor moveWithCells="1">
              <from>
                <xdr:col>3</xdr:col>
                <xdr:colOff>9525</xdr:colOff>
                <xdr:row>6</xdr:row>
                <xdr:rowOff>9525</xdr:rowOff>
              </from>
              <to>
                <xdr:col>3</xdr:col>
                <xdr:colOff>485775</xdr:colOff>
                <xdr:row>7</xdr:row>
                <xdr:rowOff>9525</xdr:rowOff>
              </to>
            </anchor>
          </controlPr>
        </control>
      </mc:Choice>
      <mc:Fallback>
        <control shapeId="1044" r:id="rId22" name="ClosureCalcYes"/>
      </mc:Fallback>
    </mc:AlternateContent>
    <mc:AlternateContent xmlns:mc="http://schemas.openxmlformats.org/markup-compatibility/2006">
      <mc:Choice Requires="x14">
        <control shapeId="1041" r:id="rId24" name="RestoreDefaults">
          <controlPr defaultSize="0" autoLine="0" r:id="rId25">
            <anchor moveWithCells="1">
              <from>
                <xdr:col>4</xdr:col>
                <xdr:colOff>9525</xdr:colOff>
                <xdr:row>8</xdr:row>
                <xdr:rowOff>152400</xdr:rowOff>
              </from>
              <to>
                <xdr:col>6</xdr:col>
                <xdr:colOff>57150</xdr:colOff>
                <xdr:row>10</xdr:row>
                <xdr:rowOff>161925</xdr:rowOff>
              </to>
            </anchor>
          </controlPr>
        </control>
      </mc:Choice>
      <mc:Fallback>
        <control shapeId="1041" r:id="rId24" name="RestoreDefaults"/>
      </mc:Fallback>
    </mc:AlternateContent>
    <mc:AlternateContent xmlns:mc="http://schemas.openxmlformats.org/markup-compatibility/2006">
      <mc:Choice Requires="x14">
        <control shapeId="1039" r:id="rId26" name="WasteCapacityUnits">
          <controlPr defaultSize="0" autoLine="0" linkedCell="E8" listFillRange="DEFAULTS!A38:A39" r:id="rId27">
            <anchor moveWithCells="1">
              <from>
                <xdr:col>4</xdr:col>
                <xdr:colOff>0</xdr:colOff>
                <xdr:row>7</xdr:row>
                <xdr:rowOff>0</xdr:rowOff>
              </from>
              <to>
                <xdr:col>5</xdr:col>
                <xdr:colOff>419100</xdr:colOff>
                <xdr:row>8</xdr:row>
                <xdr:rowOff>19050</xdr:rowOff>
              </to>
            </anchor>
          </controlPr>
        </control>
      </mc:Choice>
      <mc:Fallback>
        <control shapeId="1039" r:id="rId26" name="WasteCapacityUnits"/>
      </mc:Fallback>
    </mc:AlternateContent>
    <mc:AlternateContent xmlns:mc="http://schemas.openxmlformats.org/markup-compatibility/2006">
      <mc:Choice Requires="x14">
        <control shapeId="1034" r:id="rId28" name="MethaneContent">
          <controlPr defaultSize="0" autoLine="0" linkedCell="B19" listFillRange="DEFAULTS!A32:B33" r:id="rId29">
            <anchor moveWithCells="1">
              <from>
                <xdr:col>1</xdr:col>
                <xdr:colOff>28575</xdr:colOff>
                <xdr:row>18</xdr:row>
                <xdr:rowOff>9525</xdr:rowOff>
              </from>
              <to>
                <xdr:col>3</xdr:col>
                <xdr:colOff>381000</xdr:colOff>
                <xdr:row>19</xdr:row>
                <xdr:rowOff>0</xdr:rowOff>
              </to>
            </anchor>
          </controlPr>
        </control>
      </mc:Choice>
      <mc:Fallback>
        <control shapeId="1034" r:id="rId28" name="MethaneContent"/>
      </mc:Fallback>
    </mc:AlternateContent>
    <mc:AlternateContent xmlns:mc="http://schemas.openxmlformats.org/markup-compatibility/2006">
      <mc:Choice Requires="x14">
        <control shapeId="1030" r:id="rId30" name="LoValue">
          <controlPr defaultSize="0" autoLine="0" linkedCell="B15" listFillRange="DEFAULTS!A16:B21" r:id="rId31">
            <anchor moveWithCells="1">
              <from>
                <xdr:col>1</xdr:col>
                <xdr:colOff>28575</xdr:colOff>
                <xdr:row>14</xdr:row>
                <xdr:rowOff>9525</xdr:rowOff>
              </from>
              <to>
                <xdr:col>3</xdr:col>
                <xdr:colOff>381000</xdr:colOff>
                <xdr:row>15</xdr:row>
                <xdr:rowOff>0</xdr:rowOff>
              </to>
            </anchor>
          </controlPr>
        </control>
      </mc:Choice>
      <mc:Fallback>
        <control shapeId="1030" r:id="rId30" name="LoValue"/>
      </mc:Fallback>
    </mc:AlternateContent>
    <mc:AlternateContent xmlns:mc="http://schemas.openxmlformats.org/markup-compatibility/2006">
      <mc:Choice Requires="x14">
        <control shapeId="1029" r:id="rId32" name="kValue">
          <controlPr defaultSize="0" autoLine="0" linkedCell="B13" listFillRange="DEFAULTS!A7:B12" r:id="rId33">
            <anchor moveWithCells="1">
              <from>
                <xdr:col>1</xdr:col>
                <xdr:colOff>28575</xdr:colOff>
                <xdr:row>12</xdr:row>
                <xdr:rowOff>9525</xdr:rowOff>
              </from>
              <to>
                <xdr:col>3</xdr:col>
                <xdr:colOff>381000</xdr:colOff>
                <xdr:row>13</xdr:row>
                <xdr:rowOff>0</xdr:rowOff>
              </to>
            </anchor>
          </controlPr>
        </control>
      </mc:Choice>
      <mc:Fallback>
        <control shapeId="1029" r:id="rId32" name="kValue"/>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BH843"/>
  <sheetViews>
    <sheetView zoomScaleNormal="100" workbookViewId="0"/>
  </sheetViews>
  <sheetFormatPr defaultRowHeight="12.75"/>
  <cols>
    <col min="1" max="1" width="3.28515625" bestFit="1" customWidth="1"/>
    <col min="2" max="2" width="45.42578125" customWidth="1"/>
    <col min="3" max="3" width="17.140625" customWidth="1"/>
    <col min="4" max="4" width="15.5703125" customWidth="1"/>
    <col min="5" max="5" width="6.28515625" bestFit="1" customWidth="1"/>
    <col min="6" max="6" width="17.140625" customWidth="1"/>
    <col min="7" max="7" width="15.5703125" customWidth="1"/>
  </cols>
  <sheetData>
    <row r="1" spans="1:60" s="17" customFormat="1" ht="18">
      <c r="A1" s="196" t="s">
        <v>296</v>
      </c>
      <c r="C1" s="159" t="s">
        <v>170</v>
      </c>
      <c r="D1" s="635" t="str">
        <f>IF('USER INPUTS'!$E$1=0,"",'USER INPUTS'!$E$1)</f>
        <v>TPA Muara Fajar 2 Kota Pekanbaru</v>
      </c>
      <c r="E1" s="635"/>
      <c r="F1" s="635"/>
      <c r="G1" s="635"/>
      <c r="H1" s="390"/>
    </row>
    <row r="2" spans="1:60">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row>
    <row r="3" spans="1:60">
      <c r="A3" s="17"/>
      <c r="B3" s="375"/>
      <c r="C3" s="375"/>
      <c r="D3" s="375"/>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row>
    <row r="4" spans="1:60">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row>
    <row r="5" spans="1:60">
      <c r="A5" s="17"/>
      <c r="B5" s="376"/>
      <c r="C5" s="376"/>
      <c r="D5" s="376"/>
      <c r="E5" s="376"/>
      <c r="F5" s="376"/>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row>
    <row r="6" spans="1:60">
      <c r="A6" s="628" t="s">
        <v>317</v>
      </c>
      <c r="B6" s="628"/>
      <c r="C6" s="628"/>
      <c r="D6" s="628"/>
      <c r="E6" s="628"/>
      <c r="F6" s="623" t="s">
        <v>316</v>
      </c>
      <c r="G6" s="623"/>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row>
    <row r="7" spans="1:60" ht="13.5" customHeight="1" thickBot="1">
      <c r="A7" s="618" t="s">
        <v>302</v>
      </c>
      <c r="B7" s="618"/>
      <c r="C7" s="618"/>
      <c r="D7" s="618"/>
      <c r="E7" s="618"/>
      <c r="F7" s="624"/>
      <c r="G7" s="624"/>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row>
    <row r="8" spans="1:60" ht="12.75" customHeight="1">
      <c r="A8" s="395"/>
      <c r="B8" s="629" t="s">
        <v>10</v>
      </c>
      <c r="C8" s="631" t="s">
        <v>321</v>
      </c>
      <c r="D8" s="633" t="s">
        <v>11</v>
      </c>
      <c r="E8" s="636" t="s">
        <v>19</v>
      </c>
      <c r="F8" s="645" t="s">
        <v>322</v>
      </c>
      <c r="G8" s="636" t="s">
        <v>11</v>
      </c>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row>
    <row r="9" spans="1:60">
      <c r="A9" s="396"/>
      <c r="B9" s="630"/>
      <c r="C9" s="632"/>
      <c r="D9" s="634"/>
      <c r="E9" s="637"/>
      <c r="F9" s="646"/>
      <c r="G9" s="63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row>
    <row r="10" spans="1:60" ht="12.75" customHeight="1">
      <c r="A10" s="625" t="s">
        <v>64</v>
      </c>
      <c r="B10" s="401" t="s">
        <v>45</v>
      </c>
      <c r="C10" s="494"/>
      <c r="D10" s="343">
        <f>DEFAULTS!$G$8</f>
        <v>31.628999999999998</v>
      </c>
      <c r="E10" s="411"/>
      <c r="F10" s="619"/>
      <c r="G10" s="620"/>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row>
    <row r="11" spans="1:60">
      <c r="A11" s="626"/>
      <c r="B11" s="402" t="s">
        <v>43</v>
      </c>
      <c r="C11" s="495"/>
      <c r="D11" s="344">
        <v>16.04</v>
      </c>
      <c r="E11" s="412"/>
      <c r="F11" s="621"/>
      <c r="G11" s="622"/>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row>
    <row r="12" spans="1:60">
      <c r="A12" s="626"/>
      <c r="B12" s="403" t="s">
        <v>44</v>
      </c>
      <c r="C12" s="496"/>
      <c r="D12" s="345">
        <v>44.01</v>
      </c>
      <c r="E12" s="412"/>
      <c r="F12" s="621"/>
      <c r="G12" s="622"/>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row>
    <row r="13" spans="1:60" ht="13.5" thickBot="1">
      <c r="A13" s="627"/>
      <c r="B13" s="404" t="s">
        <v>60</v>
      </c>
      <c r="C13" s="346">
        <f>DEFAULTS!$F$11</f>
        <v>600</v>
      </c>
      <c r="D13" s="347">
        <v>86.18</v>
      </c>
      <c r="E13" s="413"/>
      <c r="F13" s="621"/>
      <c r="G13" s="622"/>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row>
    <row r="14" spans="1:60" ht="13.5" customHeight="1">
      <c r="A14" s="638" t="s">
        <v>65</v>
      </c>
      <c r="B14" s="405" t="s">
        <v>86</v>
      </c>
      <c r="C14" s="348">
        <v>0.48</v>
      </c>
      <c r="D14" s="348">
        <v>133.41</v>
      </c>
      <c r="E14" s="408" t="s">
        <v>20</v>
      </c>
      <c r="F14" s="525"/>
      <c r="G14" s="497"/>
      <c r="H14" s="284">
        <f>IF(OR(F14&lt;&gt;"",G14&lt;&gt;""),1,0)</f>
        <v>0</v>
      </c>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row>
    <row r="15" spans="1:60">
      <c r="A15" s="639"/>
      <c r="B15" s="406" t="s">
        <v>87</v>
      </c>
      <c r="C15" s="349">
        <v>1.1000000000000001</v>
      </c>
      <c r="D15" s="349">
        <v>167.85</v>
      </c>
      <c r="E15" s="409" t="s">
        <v>22</v>
      </c>
      <c r="F15" s="526"/>
      <c r="G15" s="393"/>
      <c r="H15" s="284">
        <f t="shared" ref="H15:H61" si="0">IF(OR(F15&lt;&gt;"",G15&lt;&gt;""),1,0)</f>
        <v>0</v>
      </c>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row>
    <row r="16" spans="1:60" ht="12.75" customHeight="1">
      <c r="A16" s="639"/>
      <c r="B16" s="406" t="s">
        <v>88</v>
      </c>
      <c r="C16" s="349">
        <v>2.4</v>
      </c>
      <c r="D16" s="349">
        <v>98.97</v>
      </c>
      <c r="E16" s="409" t="s">
        <v>22</v>
      </c>
      <c r="F16" s="526"/>
      <c r="G16" s="393"/>
      <c r="H16" s="284">
        <f t="shared" si="0"/>
        <v>0</v>
      </c>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row>
    <row r="17" spans="1:60" ht="12.75" customHeight="1">
      <c r="A17" s="639"/>
      <c r="B17" s="406" t="s">
        <v>89</v>
      </c>
      <c r="C17" s="350">
        <v>0.2</v>
      </c>
      <c r="D17" s="349">
        <v>96.94</v>
      </c>
      <c r="E17" s="409" t="s">
        <v>22</v>
      </c>
      <c r="F17" s="526"/>
      <c r="G17" s="393"/>
      <c r="H17" s="284">
        <f t="shared" si="0"/>
        <v>0</v>
      </c>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row>
    <row r="18" spans="1:60">
      <c r="A18" s="639"/>
      <c r="B18" s="406" t="s">
        <v>90</v>
      </c>
      <c r="C18" s="349">
        <v>0.41</v>
      </c>
      <c r="D18" s="349">
        <v>98.96</v>
      </c>
      <c r="E18" s="409" t="s">
        <v>22</v>
      </c>
      <c r="F18" s="526"/>
      <c r="G18" s="393"/>
      <c r="H18" s="284">
        <f t="shared" si="0"/>
        <v>0</v>
      </c>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row>
    <row r="19" spans="1:60">
      <c r="A19" s="639"/>
      <c r="B19" s="406" t="s">
        <v>91</v>
      </c>
      <c r="C19" s="349">
        <v>0.18</v>
      </c>
      <c r="D19" s="349">
        <v>112.99</v>
      </c>
      <c r="E19" s="409" t="s">
        <v>22</v>
      </c>
      <c r="F19" s="526"/>
      <c r="G19" s="393"/>
      <c r="H19" s="284">
        <f t="shared" si="0"/>
        <v>0</v>
      </c>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row>
    <row r="20" spans="1:60">
      <c r="A20" s="639"/>
      <c r="B20" s="406" t="s">
        <v>92</v>
      </c>
      <c r="C20" s="349">
        <v>50</v>
      </c>
      <c r="D20" s="349">
        <v>60.11</v>
      </c>
      <c r="E20" s="409" t="s">
        <v>23</v>
      </c>
      <c r="F20" s="526"/>
      <c r="G20" s="393"/>
      <c r="H20" s="284">
        <f t="shared" si="0"/>
        <v>0</v>
      </c>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row>
    <row r="21" spans="1:60">
      <c r="A21" s="639"/>
      <c r="B21" s="406" t="s">
        <v>13</v>
      </c>
      <c r="C21" s="351">
        <v>7</v>
      </c>
      <c r="D21" s="349">
        <v>58.08</v>
      </c>
      <c r="E21" s="409"/>
      <c r="F21" s="526"/>
      <c r="G21" s="393"/>
      <c r="H21" s="284">
        <f t="shared" si="0"/>
        <v>0</v>
      </c>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row>
    <row r="22" spans="1:60">
      <c r="A22" s="639"/>
      <c r="B22" s="406" t="s">
        <v>93</v>
      </c>
      <c r="C22" s="349">
        <v>6.3</v>
      </c>
      <c r="D22" s="349">
        <v>53.06</v>
      </c>
      <c r="E22" s="409" t="s">
        <v>22</v>
      </c>
      <c r="F22" s="526"/>
      <c r="G22" s="393"/>
      <c r="H22" s="284">
        <f t="shared" si="0"/>
        <v>0</v>
      </c>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row>
    <row r="23" spans="1:60">
      <c r="A23" s="639"/>
      <c r="B23" s="406" t="s">
        <v>232</v>
      </c>
      <c r="C23" s="349">
        <v>1.9</v>
      </c>
      <c r="D23" s="349">
        <v>78.11</v>
      </c>
      <c r="E23" s="409" t="s">
        <v>22</v>
      </c>
      <c r="F23" s="526"/>
      <c r="G23" s="393"/>
      <c r="H23" s="284">
        <f t="shared" si="0"/>
        <v>0</v>
      </c>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row>
    <row r="24" spans="1:60">
      <c r="A24" s="639"/>
      <c r="B24" s="394" t="s">
        <v>233</v>
      </c>
      <c r="C24" s="349">
        <v>11</v>
      </c>
      <c r="D24" s="349">
        <v>78.11</v>
      </c>
      <c r="E24" s="409" t="s">
        <v>22</v>
      </c>
      <c r="F24" s="526"/>
      <c r="G24" s="393"/>
      <c r="H24" s="284">
        <f t="shared" si="0"/>
        <v>0</v>
      </c>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row>
    <row r="25" spans="1:60">
      <c r="A25" s="639"/>
      <c r="B25" s="406" t="s">
        <v>94</v>
      </c>
      <c r="C25" s="349">
        <v>3.1</v>
      </c>
      <c r="D25" s="349">
        <v>163.83000000000001</v>
      </c>
      <c r="E25" s="409" t="s">
        <v>23</v>
      </c>
      <c r="F25" s="526"/>
      <c r="G25" s="393"/>
      <c r="H25" s="284">
        <f t="shared" si="0"/>
        <v>0</v>
      </c>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row>
    <row r="26" spans="1:60">
      <c r="A26" s="639"/>
      <c r="B26" s="394" t="s">
        <v>95</v>
      </c>
      <c r="C26" s="351">
        <v>5</v>
      </c>
      <c r="D26" s="349">
        <v>58.12</v>
      </c>
      <c r="E26" s="409" t="s">
        <v>23</v>
      </c>
      <c r="F26" s="526"/>
      <c r="G26" s="393"/>
      <c r="H26" s="284">
        <f t="shared" si="0"/>
        <v>0</v>
      </c>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row>
    <row r="27" spans="1:60">
      <c r="A27" s="639"/>
      <c r="B27" s="406" t="s">
        <v>96</v>
      </c>
      <c r="C27" s="349">
        <v>0.57999999999999996</v>
      </c>
      <c r="D27" s="349">
        <v>76.13</v>
      </c>
      <c r="E27" s="409" t="s">
        <v>22</v>
      </c>
      <c r="F27" s="526"/>
      <c r="G27" s="393"/>
      <c r="H27" s="284">
        <f t="shared" si="0"/>
        <v>0</v>
      </c>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row>
    <row r="28" spans="1:60">
      <c r="A28" s="639"/>
      <c r="B28" s="406" t="s">
        <v>14</v>
      </c>
      <c r="C28" s="349">
        <v>140</v>
      </c>
      <c r="D28" s="349">
        <v>28.01</v>
      </c>
      <c r="E28" s="409"/>
      <c r="F28" s="526"/>
      <c r="G28" s="393"/>
      <c r="H28" s="284">
        <f t="shared" si="0"/>
        <v>0</v>
      </c>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row>
    <row r="29" spans="1:60">
      <c r="A29" s="639"/>
      <c r="B29" s="406" t="s">
        <v>97</v>
      </c>
      <c r="C29" s="352">
        <v>4.0000000000000001E-3</v>
      </c>
      <c r="D29" s="349">
        <v>153.84</v>
      </c>
      <c r="E29" s="409" t="s">
        <v>22</v>
      </c>
      <c r="F29" s="527"/>
      <c r="G29" s="393"/>
      <c r="H29" s="284">
        <f t="shared" si="0"/>
        <v>0</v>
      </c>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row>
    <row r="30" spans="1:60">
      <c r="A30" s="639"/>
      <c r="B30" s="406" t="s">
        <v>98</v>
      </c>
      <c r="C30" s="349">
        <v>0.49</v>
      </c>
      <c r="D30" s="349">
        <v>60.07</v>
      </c>
      <c r="E30" s="409" t="s">
        <v>22</v>
      </c>
      <c r="F30" s="526"/>
      <c r="G30" s="393"/>
      <c r="H30" s="284">
        <f t="shared" si="0"/>
        <v>0</v>
      </c>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row>
    <row r="31" spans="1:60">
      <c r="A31" s="639"/>
      <c r="B31" s="406" t="s">
        <v>99</v>
      </c>
      <c r="C31" s="349">
        <v>0.25</v>
      </c>
      <c r="D31" s="349">
        <v>112.56</v>
      </c>
      <c r="E31" s="409" t="s">
        <v>22</v>
      </c>
      <c r="F31" s="526"/>
      <c r="G31" s="393"/>
      <c r="H31" s="284">
        <f t="shared" si="0"/>
        <v>0</v>
      </c>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row>
    <row r="32" spans="1:60">
      <c r="A32" s="639"/>
      <c r="B32" s="406" t="s">
        <v>15</v>
      </c>
      <c r="C32" s="351">
        <v>1.3</v>
      </c>
      <c r="D32" s="349">
        <v>86.47</v>
      </c>
      <c r="E32" s="409"/>
      <c r="F32" s="526"/>
      <c r="G32" s="393"/>
      <c r="H32" s="284">
        <f t="shared" si="0"/>
        <v>0</v>
      </c>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row>
    <row r="33" spans="1:60">
      <c r="A33" s="639"/>
      <c r="B33" s="406" t="s">
        <v>100</v>
      </c>
      <c r="C33" s="349">
        <v>1.3</v>
      </c>
      <c r="D33" s="349">
        <v>64.52</v>
      </c>
      <c r="E33" s="409" t="s">
        <v>22</v>
      </c>
      <c r="F33" s="526"/>
      <c r="G33" s="393"/>
      <c r="H33" s="284">
        <f t="shared" si="0"/>
        <v>0</v>
      </c>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row>
    <row r="34" spans="1:60">
      <c r="A34" s="639"/>
      <c r="B34" s="406" t="s">
        <v>101</v>
      </c>
      <c r="C34" s="349">
        <v>0.03</v>
      </c>
      <c r="D34" s="349">
        <v>119.39</v>
      </c>
      <c r="E34" s="409" t="s">
        <v>22</v>
      </c>
      <c r="F34" s="526"/>
      <c r="G34" s="393"/>
      <c r="H34" s="284">
        <f t="shared" si="0"/>
        <v>0</v>
      </c>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row>
    <row r="35" spans="1:60">
      <c r="A35" s="639"/>
      <c r="B35" s="406" t="s">
        <v>102</v>
      </c>
      <c r="C35" s="349">
        <v>1.2</v>
      </c>
      <c r="D35" s="349">
        <v>50.49</v>
      </c>
      <c r="E35" s="409" t="s">
        <v>23</v>
      </c>
      <c r="F35" s="526"/>
      <c r="G35" s="393"/>
      <c r="H35" s="284">
        <f t="shared" si="0"/>
        <v>0</v>
      </c>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row>
    <row r="36" spans="1:60">
      <c r="A36" s="639"/>
      <c r="B36" s="406" t="s">
        <v>103</v>
      </c>
      <c r="C36" s="349">
        <v>0.21</v>
      </c>
      <c r="D36" s="349">
        <v>147</v>
      </c>
      <c r="E36" s="409" t="s">
        <v>24</v>
      </c>
      <c r="F36" s="526"/>
      <c r="G36" s="393"/>
      <c r="H36" s="284">
        <f t="shared" si="0"/>
        <v>0</v>
      </c>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row>
    <row r="37" spans="1:60">
      <c r="A37" s="639"/>
      <c r="B37" s="406" t="s">
        <v>16</v>
      </c>
      <c r="C37" s="349">
        <v>16</v>
      </c>
      <c r="D37" s="349">
        <v>120.91</v>
      </c>
      <c r="E37" s="409"/>
      <c r="F37" s="526"/>
      <c r="G37" s="393"/>
      <c r="H37" s="284">
        <f t="shared" si="0"/>
        <v>0</v>
      </c>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row>
    <row r="38" spans="1:60">
      <c r="A38" s="639"/>
      <c r="B38" s="406" t="s">
        <v>104</v>
      </c>
      <c r="C38" s="349">
        <v>2.6</v>
      </c>
      <c r="D38" s="349">
        <v>102.92</v>
      </c>
      <c r="E38" s="409" t="s">
        <v>23</v>
      </c>
      <c r="F38" s="526"/>
      <c r="G38" s="393"/>
      <c r="H38" s="284">
        <f t="shared" si="0"/>
        <v>0</v>
      </c>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row>
    <row r="39" spans="1:60">
      <c r="A39" s="639"/>
      <c r="B39" s="406" t="s">
        <v>105</v>
      </c>
      <c r="C39" s="349">
        <v>14</v>
      </c>
      <c r="D39" s="349">
        <v>84.94</v>
      </c>
      <c r="E39" s="409" t="s">
        <v>20</v>
      </c>
      <c r="F39" s="526"/>
      <c r="G39" s="393"/>
      <c r="H39" s="284">
        <f t="shared" si="0"/>
        <v>0</v>
      </c>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row>
    <row r="40" spans="1:60">
      <c r="A40" s="639"/>
      <c r="B40" s="406" t="s">
        <v>106</v>
      </c>
      <c r="C40" s="349">
        <v>7.8</v>
      </c>
      <c r="D40" s="349">
        <v>62.13</v>
      </c>
      <c r="E40" s="409" t="s">
        <v>23</v>
      </c>
      <c r="F40" s="526"/>
      <c r="G40" s="393"/>
      <c r="H40" s="284">
        <f t="shared" si="0"/>
        <v>0</v>
      </c>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row>
    <row r="41" spans="1:60">
      <c r="A41" s="639"/>
      <c r="B41" s="406" t="s">
        <v>17</v>
      </c>
      <c r="C41" s="349">
        <v>890</v>
      </c>
      <c r="D41" s="349">
        <v>30.07</v>
      </c>
      <c r="E41" s="409"/>
      <c r="F41" s="526"/>
      <c r="G41" s="393"/>
      <c r="H41" s="284">
        <f t="shared" si="0"/>
        <v>0</v>
      </c>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row>
    <row r="42" spans="1:60">
      <c r="A42" s="639"/>
      <c r="B42" s="406" t="s">
        <v>107</v>
      </c>
      <c r="C42" s="349">
        <v>27</v>
      </c>
      <c r="D42" s="349">
        <v>46.08</v>
      </c>
      <c r="E42" s="409" t="s">
        <v>23</v>
      </c>
      <c r="F42" s="526"/>
      <c r="G42" s="393"/>
      <c r="H42" s="284">
        <f t="shared" si="0"/>
        <v>0</v>
      </c>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row>
    <row r="43" spans="1:60">
      <c r="A43" s="639"/>
      <c r="B43" s="406" t="s">
        <v>108</v>
      </c>
      <c r="C43" s="349">
        <v>2.2999999999999998</v>
      </c>
      <c r="D43" s="349">
        <v>62.13</v>
      </c>
      <c r="E43" s="409" t="s">
        <v>23</v>
      </c>
      <c r="F43" s="526"/>
      <c r="G43" s="393"/>
      <c r="H43" s="284">
        <f t="shared" si="0"/>
        <v>0</v>
      </c>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row>
    <row r="44" spans="1:60">
      <c r="A44" s="639"/>
      <c r="B44" s="406" t="s">
        <v>109</v>
      </c>
      <c r="C44" s="349">
        <v>4.5999999999999996</v>
      </c>
      <c r="D44" s="349">
        <v>106.16</v>
      </c>
      <c r="E44" s="409" t="s">
        <v>22</v>
      </c>
      <c r="F44" s="526"/>
      <c r="G44" s="393"/>
      <c r="H44" s="284">
        <f t="shared" si="0"/>
        <v>0</v>
      </c>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row>
    <row r="45" spans="1:60">
      <c r="A45" s="639"/>
      <c r="B45" s="406" t="s">
        <v>110</v>
      </c>
      <c r="C45" s="352">
        <v>1E-3</v>
      </c>
      <c r="D45" s="349">
        <v>187.88</v>
      </c>
      <c r="E45" s="409" t="s">
        <v>22</v>
      </c>
      <c r="F45" s="527"/>
      <c r="G45" s="393"/>
      <c r="H45" s="284">
        <f t="shared" si="0"/>
        <v>0</v>
      </c>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row>
    <row r="46" spans="1:60">
      <c r="A46" s="639"/>
      <c r="B46" s="406" t="s">
        <v>111</v>
      </c>
      <c r="C46" s="349">
        <v>0.76</v>
      </c>
      <c r="D46" s="349">
        <v>137.38</v>
      </c>
      <c r="E46" s="409" t="s">
        <v>23</v>
      </c>
      <c r="F46" s="526"/>
      <c r="G46" s="393"/>
      <c r="H46" s="284">
        <f t="shared" si="0"/>
        <v>0</v>
      </c>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row>
    <row r="47" spans="1:60">
      <c r="A47" s="639"/>
      <c r="B47" s="406" t="s">
        <v>112</v>
      </c>
      <c r="C47" s="349">
        <v>6.6</v>
      </c>
      <c r="D47" s="349">
        <v>86.18</v>
      </c>
      <c r="E47" s="409" t="s">
        <v>22</v>
      </c>
      <c r="F47" s="526"/>
      <c r="G47" s="393"/>
      <c r="H47" s="284">
        <f t="shared" si="0"/>
        <v>0</v>
      </c>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row>
    <row r="48" spans="1:60">
      <c r="A48" s="639"/>
      <c r="B48" s="406" t="s">
        <v>18</v>
      </c>
      <c r="C48" s="349">
        <v>36</v>
      </c>
      <c r="D48" s="349">
        <v>34.08</v>
      </c>
      <c r="E48" s="409"/>
      <c r="F48" s="526"/>
      <c r="G48" s="393"/>
      <c r="H48" s="284">
        <f t="shared" si="0"/>
        <v>0</v>
      </c>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row>
    <row r="49" spans="1:60">
      <c r="A49" s="639"/>
      <c r="B49" s="406" t="s">
        <v>113</v>
      </c>
      <c r="C49" s="352">
        <v>2.9E-4</v>
      </c>
      <c r="D49" s="349">
        <v>200.61</v>
      </c>
      <c r="E49" s="409" t="s">
        <v>20</v>
      </c>
      <c r="F49" s="527"/>
      <c r="G49" s="393"/>
      <c r="H49" s="284">
        <f t="shared" si="0"/>
        <v>0</v>
      </c>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row>
    <row r="50" spans="1:60">
      <c r="A50" s="639"/>
      <c r="B50" s="406" t="s">
        <v>114</v>
      </c>
      <c r="C50" s="349">
        <v>7.1</v>
      </c>
      <c r="D50" s="349">
        <v>72.11</v>
      </c>
      <c r="E50" s="409" t="s">
        <v>22</v>
      </c>
      <c r="F50" s="526"/>
      <c r="G50" s="393"/>
      <c r="H50" s="284">
        <f t="shared" si="0"/>
        <v>0</v>
      </c>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row>
    <row r="51" spans="1:60">
      <c r="A51" s="639"/>
      <c r="B51" s="406" t="s">
        <v>115</v>
      </c>
      <c r="C51" s="349">
        <v>1.9</v>
      </c>
      <c r="D51" s="349">
        <v>100.16</v>
      </c>
      <c r="E51" s="409" t="s">
        <v>22</v>
      </c>
      <c r="F51" s="526"/>
      <c r="G51" s="393"/>
      <c r="H51" s="284">
        <f t="shared" si="0"/>
        <v>0</v>
      </c>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row>
    <row r="52" spans="1:60">
      <c r="A52" s="639"/>
      <c r="B52" s="406" t="s">
        <v>116</v>
      </c>
      <c r="C52" s="349">
        <v>2.5</v>
      </c>
      <c r="D52" s="349">
        <v>48.11</v>
      </c>
      <c r="E52" s="409" t="s">
        <v>23</v>
      </c>
      <c r="F52" s="526"/>
      <c r="G52" s="393"/>
      <c r="H52" s="284">
        <f t="shared" si="0"/>
        <v>0</v>
      </c>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row>
    <row r="53" spans="1:60">
      <c r="A53" s="639"/>
      <c r="B53" s="406" t="s">
        <v>117</v>
      </c>
      <c r="C53" s="349">
        <v>3.3</v>
      </c>
      <c r="D53" s="349">
        <v>72.150000000000006</v>
      </c>
      <c r="E53" s="409" t="s">
        <v>23</v>
      </c>
      <c r="F53" s="526"/>
      <c r="G53" s="393"/>
      <c r="H53" s="284">
        <f t="shared" si="0"/>
        <v>0</v>
      </c>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row>
    <row r="54" spans="1:60">
      <c r="A54" s="639"/>
      <c r="B54" s="406" t="s">
        <v>118</v>
      </c>
      <c r="C54" s="349">
        <v>3.7</v>
      </c>
      <c r="D54" s="349">
        <v>165.83</v>
      </c>
      <c r="E54" s="409" t="s">
        <v>20</v>
      </c>
      <c r="F54" s="526"/>
      <c r="G54" s="393"/>
      <c r="H54" s="284">
        <f t="shared" si="0"/>
        <v>0</v>
      </c>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row>
    <row r="55" spans="1:60">
      <c r="A55" s="639"/>
      <c r="B55" s="406" t="s">
        <v>119</v>
      </c>
      <c r="C55" s="349">
        <v>11</v>
      </c>
      <c r="D55" s="349">
        <v>44.09</v>
      </c>
      <c r="E55" s="409" t="s">
        <v>23</v>
      </c>
      <c r="F55" s="526"/>
      <c r="G55" s="393"/>
      <c r="H55" s="284">
        <f t="shared" si="0"/>
        <v>0</v>
      </c>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row>
    <row r="56" spans="1:60">
      <c r="A56" s="639"/>
      <c r="B56" s="406" t="s">
        <v>120</v>
      </c>
      <c r="C56" s="349">
        <v>2.8</v>
      </c>
      <c r="D56" s="349">
        <v>96.94</v>
      </c>
      <c r="E56" s="409" t="s">
        <v>23</v>
      </c>
      <c r="F56" s="526"/>
      <c r="G56" s="393"/>
      <c r="H56" s="284">
        <f t="shared" si="0"/>
        <v>0</v>
      </c>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row>
    <row r="57" spans="1:60">
      <c r="A57" s="639"/>
      <c r="B57" s="406" t="s">
        <v>234</v>
      </c>
      <c r="C57" s="349">
        <v>39</v>
      </c>
      <c r="D57" s="349">
        <v>92.13</v>
      </c>
      <c r="E57" s="409" t="s">
        <v>22</v>
      </c>
      <c r="F57" s="526"/>
      <c r="G57" s="393"/>
      <c r="H57" s="284">
        <f t="shared" si="0"/>
        <v>0</v>
      </c>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row>
    <row r="58" spans="1:60">
      <c r="A58" s="639"/>
      <c r="B58" s="406" t="s">
        <v>235</v>
      </c>
      <c r="C58" s="349">
        <v>170</v>
      </c>
      <c r="D58" s="349">
        <v>92.13</v>
      </c>
      <c r="E58" s="409" t="s">
        <v>22</v>
      </c>
      <c r="F58" s="526"/>
      <c r="G58" s="393"/>
      <c r="H58" s="284">
        <f t="shared" si="0"/>
        <v>0</v>
      </c>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row>
    <row r="59" spans="1:60">
      <c r="A59" s="639"/>
      <c r="B59" s="406" t="s">
        <v>121</v>
      </c>
      <c r="C59" s="349">
        <v>2.8</v>
      </c>
      <c r="D59" s="350">
        <v>131.4</v>
      </c>
      <c r="E59" s="409" t="s">
        <v>22</v>
      </c>
      <c r="F59" s="526"/>
      <c r="G59" s="393"/>
      <c r="H59" s="284">
        <f t="shared" si="0"/>
        <v>0</v>
      </c>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row>
    <row r="60" spans="1:60">
      <c r="A60" s="639"/>
      <c r="B60" s="406" t="s">
        <v>122</v>
      </c>
      <c r="C60" s="349">
        <v>7.3</v>
      </c>
      <c r="D60" s="350">
        <v>62.5</v>
      </c>
      <c r="E60" s="409" t="s">
        <v>22</v>
      </c>
      <c r="F60" s="526"/>
      <c r="G60" s="393"/>
      <c r="H60" s="284">
        <f t="shared" si="0"/>
        <v>0</v>
      </c>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row>
    <row r="61" spans="1:60" ht="13.5" thickBot="1">
      <c r="A61" s="639"/>
      <c r="B61" s="407" t="s">
        <v>123</v>
      </c>
      <c r="C61" s="499">
        <v>12</v>
      </c>
      <c r="D61" s="499">
        <v>106.16</v>
      </c>
      <c r="E61" s="410" t="s">
        <v>22</v>
      </c>
      <c r="F61" s="528"/>
      <c r="G61" s="383"/>
      <c r="H61" s="284">
        <f t="shared" si="0"/>
        <v>0</v>
      </c>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row>
    <row r="62" spans="1:60">
      <c r="A62" s="639"/>
      <c r="B62" s="641" t="s">
        <v>303</v>
      </c>
      <c r="C62" s="616" t="s">
        <v>323</v>
      </c>
      <c r="D62" s="643" t="s">
        <v>252</v>
      </c>
      <c r="E62" s="19"/>
      <c r="F62" s="377"/>
      <c r="G62" s="377"/>
      <c r="H62" s="284">
        <v>0</v>
      </c>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row>
    <row r="63" spans="1:60" ht="13.5" thickBot="1">
      <c r="A63" s="639"/>
      <c r="B63" s="642"/>
      <c r="C63" s="617"/>
      <c r="D63" s="644"/>
      <c r="E63" s="19"/>
      <c r="F63" s="377"/>
      <c r="G63" s="377"/>
      <c r="H63" s="284">
        <v>0</v>
      </c>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row>
    <row r="64" spans="1:60">
      <c r="A64" s="639"/>
      <c r="B64" s="397"/>
      <c r="C64" s="358"/>
      <c r="D64" s="497"/>
      <c r="E64" s="19"/>
      <c r="F64" s="377"/>
      <c r="G64" s="377"/>
      <c r="H64" s="284">
        <f>IF(OR(B64&lt;&gt;"",C64&lt;&gt;"",D64&lt;&gt;""),1,0)</f>
        <v>0</v>
      </c>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row>
    <row r="65" spans="1:60">
      <c r="A65" s="639"/>
      <c r="B65" s="398"/>
      <c r="C65" s="358"/>
      <c r="D65" s="393"/>
      <c r="E65" s="19"/>
      <c r="F65" s="377"/>
      <c r="G65" s="377"/>
      <c r="H65" s="284">
        <f t="shared" ref="H65:H73" si="1">IF(OR(B65&lt;&gt;"",C65&lt;&gt;"",D65&lt;&gt;""),1,0)</f>
        <v>0</v>
      </c>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row>
    <row r="66" spans="1:60">
      <c r="A66" s="639"/>
      <c r="B66" s="399"/>
      <c r="C66" s="358"/>
      <c r="D66" s="498"/>
      <c r="E66" s="19"/>
      <c r="F66" s="377"/>
      <c r="G66" s="377"/>
      <c r="H66" s="284">
        <f t="shared" si="1"/>
        <v>0</v>
      </c>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row>
    <row r="67" spans="1:60" ht="12.75" customHeight="1">
      <c r="A67" s="639"/>
      <c r="B67" s="399"/>
      <c r="C67" s="358"/>
      <c r="D67" s="498"/>
      <c r="E67" s="19"/>
      <c r="F67" s="377"/>
      <c r="G67" s="377"/>
      <c r="H67" s="284">
        <f t="shared" si="1"/>
        <v>0</v>
      </c>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row>
    <row r="68" spans="1:60">
      <c r="A68" s="639"/>
      <c r="B68" s="399"/>
      <c r="C68" s="358"/>
      <c r="D68" s="498"/>
      <c r="E68" s="19"/>
      <c r="F68" s="377"/>
      <c r="G68" s="377"/>
      <c r="H68" s="284">
        <f t="shared" si="1"/>
        <v>0</v>
      </c>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row>
    <row r="69" spans="1:60">
      <c r="A69" s="639"/>
      <c r="B69" s="399"/>
      <c r="C69" s="358"/>
      <c r="D69" s="498"/>
      <c r="E69" s="19"/>
      <c r="F69" s="377"/>
      <c r="G69" s="377"/>
      <c r="H69" s="284">
        <f t="shared" si="1"/>
        <v>0</v>
      </c>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row>
    <row r="70" spans="1:60">
      <c r="A70" s="639"/>
      <c r="B70" s="399"/>
      <c r="C70" s="358"/>
      <c r="D70" s="498"/>
      <c r="E70" s="19"/>
      <c r="F70" s="377"/>
      <c r="G70" s="377"/>
      <c r="H70" s="284">
        <f t="shared" si="1"/>
        <v>0</v>
      </c>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row>
    <row r="71" spans="1:60">
      <c r="A71" s="639"/>
      <c r="B71" s="399"/>
      <c r="C71" s="358"/>
      <c r="D71" s="498"/>
      <c r="E71" s="19"/>
      <c r="F71" s="377"/>
      <c r="G71" s="377"/>
      <c r="H71" s="284">
        <f t="shared" si="1"/>
        <v>0</v>
      </c>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row>
    <row r="72" spans="1:60">
      <c r="A72" s="639"/>
      <c r="B72" s="399"/>
      <c r="C72" s="414"/>
      <c r="D72" s="498"/>
      <c r="E72" s="17"/>
      <c r="F72" s="17"/>
      <c r="G72" s="17"/>
      <c r="H72" s="284">
        <f t="shared" si="1"/>
        <v>0</v>
      </c>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row>
    <row r="73" spans="1:60" ht="13.5" thickBot="1">
      <c r="A73" s="640"/>
      <c r="B73" s="400"/>
      <c r="C73" s="359"/>
      <c r="D73" s="383"/>
      <c r="E73" s="17"/>
      <c r="F73" s="17"/>
      <c r="G73" s="17"/>
      <c r="H73" s="284">
        <f t="shared" si="1"/>
        <v>0</v>
      </c>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row>
    <row r="74" spans="1:60">
      <c r="A74" s="17"/>
      <c r="B74" s="17"/>
      <c r="C74" s="17"/>
      <c r="D74" s="17"/>
      <c r="E74" s="17"/>
      <c r="F74" s="17"/>
      <c r="G74" s="17"/>
      <c r="H74" s="284">
        <f>SUM(H14:H73)</f>
        <v>0</v>
      </c>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row>
    <row r="75" spans="1:60" ht="12.75" customHeight="1">
      <c r="A75" s="17"/>
      <c r="B75" s="17" t="s">
        <v>21</v>
      </c>
      <c r="C75" s="17"/>
      <c r="D75" s="17"/>
      <c r="E75" s="378"/>
      <c r="F75" s="17"/>
      <c r="G75" s="17"/>
      <c r="H75" s="374"/>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row>
    <row r="76" spans="1:60">
      <c r="A76" s="17"/>
      <c r="B76" s="17" t="s">
        <v>203</v>
      </c>
      <c r="C76" s="17"/>
      <c r="D76" s="17"/>
      <c r="E76" s="378"/>
      <c r="F76" s="17"/>
      <c r="G76" s="17"/>
      <c r="H76" s="374"/>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row>
    <row r="77" spans="1:60" ht="12.75" customHeight="1">
      <c r="A77" s="17"/>
      <c r="B77" s="615" t="s">
        <v>204</v>
      </c>
      <c r="C77" s="615"/>
      <c r="D77" s="615"/>
      <c r="E77" s="17"/>
      <c r="F77" s="17"/>
      <c r="G77" s="17"/>
      <c r="H77" s="374"/>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row>
    <row r="78" spans="1:60">
      <c r="A78" s="17"/>
      <c r="B78" s="615"/>
      <c r="C78" s="615"/>
      <c r="D78" s="615"/>
      <c r="E78" s="17"/>
      <c r="F78" s="17"/>
      <c r="G78" s="17"/>
      <c r="H78" s="374"/>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row>
    <row r="79" spans="1:60">
      <c r="A79" s="17"/>
      <c r="B79" s="378"/>
      <c r="C79" s="378"/>
      <c r="D79" s="378"/>
      <c r="E79" s="17"/>
      <c r="F79" s="17"/>
      <c r="G79" s="17"/>
      <c r="H79" s="374"/>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row>
    <row r="80" spans="1:60" ht="52.5" customHeight="1">
      <c r="A80" s="17"/>
      <c r="B80" s="615" t="s">
        <v>25</v>
      </c>
      <c r="C80" s="615"/>
      <c r="D80" s="615"/>
      <c r="E80" s="378"/>
      <c r="F80" s="17"/>
      <c r="G80" s="17"/>
      <c r="H80" s="374"/>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row>
    <row r="81" spans="1:60">
      <c r="A81" s="17"/>
      <c r="B81" s="17"/>
      <c r="C81" s="378"/>
      <c r="D81" s="378"/>
      <c r="E81" s="378"/>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row>
    <row r="82" spans="1:60">
      <c r="A82" s="17"/>
      <c r="B82" s="378"/>
      <c r="C82" s="378"/>
      <c r="D82" s="378"/>
      <c r="E82" s="378"/>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row>
    <row r="83" spans="1:60">
      <c r="A83" s="17"/>
      <c r="B83" s="378"/>
      <c r="C83" s="378"/>
      <c r="D83" s="378"/>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row>
    <row r="84" spans="1:60">
      <c r="A84" s="17"/>
      <c r="B84" s="378"/>
      <c r="C84" s="378"/>
      <c r="D84" s="378"/>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row>
    <row r="85" spans="1:6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row>
    <row r="86" spans="1:6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row>
    <row r="87" spans="1:6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row>
    <row r="88" spans="1:60">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row>
    <row r="89" spans="1:60">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row>
    <row r="90" spans="1:60">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row>
    <row r="91" spans="1:60">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row>
    <row r="92" spans="1:60">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row>
    <row r="93" spans="1:60">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row>
    <row r="94" spans="1:60">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row>
    <row r="95" spans="1:60">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row>
    <row r="96" spans="1:60" s="17" customFormat="1"/>
    <row r="97" s="17" customFormat="1"/>
    <row r="98" s="17" customFormat="1"/>
    <row r="99" s="17" customFormat="1"/>
    <row r="100" s="17" customFormat="1"/>
    <row r="101" s="17" customFormat="1"/>
    <row r="102" s="17" customFormat="1"/>
    <row r="103" s="17" customFormat="1"/>
    <row r="104" s="17" customFormat="1"/>
    <row r="105" s="17" customFormat="1"/>
    <row r="106" s="17" customFormat="1"/>
    <row r="107" s="17" customFormat="1"/>
    <row r="108" s="17" customFormat="1"/>
    <row r="109" s="17" customFormat="1"/>
    <row r="110" s="17" customFormat="1"/>
    <row r="111" s="17" customFormat="1"/>
    <row r="112" s="17" customFormat="1"/>
    <row r="113" s="17" customFormat="1"/>
    <row r="114" s="17" customFormat="1"/>
    <row r="115" s="17" customFormat="1"/>
    <row r="116" s="17" customFormat="1"/>
    <row r="117" s="17" customFormat="1"/>
    <row r="118" s="17" customFormat="1"/>
    <row r="119" s="17" customFormat="1"/>
    <row r="120" s="17" customFormat="1"/>
    <row r="121" s="17" customFormat="1"/>
    <row r="122" s="17" customFormat="1"/>
    <row r="123" s="17" customFormat="1"/>
    <row r="124" s="17" customFormat="1"/>
    <row r="125" s="17" customFormat="1"/>
    <row r="126" s="17" customFormat="1"/>
    <row r="127" s="17" customFormat="1"/>
    <row r="128" s="17" customFormat="1"/>
    <row r="129" s="17" customFormat="1"/>
    <row r="130" s="17" customFormat="1"/>
    <row r="131" s="17" customFormat="1"/>
    <row r="132" s="17" customFormat="1"/>
    <row r="133" s="17" customFormat="1"/>
    <row r="134" s="17" customFormat="1"/>
    <row r="135" s="17" customFormat="1"/>
    <row r="136" s="17" customFormat="1"/>
    <row r="137" s="17" customFormat="1"/>
    <row r="138" s="17" customFormat="1"/>
    <row r="139" s="17" customFormat="1"/>
    <row r="140" s="17" customFormat="1"/>
    <row r="141" s="17" customFormat="1"/>
    <row r="142" s="17" customFormat="1"/>
    <row r="143" s="17" customFormat="1"/>
    <row r="144" s="17" customFormat="1"/>
    <row r="145" s="17" customFormat="1"/>
    <row r="146" s="17" customFormat="1"/>
    <row r="147" s="17" customFormat="1"/>
    <row r="148" s="17" customFormat="1"/>
    <row r="149" s="17" customFormat="1"/>
    <row r="150" s="17" customFormat="1"/>
    <row r="151" s="17" customFormat="1"/>
    <row r="152" s="17" customFormat="1"/>
    <row r="153" s="17" customFormat="1"/>
    <row r="154" s="17" customFormat="1"/>
    <row r="155" s="17" customFormat="1"/>
    <row r="156" s="17" customFormat="1"/>
    <row r="157" s="17" customFormat="1"/>
    <row r="158" s="17" customFormat="1"/>
    <row r="159" s="17" customFormat="1"/>
    <row r="160" s="17" customFormat="1"/>
    <row r="161" s="17" customFormat="1"/>
    <row r="162" s="17" customFormat="1"/>
    <row r="163" s="17" customFormat="1"/>
    <row r="164" s="17" customFormat="1"/>
    <row r="165" s="17" customFormat="1"/>
    <row r="166" s="17" customFormat="1"/>
    <row r="167" s="17" customFormat="1"/>
    <row r="168" s="17" customFormat="1"/>
    <row r="169" s="17" customFormat="1"/>
    <row r="170" s="17" customFormat="1"/>
    <row r="171" s="17" customFormat="1"/>
    <row r="172" s="17" customFormat="1"/>
    <row r="173" s="17" customFormat="1"/>
    <row r="174" s="17" customFormat="1"/>
    <row r="175" s="17" customFormat="1"/>
    <row r="176" s="17" customFormat="1"/>
    <row r="177" s="17" customFormat="1"/>
    <row r="178" s="17" customFormat="1"/>
    <row r="179" s="17" customFormat="1"/>
    <row r="180" s="17" customFormat="1"/>
    <row r="181" s="17" customFormat="1"/>
    <row r="182" s="17" customFormat="1"/>
    <row r="183" s="17" customFormat="1"/>
    <row r="184" s="17" customFormat="1"/>
    <row r="185" s="17" customFormat="1"/>
    <row r="186" s="17" customFormat="1"/>
    <row r="187" s="17" customFormat="1"/>
    <row r="188" s="17" customFormat="1"/>
    <row r="189" s="17" customFormat="1"/>
    <row r="190" s="17" customFormat="1"/>
    <row r="191" s="17" customFormat="1"/>
    <row r="192" s="17" customFormat="1"/>
    <row r="193" s="17" customFormat="1"/>
    <row r="194" s="17" customFormat="1"/>
    <row r="195" s="17" customFormat="1"/>
    <row r="196" s="17" customFormat="1"/>
    <row r="197" s="17" customFormat="1"/>
    <row r="198" s="17" customFormat="1"/>
    <row r="199" s="17" customFormat="1"/>
    <row r="200" s="17" customFormat="1"/>
    <row r="201" s="17" customFormat="1"/>
    <row r="202" s="17" customFormat="1"/>
    <row r="203" s="17" customFormat="1"/>
    <row r="204" s="17" customFormat="1"/>
    <row r="205" s="17" customFormat="1"/>
    <row r="206" s="17" customFormat="1"/>
    <row r="207" s="17" customFormat="1"/>
    <row r="208" s="17" customFormat="1"/>
    <row r="209" s="17" customFormat="1"/>
    <row r="210" s="17" customFormat="1"/>
    <row r="211" s="17" customFormat="1"/>
    <row r="212" s="17" customFormat="1"/>
    <row r="213" s="17" customFormat="1"/>
    <row r="214" s="17" customFormat="1"/>
    <row r="215" s="17" customFormat="1"/>
    <row r="216" s="17" customFormat="1"/>
    <row r="217" s="17" customFormat="1"/>
    <row r="218" s="17" customFormat="1"/>
    <row r="219" s="17" customFormat="1"/>
    <row r="220" s="17" customFormat="1"/>
    <row r="221" s="17" customFormat="1"/>
    <row r="222" s="17" customFormat="1"/>
    <row r="223" s="17" customFormat="1"/>
    <row r="224" s="17" customFormat="1"/>
    <row r="225" s="17" customFormat="1"/>
    <row r="226" s="17" customFormat="1"/>
    <row r="227" s="17" customFormat="1"/>
    <row r="228" s="17" customFormat="1"/>
    <row r="229" s="17" customFormat="1"/>
    <row r="230" s="17" customFormat="1"/>
    <row r="231" s="17" customFormat="1"/>
    <row r="232" s="17" customFormat="1"/>
    <row r="233" s="17" customFormat="1"/>
    <row r="234" s="17" customFormat="1"/>
    <row r="235" s="17" customFormat="1"/>
    <row r="236" s="17" customFormat="1"/>
    <row r="237" s="17" customFormat="1"/>
    <row r="238" s="17" customFormat="1"/>
    <row r="239" s="17" customFormat="1"/>
    <row r="240" s="17" customFormat="1"/>
    <row r="241" s="17" customFormat="1"/>
    <row r="242" s="17" customFormat="1"/>
    <row r="243" s="17" customFormat="1"/>
    <row r="244" s="17" customFormat="1"/>
    <row r="245" s="17" customFormat="1"/>
    <row r="246" s="17" customFormat="1"/>
    <row r="247" s="17" customFormat="1"/>
    <row r="248" s="17" customFormat="1"/>
    <row r="249" s="17" customFormat="1"/>
    <row r="250" s="17" customFormat="1"/>
    <row r="251" s="17" customFormat="1"/>
    <row r="252" s="17" customFormat="1"/>
    <row r="253" s="17" customFormat="1"/>
    <row r="254" s="17" customFormat="1"/>
    <row r="255" s="17" customFormat="1"/>
    <row r="256" s="17" customFormat="1"/>
    <row r="257" s="17" customFormat="1"/>
    <row r="258" s="17" customFormat="1"/>
    <row r="259" s="17" customFormat="1"/>
    <row r="260" s="17" customFormat="1"/>
    <row r="261" s="17" customFormat="1"/>
    <row r="262" s="17" customFormat="1"/>
    <row r="263" s="17" customFormat="1"/>
    <row r="264" s="17" customFormat="1"/>
    <row r="265" s="17" customFormat="1"/>
    <row r="266" s="17" customFormat="1"/>
    <row r="267" s="17" customFormat="1"/>
    <row r="268" s="17" customFormat="1"/>
    <row r="269" s="17" customFormat="1"/>
    <row r="270" s="17" customFormat="1"/>
    <row r="271" s="17" customFormat="1"/>
    <row r="272" s="17" customFormat="1"/>
    <row r="273" s="17" customFormat="1"/>
    <row r="274" s="17" customFormat="1"/>
    <row r="275" s="17" customFormat="1"/>
    <row r="276" s="17" customFormat="1"/>
    <row r="277" s="17" customFormat="1"/>
    <row r="278" s="17" customFormat="1"/>
    <row r="279" s="17" customFormat="1"/>
    <row r="280" s="17" customFormat="1"/>
    <row r="281" s="17" customFormat="1"/>
    <row r="282" s="17" customFormat="1"/>
    <row r="283" s="17" customFormat="1"/>
    <row r="284" s="17" customFormat="1"/>
    <row r="285" s="17" customFormat="1"/>
    <row r="286" s="17" customFormat="1"/>
    <row r="287" s="17" customFormat="1"/>
    <row r="288" s="17" customFormat="1"/>
    <row r="289" s="17" customFormat="1"/>
    <row r="290" s="17" customFormat="1"/>
    <row r="291" s="17" customFormat="1"/>
    <row r="292" s="17" customFormat="1"/>
    <row r="293" s="17" customFormat="1"/>
    <row r="294" s="17" customFormat="1"/>
    <row r="295" s="17" customFormat="1"/>
    <row r="296" s="17" customFormat="1"/>
    <row r="297" s="17" customFormat="1"/>
    <row r="298" s="17" customFormat="1"/>
    <row r="299" s="17" customFormat="1"/>
    <row r="300" s="17" customFormat="1"/>
    <row r="301" s="17" customFormat="1"/>
    <row r="302" s="17" customFormat="1"/>
    <row r="303" s="17" customFormat="1"/>
    <row r="304" s="17" customFormat="1"/>
    <row r="305" s="17" customFormat="1"/>
    <row r="306" s="17" customFormat="1"/>
    <row r="307" s="17" customFormat="1"/>
    <row r="308" s="17" customFormat="1"/>
    <row r="309" s="17" customFormat="1"/>
    <row r="310" s="17" customFormat="1"/>
    <row r="311" s="17" customFormat="1"/>
    <row r="312" s="17" customFormat="1"/>
    <row r="313" s="17" customFormat="1"/>
    <row r="314" s="17" customFormat="1"/>
    <row r="315" s="17" customFormat="1"/>
    <row r="316" s="17" customFormat="1"/>
    <row r="317" s="17" customFormat="1"/>
    <row r="318" s="17" customFormat="1"/>
    <row r="319" s="17" customFormat="1"/>
    <row r="320" s="17" customFormat="1"/>
    <row r="321" s="17" customFormat="1"/>
    <row r="322" s="17" customFormat="1"/>
    <row r="323" s="17" customFormat="1"/>
    <row r="324" s="17" customFormat="1"/>
    <row r="325" s="17" customFormat="1"/>
    <row r="326" s="17" customFormat="1"/>
    <row r="327" s="17" customFormat="1"/>
    <row r="328" s="17" customFormat="1"/>
    <row r="329" s="17" customFormat="1"/>
    <row r="330" s="17" customFormat="1"/>
    <row r="331" s="17" customFormat="1"/>
    <row r="332" s="17" customFormat="1"/>
    <row r="333" s="17" customFormat="1"/>
    <row r="334" s="17" customFormat="1"/>
    <row r="335" s="17" customFormat="1"/>
    <row r="336" s="17" customFormat="1"/>
    <row r="337" s="17" customFormat="1"/>
    <row r="338" s="17" customFormat="1"/>
    <row r="339" s="17" customFormat="1"/>
    <row r="340" s="17" customFormat="1"/>
    <row r="341" s="17" customFormat="1"/>
    <row r="342" s="17" customFormat="1"/>
    <row r="343" s="17" customFormat="1"/>
    <row r="344" s="17" customFormat="1"/>
    <row r="345" s="17" customFormat="1"/>
    <row r="346" s="17" customFormat="1"/>
    <row r="347" s="17" customFormat="1"/>
    <row r="348" s="17" customFormat="1"/>
    <row r="349" s="17" customFormat="1"/>
    <row r="350" s="17" customFormat="1"/>
    <row r="351" s="17" customFormat="1"/>
    <row r="352" s="17" customFormat="1"/>
    <row r="353" s="17" customFormat="1"/>
    <row r="354" s="17" customFormat="1"/>
    <row r="355" s="17" customFormat="1"/>
    <row r="356" s="17" customFormat="1"/>
    <row r="357" s="17" customFormat="1"/>
    <row r="358" s="17" customFormat="1"/>
    <row r="359" s="17" customFormat="1"/>
    <row r="360" s="17" customFormat="1"/>
    <row r="361" s="17" customFormat="1"/>
    <row r="362" s="17" customFormat="1"/>
    <row r="363" s="17" customFormat="1"/>
    <row r="364" s="17" customFormat="1"/>
    <row r="365" s="17" customFormat="1"/>
    <row r="366" s="17" customFormat="1"/>
    <row r="367" s="17" customFormat="1"/>
    <row r="368" s="17" customFormat="1"/>
    <row r="369" s="17" customFormat="1"/>
    <row r="370" s="17" customFormat="1"/>
    <row r="371" s="17" customFormat="1"/>
    <row r="372" s="17" customFormat="1"/>
    <row r="373" s="17" customFormat="1"/>
    <row r="374" s="17" customFormat="1"/>
    <row r="375" s="17" customFormat="1"/>
    <row r="376" s="17" customFormat="1"/>
    <row r="377" s="17" customFormat="1"/>
    <row r="378" s="17" customFormat="1"/>
    <row r="379" s="17" customFormat="1"/>
    <row r="380" s="17" customFormat="1"/>
    <row r="381" s="17" customFormat="1"/>
    <row r="382" s="17" customFormat="1"/>
    <row r="383" s="17" customFormat="1"/>
    <row r="384" s="17" customFormat="1"/>
    <row r="385" s="17" customFormat="1"/>
    <row r="386" s="17" customFormat="1"/>
    <row r="387" s="17" customFormat="1"/>
    <row r="388" s="17" customFormat="1"/>
    <row r="389" s="17" customFormat="1"/>
    <row r="390" s="17" customFormat="1"/>
    <row r="391" s="17" customFormat="1"/>
    <row r="392" s="17" customFormat="1"/>
    <row r="393" s="17" customFormat="1"/>
    <row r="394" s="17" customFormat="1"/>
    <row r="395" s="17" customFormat="1"/>
    <row r="396" s="17" customFormat="1"/>
    <row r="397" s="17" customFormat="1"/>
    <row r="398" s="17" customFormat="1"/>
    <row r="399" s="17" customFormat="1"/>
    <row r="400" s="17" customFormat="1"/>
    <row r="401" s="17" customFormat="1"/>
    <row r="402" s="17" customFormat="1"/>
    <row r="403" s="17" customFormat="1"/>
    <row r="404" s="17" customFormat="1"/>
    <row r="405" s="17" customFormat="1"/>
    <row r="406" s="17" customFormat="1"/>
    <row r="407" s="17" customFormat="1"/>
    <row r="408" s="17" customFormat="1"/>
    <row r="409" s="17" customFormat="1"/>
    <row r="410" s="17" customFormat="1"/>
    <row r="411" s="17" customFormat="1"/>
    <row r="412" s="17" customFormat="1"/>
    <row r="413" s="17" customFormat="1"/>
    <row r="414" s="17" customFormat="1"/>
    <row r="415" s="17" customFormat="1"/>
    <row r="416" s="17" customFormat="1"/>
    <row r="417" s="17" customFormat="1"/>
    <row r="418" s="17" customFormat="1"/>
    <row r="419" s="17" customFormat="1"/>
    <row r="420" s="17" customFormat="1"/>
    <row r="421" s="17" customFormat="1"/>
    <row r="422" s="17" customFormat="1"/>
    <row r="423" s="17" customFormat="1"/>
    <row r="424" s="17" customFormat="1"/>
    <row r="425" s="17" customFormat="1"/>
    <row r="426" s="17" customFormat="1"/>
    <row r="427" s="17" customFormat="1"/>
    <row r="428" s="17" customFormat="1"/>
    <row r="429" s="17" customFormat="1"/>
    <row r="430" s="17" customFormat="1"/>
    <row r="431" s="17" customFormat="1"/>
    <row r="432" s="17" customFormat="1"/>
    <row r="433" s="17" customFormat="1"/>
    <row r="434" s="17" customFormat="1"/>
    <row r="435" s="17" customFormat="1"/>
    <row r="436" s="17" customFormat="1"/>
    <row r="437" s="17" customFormat="1"/>
    <row r="438" s="17" customFormat="1"/>
    <row r="439" s="17" customFormat="1"/>
    <row r="440" s="17" customFormat="1"/>
    <row r="441" s="17" customFormat="1"/>
    <row r="442" s="17" customFormat="1"/>
    <row r="443" s="17" customFormat="1"/>
    <row r="444" s="17" customFormat="1"/>
    <row r="445" s="17" customFormat="1"/>
    <row r="446" s="17" customFormat="1"/>
    <row r="447" s="17" customFormat="1"/>
    <row r="448" s="17" customFormat="1"/>
    <row r="449" s="17" customFormat="1"/>
    <row r="450" s="17" customFormat="1"/>
    <row r="451" s="17" customFormat="1"/>
    <row r="452" s="17" customFormat="1"/>
    <row r="453" s="17" customFormat="1"/>
    <row r="454" s="17" customFormat="1"/>
    <row r="455" s="17" customFormat="1"/>
    <row r="456" s="17" customFormat="1"/>
    <row r="457" s="17" customFormat="1"/>
    <row r="458" s="17" customFormat="1"/>
    <row r="459" s="17" customFormat="1"/>
    <row r="460" s="17" customFormat="1"/>
    <row r="461" s="17" customFormat="1"/>
    <row r="462" s="17" customFormat="1"/>
    <row r="463" s="17" customFormat="1"/>
    <row r="464" s="17" customFormat="1"/>
    <row r="465" s="17" customFormat="1"/>
    <row r="466" s="17" customFormat="1"/>
    <row r="467" s="17" customFormat="1"/>
    <row r="468" s="17" customFormat="1"/>
    <row r="469" s="17" customFormat="1"/>
    <row r="470" s="17" customFormat="1"/>
    <row r="471" s="17" customFormat="1"/>
    <row r="472" s="17" customFormat="1"/>
    <row r="473" s="17" customFormat="1"/>
    <row r="474" s="17" customFormat="1"/>
    <row r="475" s="17" customFormat="1"/>
    <row r="476" s="17" customFormat="1"/>
    <row r="477" s="17" customFormat="1"/>
    <row r="478" s="17" customFormat="1"/>
    <row r="479" s="17" customFormat="1"/>
    <row r="480" s="17" customFormat="1"/>
    <row r="481" s="17" customFormat="1"/>
    <row r="482" s="17" customFormat="1"/>
    <row r="483" s="17" customFormat="1"/>
    <row r="484" s="17" customFormat="1"/>
    <row r="485" s="17" customFormat="1"/>
    <row r="486" s="17" customFormat="1"/>
    <row r="487" s="17" customFormat="1"/>
    <row r="488" s="17" customFormat="1"/>
    <row r="489" s="17" customFormat="1"/>
    <row r="490" s="17" customFormat="1"/>
    <row r="491" s="17" customFormat="1"/>
    <row r="492" s="17" customFormat="1"/>
    <row r="493" s="17" customFormat="1"/>
    <row r="494" s="17" customFormat="1"/>
    <row r="495" s="17" customFormat="1"/>
    <row r="496" s="17" customFormat="1"/>
    <row r="497" s="17" customFormat="1"/>
    <row r="498" s="17" customFormat="1"/>
    <row r="499" s="17" customFormat="1"/>
    <row r="500" s="17" customFormat="1"/>
    <row r="501" s="17" customFormat="1"/>
    <row r="502" s="17" customFormat="1"/>
    <row r="503" s="17" customFormat="1"/>
    <row r="504" s="17" customFormat="1"/>
    <row r="505" s="17" customFormat="1"/>
    <row r="506" s="17" customFormat="1"/>
    <row r="507" s="17" customFormat="1"/>
    <row r="508" s="17" customFormat="1"/>
    <row r="509" s="17" customFormat="1"/>
    <row r="510" s="17" customFormat="1"/>
    <row r="511" s="17" customFormat="1"/>
    <row r="512" s="17" customFormat="1"/>
    <row r="513" s="17" customFormat="1"/>
    <row r="514" s="17" customFormat="1"/>
    <row r="515" s="17" customFormat="1"/>
    <row r="516" s="17" customFormat="1"/>
    <row r="517" s="17" customFormat="1"/>
    <row r="518" s="17" customFormat="1"/>
    <row r="519" s="17" customFormat="1"/>
    <row r="520" s="17" customFormat="1"/>
    <row r="521" s="17" customFormat="1"/>
    <row r="522" s="17" customFormat="1"/>
    <row r="523" s="17" customFormat="1"/>
    <row r="524" s="17" customFormat="1"/>
    <row r="525" s="17" customFormat="1"/>
    <row r="526" s="17" customFormat="1"/>
    <row r="527" s="17" customFormat="1"/>
    <row r="528" s="17" customFormat="1"/>
    <row r="529" s="17" customFormat="1"/>
    <row r="530" s="17" customFormat="1"/>
    <row r="531" s="17" customFormat="1"/>
    <row r="532" s="17" customFormat="1"/>
    <row r="533" s="17" customFormat="1"/>
    <row r="534" s="17" customFormat="1"/>
    <row r="535" s="17" customFormat="1"/>
    <row r="536" s="17" customFormat="1"/>
    <row r="537" s="17" customFormat="1"/>
    <row r="538" s="17" customFormat="1"/>
    <row r="539" s="17" customFormat="1"/>
    <row r="540" s="17" customFormat="1"/>
    <row r="541" s="17" customFormat="1"/>
    <row r="542" s="17" customFormat="1"/>
    <row r="543" s="17" customFormat="1"/>
    <row r="544" s="17" customFormat="1"/>
    <row r="545" s="17" customFormat="1"/>
    <row r="546" s="17" customFormat="1"/>
    <row r="547" s="17" customFormat="1"/>
    <row r="548" s="17" customFormat="1"/>
    <row r="549" s="17" customFormat="1"/>
    <row r="550" s="17" customFormat="1"/>
    <row r="551" s="17" customFormat="1"/>
    <row r="552" s="17" customFormat="1"/>
    <row r="553" s="17" customFormat="1"/>
    <row r="554" s="17" customFormat="1"/>
    <row r="555" s="17" customFormat="1"/>
    <row r="556" s="17" customFormat="1"/>
    <row r="557" s="17" customFormat="1"/>
    <row r="558" s="17" customFormat="1"/>
    <row r="559" s="17" customFormat="1"/>
    <row r="560" s="17" customFormat="1"/>
    <row r="561" s="17" customFormat="1"/>
    <row r="562" s="17" customFormat="1"/>
    <row r="563" s="17" customFormat="1"/>
    <row r="564" s="17" customFormat="1"/>
    <row r="565" s="17" customFormat="1"/>
    <row r="566" s="17" customFormat="1"/>
    <row r="567" s="17" customFormat="1"/>
    <row r="568" s="17" customFormat="1"/>
    <row r="569" s="17" customFormat="1"/>
    <row r="570" s="17" customFormat="1"/>
    <row r="571" s="17" customFormat="1"/>
    <row r="572" s="17" customFormat="1"/>
    <row r="573" s="17" customFormat="1"/>
    <row r="574" s="17" customFormat="1"/>
    <row r="575" s="17" customFormat="1"/>
    <row r="576" s="17" customFormat="1"/>
    <row r="577" s="17" customFormat="1"/>
    <row r="578" s="17" customFormat="1"/>
    <row r="579" s="17" customFormat="1"/>
    <row r="580" s="17" customFormat="1"/>
    <row r="581" s="17" customFormat="1"/>
    <row r="582" s="17" customFormat="1"/>
    <row r="583" s="17" customFormat="1"/>
    <row r="584" s="17" customFormat="1"/>
    <row r="585" s="17" customFormat="1"/>
    <row r="586" s="17" customFormat="1"/>
    <row r="587" s="17" customFormat="1"/>
    <row r="588" s="17" customFormat="1"/>
    <row r="589" s="17" customFormat="1"/>
    <row r="590" s="17" customFormat="1"/>
    <row r="591" s="17" customFormat="1"/>
    <row r="592" s="17" customFormat="1"/>
    <row r="593" s="17" customFormat="1"/>
    <row r="594" s="17" customFormat="1"/>
    <row r="595" s="17" customFormat="1"/>
    <row r="596" s="17" customFormat="1"/>
    <row r="597" s="17" customFormat="1"/>
    <row r="598" s="17" customFormat="1"/>
    <row r="599" s="17" customFormat="1"/>
    <row r="600" s="17" customFormat="1"/>
    <row r="601" s="17" customFormat="1"/>
    <row r="602" s="17" customFormat="1"/>
    <row r="603" s="17" customFormat="1"/>
    <row r="604" s="17" customFormat="1"/>
    <row r="605" s="17" customFormat="1"/>
    <row r="606" s="17" customFormat="1"/>
    <row r="607" s="17" customFormat="1"/>
    <row r="608" s="17" customFormat="1"/>
    <row r="609" s="17" customFormat="1"/>
    <row r="610" s="17" customFormat="1"/>
    <row r="611" s="17" customFormat="1"/>
    <row r="612" s="17" customFormat="1"/>
    <row r="613" s="17" customFormat="1"/>
    <row r="614" s="17" customFormat="1"/>
    <row r="615" s="17" customFormat="1"/>
    <row r="616" s="17" customFormat="1"/>
    <row r="617" s="17" customFormat="1"/>
    <row r="618" s="17" customFormat="1"/>
    <row r="619" s="17" customFormat="1"/>
    <row r="620" s="17" customFormat="1"/>
    <row r="621" s="17" customFormat="1"/>
    <row r="622" s="17" customFormat="1"/>
    <row r="623" s="17" customFormat="1"/>
    <row r="624" s="17" customFormat="1"/>
    <row r="625" s="17" customFormat="1"/>
    <row r="626" s="17" customFormat="1"/>
    <row r="627" s="17" customFormat="1"/>
    <row r="628" s="17" customFormat="1"/>
    <row r="629" s="17" customFormat="1"/>
    <row r="630" s="17" customFormat="1"/>
    <row r="631" s="17" customFormat="1"/>
    <row r="632" s="17" customFormat="1"/>
    <row r="633" s="17" customFormat="1"/>
    <row r="634" s="17" customFormat="1"/>
    <row r="635" s="17" customFormat="1"/>
    <row r="636" s="17" customFormat="1"/>
    <row r="637" s="17" customFormat="1"/>
    <row r="638" s="17" customFormat="1"/>
    <row r="639" s="17" customFormat="1"/>
    <row r="640" s="17" customFormat="1"/>
    <row r="641" s="17" customFormat="1"/>
    <row r="642" s="17" customFormat="1"/>
    <row r="643" s="17" customFormat="1"/>
    <row r="644" s="17" customFormat="1"/>
    <row r="645" s="17" customFormat="1"/>
    <row r="646" s="17" customFormat="1"/>
    <row r="647" s="17" customFormat="1"/>
    <row r="648" s="17" customFormat="1"/>
    <row r="649" s="17" customFormat="1"/>
    <row r="650" s="17" customFormat="1"/>
    <row r="651" s="17" customFormat="1"/>
    <row r="652" s="17" customFormat="1"/>
    <row r="653" s="17" customFormat="1"/>
    <row r="654" s="17" customFormat="1"/>
    <row r="655" s="17" customFormat="1"/>
    <row r="656" s="17" customFormat="1"/>
    <row r="657" s="17" customFormat="1"/>
    <row r="658" s="17" customFormat="1"/>
    <row r="659" s="17" customFormat="1"/>
    <row r="660" s="17" customFormat="1"/>
    <row r="661" s="17" customFormat="1"/>
    <row r="662" s="17" customFormat="1"/>
    <row r="663" s="17" customFormat="1"/>
    <row r="664" s="17" customFormat="1"/>
    <row r="665" s="17" customFormat="1"/>
    <row r="666" s="17" customFormat="1"/>
    <row r="667" s="17" customFormat="1"/>
    <row r="668" s="17" customFormat="1"/>
    <row r="669" s="17" customFormat="1"/>
    <row r="670" s="17" customFormat="1"/>
    <row r="671" s="17" customFormat="1"/>
    <row r="672" s="17" customFormat="1"/>
    <row r="673" s="17" customFormat="1"/>
    <row r="674" s="17" customFormat="1"/>
    <row r="675" s="17" customFormat="1"/>
    <row r="676" s="17" customFormat="1"/>
    <row r="677" s="17" customFormat="1"/>
    <row r="678" s="17" customFormat="1"/>
    <row r="679" s="17" customFormat="1"/>
    <row r="680" s="17" customFormat="1"/>
    <row r="681" s="17" customFormat="1"/>
    <row r="682" s="17" customFormat="1"/>
    <row r="683" s="17" customFormat="1"/>
    <row r="684" s="17" customFormat="1"/>
    <row r="685" s="17" customFormat="1"/>
    <row r="686" s="17" customFormat="1"/>
    <row r="687" s="17" customFormat="1"/>
    <row r="688" s="17" customFormat="1"/>
    <row r="689" s="17" customFormat="1"/>
    <row r="690" s="17" customFormat="1"/>
    <row r="691" s="17" customFormat="1"/>
    <row r="692" s="17" customFormat="1"/>
    <row r="693" s="17" customFormat="1"/>
    <row r="694" s="17" customFormat="1"/>
    <row r="695" s="17" customFormat="1"/>
    <row r="696" s="17" customFormat="1"/>
    <row r="697" s="17" customFormat="1"/>
    <row r="698" s="17" customFormat="1"/>
    <row r="699" s="17" customFormat="1"/>
    <row r="700" s="17" customFormat="1"/>
    <row r="701" s="17" customFormat="1"/>
    <row r="702" s="17" customFormat="1"/>
    <row r="703" s="17" customFormat="1"/>
    <row r="704" s="17" customFormat="1"/>
    <row r="705" s="17" customFormat="1"/>
    <row r="706" s="17" customFormat="1"/>
    <row r="707" s="17" customFormat="1"/>
    <row r="708" s="17" customFormat="1"/>
    <row r="709" s="17" customFormat="1"/>
    <row r="710" s="17" customFormat="1"/>
    <row r="711" s="17" customFormat="1"/>
    <row r="712" s="17" customFormat="1"/>
    <row r="713" s="17" customFormat="1"/>
    <row r="714" s="17" customFormat="1"/>
    <row r="715" s="17" customFormat="1"/>
    <row r="716" s="17" customFormat="1"/>
    <row r="717" s="17" customFormat="1"/>
    <row r="718" s="17" customFormat="1"/>
    <row r="719" s="17" customFormat="1"/>
    <row r="720" s="17" customFormat="1"/>
    <row r="721" s="17" customFormat="1"/>
    <row r="722" s="17" customFormat="1"/>
    <row r="723" s="17" customFormat="1"/>
    <row r="724" s="17" customFormat="1"/>
    <row r="725" s="17" customFormat="1"/>
    <row r="726" s="17" customFormat="1"/>
    <row r="727" s="17" customFormat="1"/>
    <row r="728" s="17" customFormat="1"/>
    <row r="729" s="17" customFormat="1"/>
    <row r="730" s="17" customFormat="1"/>
    <row r="731" s="17" customFormat="1"/>
    <row r="732" s="17" customFormat="1"/>
    <row r="733" s="17" customFormat="1"/>
    <row r="734" s="17" customFormat="1"/>
    <row r="735" s="17" customFormat="1"/>
    <row r="736" s="17" customFormat="1"/>
    <row r="737" s="17" customFormat="1"/>
    <row r="738" s="17" customFormat="1"/>
    <row r="739" s="17" customFormat="1"/>
    <row r="740" s="17" customFormat="1"/>
    <row r="741" s="17" customFormat="1"/>
    <row r="742" s="17" customFormat="1"/>
    <row r="743" s="17" customFormat="1"/>
    <row r="744" s="17" customFormat="1"/>
    <row r="745" s="17" customFormat="1"/>
    <row r="746" s="17" customFormat="1"/>
    <row r="747" s="17" customFormat="1"/>
    <row r="748" s="17" customFormat="1"/>
    <row r="749" s="17" customFormat="1"/>
    <row r="750" s="17" customFormat="1"/>
    <row r="751" s="17" customFormat="1"/>
    <row r="752" s="17" customFormat="1"/>
    <row r="753" s="17" customFormat="1"/>
    <row r="754" s="17" customFormat="1"/>
    <row r="755" s="17" customFormat="1"/>
    <row r="756" s="17" customFormat="1"/>
    <row r="757" s="17" customFormat="1"/>
    <row r="758" s="17" customFormat="1"/>
    <row r="759" s="17" customFormat="1"/>
    <row r="760" s="17" customFormat="1"/>
    <row r="761" s="17" customFormat="1"/>
    <row r="762" s="17" customFormat="1"/>
    <row r="763" s="17" customFormat="1"/>
    <row r="764" s="17" customFormat="1"/>
    <row r="765" s="17" customFormat="1"/>
    <row r="766" s="17" customFormat="1"/>
    <row r="767" s="17" customFormat="1"/>
    <row r="768" s="17" customFormat="1"/>
    <row r="769" s="17" customFormat="1"/>
    <row r="770" s="17" customFormat="1"/>
    <row r="771" s="17" customFormat="1"/>
    <row r="772" s="17" customFormat="1"/>
    <row r="773" s="17" customFormat="1"/>
    <row r="774" s="17" customFormat="1"/>
    <row r="775" s="17" customFormat="1"/>
    <row r="776" s="17" customFormat="1"/>
    <row r="777" s="17" customFormat="1"/>
    <row r="778" s="17" customFormat="1"/>
    <row r="779" s="17" customFormat="1"/>
    <row r="780" s="17" customFormat="1"/>
    <row r="781" s="17" customFormat="1"/>
    <row r="782" s="17" customFormat="1"/>
    <row r="783" s="17" customFormat="1"/>
    <row r="784" s="17" customFormat="1"/>
    <row r="785" s="17" customFormat="1"/>
    <row r="786" s="17" customFormat="1"/>
    <row r="787" s="17" customFormat="1"/>
    <row r="788" s="17" customFormat="1"/>
    <row r="789" s="17" customFormat="1"/>
    <row r="790" s="17" customFormat="1"/>
    <row r="791" s="17" customFormat="1"/>
    <row r="792" s="17" customFormat="1"/>
    <row r="793" s="17" customFormat="1"/>
    <row r="794" s="17" customFormat="1"/>
    <row r="795" s="17" customFormat="1"/>
    <row r="796" s="17" customFormat="1"/>
    <row r="797" s="17" customFormat="1"/>
    <row r="798" s="17" customFormat="1"/>
    <row r="799" s="17" customFormat="1"/>
    <row r="800" s="17" customFormat="1"/>
    <row r="801" spans="6:7" s="17" customFormat="1"/>
    <row r="802" spans="6:7" s="17" customFormat="1"/>
    <row r="803" spans="6:7" s="17" customFormat="1"/>
    <row r="804" spans="6:7" s="17" customFormat="1"/>
    <row r="805" spans="6:7" s="17" customFormat="1"/>
    <row r="806" spans="6:7">
      <c r="F806" s="101"/>
      <c r="G806" s="101"/>
    </row>
    <row r="807" spans="6:7">
      <c r="F807" s="101"/>
      <c r="G807" s="101"/>
    </row>
    <row r="808" spans="6:7">
      <c r="F808" s="101"/>
      <c r="G808" s="101"/>
    </row>
    <row r="809" spans="6:7">
      <c r="F809" s="101"/>
      <c r="G809" s="101"/>
    </row>
    <row r="810" spans="6:7">
      <c r="F810" s="101"/>
      <c r="G810" s="101"/>
    </row>
    <row r="811" spans="6:7">
      <c r="F811" s="101"/>
      <c r="G811" s="101"/>
    </row>
    <row r="812" spans="6:7">
      <c r="F812" s="101"/>
      <c r="G812" s="101"/>
    </row>
    <row r="813" spans="6:7">
      <c r="F813" s="101"/>
      <c r="G813" s="101"/>
    </row>
    <row r="814" spans="6:7">
      <c r="F814" s="101"/>
      <c r="G814" s="101"/>
    </row>
    <row r="815" spans="6:7">
      <c r="F815" s="101"/>
      <c r="G815" s="101"/>
    </row>
    <row r="816" spans="6:7">
      <c r="F816" s="101"/>
      <c r="G816" s="101"/>
    </row>
    <row r="817" spans="6:7">
      <c r="F817" s="101"/>
      <c r="G817" s="101"/>
    </row>
    <row r="818" spans="6:7">
      <c r="F818" s="101"/>
      <c r="G818" s="101"/>
    </row>
    <row r="819" spans="6:7">
      <c r="F819" s="101"/>
      <c r="G819" s="101"/>
    </row>
    <row r="820" spans="6:7">
      <c r="F820" s="101"/>
      <c r="G820" s="101"/>
    </row>
    <row r="821" spans="6:7">
      <c r="F821" s="101"/>
      <c r="G821" s="101"/>
    </row>
    <row r="822" spans="6:7">
      <c r="F822" s="101"/>
      <c r="G822" s="101"/>
    </row>
    <row r="823" spans="6:7">
      <c r="F823" s="101"/>
      <c r="G823" s="101"/>
    </row>
    <row r="824" spans="6:7">
      <c r="F824" s="101"/>
      <c r="G824" s="101"/>
    </row>
    <row r="825" spans="6:7">
      <c r="F825" s="101"/>
      <c r="G825" s="101"/>
    </row>
    <row r="826" spans="6:7">
      <c r="F826" s="101"/>
      <c r="G826" s="101"/>
    </row>
    <row r="827" spans="6:7">
      <c r="F827" s="101"/>
      <c r="G827" s="101"/>
    </row>
    <row r="828" spans="6:7">
      <c r="F828" s="101"/>
      <c r="G828" s="101"/>
    </row>
    <row r="829" spans="6:7">
      <c r="F829" s="101"/>
      <c r="G829" s="101"/>
    </row>
    <row r="830" spans="6:7">
      <c r="F830" s="101"/>
      <c r="G830" s="101"/>
    </row>
    <row r="831" spans="6:7">
      <c r="F831" s="101"/>
      <c r="G831" s="101"/>
    </row>
    <row r="832" spans="6:7">
      <c r="F832" s="101"/>
      <c r="G832" s="101"/>
    </row>
    <row r="833" spans="6:7">
      <c r="F833" s="101"/>
      <c r="G833" s="101"/>
    </row>
    <row r="834" spans="6:7">
      <c r="F834" s="101"/>
      <c r="G834" s="101"/>
    </row>
    <row r="835" spans="6:7">
      <c r="F835" s="101"/>
      <c r="G835" s="101"/>
    </row>
    <row r="836" spans="6:7">
      <c r="F836" s="101"/>
      <c r="G836" s="101"/>
    </row>
    <row r="837" spans="6:7">
      <c r="F837" s="101"/>
      <c r="G837" s="101"/>
    </row>
    <row r="838" spans="6:7">
      <c r="F838" s="101"/>
      <c r="G838" s="101"/>
    </row>
    <row r="839" spans="6:7">
      <c r="F839" s="101"/>
      <c r="G839" s="101"/>
    </row>
    <row r="840" spans="6:7">
      <c r="F840" s="101"/>
      <c r="G840" s="101"/>
    </row>
    <row r="841" spans="6:7">
      <c r="F841" s="101"/>
      <c r="G841" s="101"/>
    </row>
    <row r="842" spans="6:7">
      <c r="F842" s="101"/>
      <c r="G842" s="101"/>
    </row>
    <row r="843" spans="6:7">
      <c r="F843" s="101"/>
      <c r="G843" s="101"/>
    </row>
  </sheetData>
  <sheetProtection password="A4D6" sheet="1" objects="1" scenarios="1"/>
  <mergeCells count="18">
    <mergeCell ref="D1:G1"/>
    <mergeCell ref="G8:G9"/>
    <mergeCell ref="B77:D78"/>
    <mergeCell ref="A14:A73"/>
    <mergeCell ref="B62:B63"/>
    <mergeCell ref="D62:D63"/>
    <mergeCell ref="E8:E9"/>
    <mergeCell ref="F8:F9"/>
    <mergeCell ref="B80:D80"/>
    <mergeCell ref="C62:C63"/>
    <mergeCell ref="A7:E7"/>
    <mergeCell ref="F10:G13"/>
    <mergeCell ref="F6:G7"/>
    <mergeCell ref="A10:A13"/>
    <mergeCell ref="A6:E6"/>
    <mergeCell ref="B8:B9"/>
    <mergeCell ref="C8:C9"/>
    <mergeCell ref="D8:D9"/>
  </mergeCells>
  <phoneticPr fontId="51" type="noConversion"/>
  <dataValidations count="2">
    <dataValidation type="custom" allowBlank="1" showInputMessage="1" showErrorMessage="1" sqref="C64:D73 F14:G61">
      <formula1>C14&gt;0</formula1>
    </dataValidation>
    <dataValidation type="textLength" allowBlank="1" showInputMessage="1" showErrorMessage="1" sqref="B64:B73">
      <formula1>1</formula1>
      <formula2>55</formula2>
    </dataValidation>
  </dataValidations>
  <printOptions horizontalCentered="1"/>
  <pageMargins left="0.2" right="0.2" top="0.5" bottom="0.5" header="0.2" footer="0.2"/>
  <pageSetup scale="70" orientation="landscape" blackAndWhite="1" r:id="rId1"/>
  <headerFooter alignWithMargins="0">
    <oddHeader>&amp;L&amp;9&amp;F&amp;R&amp;9&amp;D</oddHeader>
    <oddFooter xml:space="preserve">&amp;C&amp;9POLLUTANTS - &amp;P&amp;10
</oddFooter>
  </headerFooter>
  <rowBreaks count="1" manualBreakCount="1">
    <brk id="61" max="6" man="1"/>
  </rowBreaks>
  <drawing r:id="rId2"/>
  <legacyDrawing r:id="rId3"/>
  <controls>
    <mc:AlternateContent xmlns:mc="http://schemas.openxmlformats.org/markup-compatibility/2006">
      <mc:Choice Requires="x14">
        <control shapeId="9221" r:id="rId4" name="ReturntoInput">
          <controlPr autoLine="0" autoPict="0" r:id="rId5">
            <anchor moveWithCells="1">
              <from>
                <xdr:col>5</xdr:col>
                <xdr:colOff>57150</xdr:colOff>
                <xdr:row>65</xdr:row>
                <xdr:rowOff>95250</xdr:rowOff>
              </from>
              <to>
                <xdr:col>5</xdr:col>
                <xdr:colOff>1076325</xdr:colOff>
                <xdr:row>69</xdr:row>
                <xdr:rowOff>28575</xdr:rowOff>
              </to>
            </anchor>
          </controlPr>
        </control>
      </mc:Choice>
      <mc:Fallback>
        <control shapeId="9221" r:id="rId4" name="ReturntoInput"/>
      </mc:Fallback>
    </mc:AlternateContent>
    <mc:AlternateContent xmlns:mc="http://schemas.openxmlformats.org/markup-compatibility/2006">
      <mc:Choice Requires="x14">
        <control shapeId="9220" r:id="rId6" name="MoveToNewPollutant">
          <controlPr autoLine="0" r:id="rId7">
            <anchor moveWithCells="1">
              <from>
                <xdr:col>1</xdr:col>
                <xdr:colOff>476250</xdr:colOff>
                <xdr:row>1</xdr:row>
                <xdr:rowOff>114300</xdr:rowOff>
              </from>
              <to>
                <xdr:col>1</xdr:col>
                <xdr:colOff>2057400</xdr:colOff>
                <xdr:row>4</xdr:row>
                <xdr:rowOff>133350</xdr:rowOff>
              </to>
            </anchor>
          </controlPr>
        </control>
      </mc:Choice>
      <mc:Fallback>
        <control shapeId="9220" r:id="rId6" name="MoveToNewPollutant"/>
      </mc:Fallback>
    </mc:AlternateContent>
    <mc:AlternateContent xmlns:mc="http://schemas.openxmlformats.org/markup-compatibility/2006">
      <mc:Choice Requires="x14">
        <control shapeId="9219" r:id="rId8" name="MoveToEditPollutant">
          <controlPr autoLine="0" r:id="rId9">
            <anchor moveWithCells="1">
              <from>
                <xdr:col>1</xdr:col>
                <xdr:colOff>2505075</xdr:colOff>
                <xdr:row>1</xdr:row>
                <xdr:rowOff>114300</xdr:rowOff>
              </from>
              <to>
                <xdr:col>2</xdr:col>
                <xdr:colOff>1057275</xdr:colOff>
                <xdr:row>4</xdr:row>
                <xdr:rowOff>133350</xdr:rowOff>
              </to>
            </anchor>
          </controlPr>
        </control>
      </mc:Choice>
      <mc:Fallback>
        <control shapeId="9219" r:id="rId8" name="MoveToEditPollutant"/>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85"/>
  <sheetViews>
    <sheetView showGridLines="0" zoomScaleNormal="100" workbookViewId="0"/>
  </sheetViews>
  <sheetFormatPr defaultRowHeight="12.75"/>
  <cols>
    <col min="1" max="1" width="3" style="17" customWidth="1"/>
    <col min="2" max="5" width="9.28515625" style="17" customWidth="1"/>
    <col min="6" max="6" width="11.42578125" style="17" customWidth="1"/>
    <col min="7" max="8" width="10.140625" style="17" customWidth="1"/>
    <col min="9" max="9" width="10.7109375" style="17" customWidth="1"/>
    <col min="10" max="10" width="14" style="17" customWidth="1"/>
    <col min="11" max="11" width="8.42578125" style="17" customWidth="1"/>
    <col min="12" max="12" width="15.85546875" style="17" customWidth="1"/>
    <col min="13" max="13" width="15.85546875" style="17" bestFit="1" customWidth="1"/>
    <col min="14" max="16384" width="9.140625" style="17"/>
  </cols>
  <sheetData>
    <row r="1" spans="1:13" ht="18">
      <c r="A1" s="196" t="s">
        <v>173</v>
      </c>
      <c r="F1" s="159" t="s">
        <v>170</v>
      </c>
      <c r="G1" s="635" t="str">
        <f>IF('USER INPUTS'!$E$1=0,"",'USER INPUTS'!$E$1)</f>
        <v>TPA Muara Fajar 2 Kota Pekanbaru</v>
      </c>
      <c r="H1" s="635"/>
      <c r="I1" s="635"/>
      <c r="J1" s="635"/>
      <c r="K1" s="157"/>
    </row>
    <row r="2" spans="1:13" ht="16.5" customHeight="1"/>
    <row r="3" spans="1:13" ht="16.5" customHeight="1" thickBot="1">
      <c r="B3" s="170" t="s">
        <v>174</v>
      </c>
      <c r="G3" s="366"/>
      <c r="H3" s="366"/>
      <c r="I3" s="366"/>
      <c r="J3" s="366"/>
      <c r="K3" s="25" t="s">
        <v>181</v>
      </c>
    </row>
    <row r="4" spans="1:13" ht="16.5" customHeight="1" thickTop="1">
      <c r="B4" s="179" t="s">
        <v>3</v>
      </c>
      <c r="F4" s="180">
        <f>IF(OpenYear&gt;0,OpenYear,"")</f>
        <v>2018</v>
      </c>
      <c r="G4" s="653" t="str">
        <f>IF(AND(F6&gt;F5,ClosureCalcYes=TRUE),"The 80-year waste acceptance limit of the model has been exceeded before the Waste Design Capacity was reached. The model will assume the 80th year of waste acceptance as the final year to estimate emissions. See Section 2.6 of the User's Manual.",IF(AND(ClosureYear-OpenYear&gt;79,ClosureCalcYes=FALSE),"Landfill Closure Year entered exceeds the 80-year waste acceptance limit. See Section 2.6 of the User's Manual.",""))</f>
        <v/>
      </c>
      <c r="H4" s="653"/>
      <c r="I4" s="653"/>
      <c r="J4" s="653"/>
      <c r="K4" s="200" t="s">
        <v>5</v>
      </c>
      <c r="L4" s="201" t="s">
        <v>50</v>
      </c>
      <c r="M4" s="202" t="s">
        <v>169</v>
      </c>
    </row>
    <row r="5" spans="1:13" ht="16.5" customHeight="1">
      <c r="B5" s="197" t="s">
        <v>304</v>
      </c>
      <c r="C5" s="197"/>
      <c r="D5" s="197"/>
      <c r="E5" s="507"/>
      <c r="F5" s="180">
        <f>IF(ClosureCalcYes=TRUE,IF(METHANE!$D$15&gt;0,METHANE!$D$15,""),IF(ClosureYear&gt;0,MIN(OpenYear+79,ClosureYear),""))</f>
        <v>2048</v>
      </c>
      <c r="G5" s="653"/>
      <c r="H5" s="653"/>
      <c r="I5" s="653"/>
      <c r="J5" s="653"/>
      <c r="K5" s="510">
        <f>METHANE!B23</f>
        <v>2018</v>
      </c>
      <c r="L5" s="176">
        <f>IF(METHANE!E23&gt;=0,METHANE!E23,"")</f>
        <v>189082</v>
      </c>
      <c r="M5" s="65">
        <f>IF(METHANE!E23&gt;=0,METHANE!E23*DEFAULTS!$B$55*DEFAULTS!$B$53/DEFAULTS!$B$54,"")</f>
        <v>207990.2</v>
      </c>
    </row>
    <row r="6" spans="1:13" ht="16.5" customHeight="1">
      <c r="B6" s="508" t="s">
        <v>327</v>
      </c>
      <c r="C6" s="508"/>
      <c r="D6" s="508"/>
      <c r="E6" s="342"/>
      <c r="F6" s="415">
        <f>IF(ISERROR(IF(ClosureCalcYes=TRUE,METHANE!D16,ClosureYear)),"",IF(ClosureCalcYes=TRUE,IF(METHANE!D16&gt;0,METHANE!D16,""),IF(ClosureYear&gt;0,ClosureYear,"")))</f>
        <v>2048</v>
      </c>
      <c r="G6" s="653"/>
      <c r="H6" s="653"/>
      <c r="I6" s="653"/>
      <c r="J6" s="653"/>
      <c r="K6" s="178">
        <f>METHANE!B24</f>
        <v>2019</v>
      </c>
      <c r="L6" s="176">
        <f>IF(METHANE!E24&gt;=0,METHANE!E24,"")</f>
        <v>293489</v>
      </c>
      <c r="M6" s="65">
        <f>IF(METHANE!E24&gt;=0,METHANE!E24*DEFAULTS!$B$55*DEFAULTS!$B$53/DEFAULTS!$B$54,"")</f>
        <v>322837.90000000002</v>
      </c>
    </row>
    <row r="7" spans="1:13" ht="16.5" customHeight="1">
      <c r="B7" s="179" t="s">
        <v>35</v>
      </c>
      <c r="F7" s="180" t="str">
        <f>IF(ClosureCalcYes=TRUE,"Yes","No")</f>
        <v>No</v>
      </c>
      <c r="G7" s="653"/>
      <c r="H7" s="653"/>
      <c r="I7" s="653"/>
      <c r="J7" s="653"/>
      <c r="K7" s="178">
        <f>METHANE!B25</f>
        <v>2020</v>
      </c>
      <c r="L7" s="176">
        <f>IF(METHANE!E25&gt;=0,METHANE!E25,"")</f>
        <v>283523</v>
      </c>
      <c r="M7" s="65">
        <f>IF(METHANE!E25&gt;=0,METHANE!E25*DEFAULTS!$B$55*DEFAULTS!$B$53/DEFAULTS!$B$54,"")</f>
        <v>311875.3</v>
      </c>
    </row>
    <row r="8" spans="1:13" ht="16.5" customHeight="1">
      <c r="B8" s="179" t="s">
        <v>6</v>
      </c>
      <c r="F8" s="181" t="str">
        <f>IF(WasteCapacity&gt;0,WasteCapacity,"")</f>
        <v/>
      </c>
      <c r="G8" s="174" t="str">
        <f>'USER INPUTS'!$E$8</f>
        <v>megagrams</v>
      </c>
      <c r="H8" s="174"/>
      <c r="K8" s="22">
        <f>METHANE!B26</f>
        <v>2021</v>
      </c>
      <c r="L8" s="176">
        <f>IF(METHANE!E26&gt;=0,METHANE!E26,"")</f>
        <v>143321</v>
      </c>
      <c r="M8" s="65">
        <f>IF(METHANE!E26&gt;=0,METHANE!E26*DEFAULTS!$B$55*DEFAULTS!$B$53/DEFAULTS!$B$54,"")</f>
        <v>157653.1</v>
      </c>
    </row>
    <row r="9" spans="1:13" ht="16.5" customHeight="1">
      <c r="K9" s="22">
        <f>METHANE!B27</f>
        <v>2022</v>
      </c>
      <c r="L9" s="176">
        <f>IF(METHANE!E27&gt;=0,METHANE!E27,"")</f>
        <v>227851</v>
      </c>
      <c r="M9" s="65">
        <f>IF(METHANE!E27&gt;=0,METHANE!E27*DEFAULTS!$B$55*DEFAULTS!$B$53/DEFAULTS!$B$54,"")</f>
        <v>250636.10000000003</v>
      </c>
    </row>
    <row r="10" spans="1:13" ht="16.5" customHeight="1">
      <c r="B10" s="170" t="s">
        <v>175</v>
      </c>
      <c r="K10" s="22">
        <f>METHANE!B28</f>
        <v>2023</v>
      </c>
      <c r="L10" s="176">
        <f>IF(METHANE!E28&gt;=0,METHANE!E28,"")</f>
        <v>238727</v>
      </c>
      <c r="M10" s="65">
        <f>IF(METHANE!E28&gt;=0,METHANE!E28*DEFAULTS!$B$55*DEFAULTS!$B$53/DEFAULTS!$B$54,"")</f>
        <v>262599.7</v>
      </c>
    </row>
    <row r="11" spans="1:13" ht="16.5" customHeight="1">
      <c r="B11" s="179" t="s">
        <v>176</v>
      </c>
      <c r="F11" s="182">
        <f>IF('USER INPUTS'!$B$13=-1,'USER INPUTS'!$F$13,'USER INPUTS'!$B$13)</f>
        <v>0.04</v>
      </c>
      <c r="G11" s="150" t="s">
        <v>78</v>
      </c>
      <c r="H11" s="150"/>
      <c r="K11" s="22">
        <f>METHANE!B29</f>
        <v>2024</v>
      </c>
      <c r="L11" s="176">
        <f>IF(METHANE!E29&gt;=0,METHANE!E29,"")</f>
        <v>250122</v>
      </c>
      <c r="M11" s="65">
        <f>IF(METHANE!E29&gt;=0,METHANE!E29*DEFAULTS!$B$55*DEFAULTS!$B$53/DEFAULTS!$B$54,"")</f>
        <v>275134.2</v>
      </c>
    </row>
    <row r="12" spans="1:13" ht="16.5" customHeight="1">
      <c r="B12" s="179" t="s">
        <v>178</v>
      </c>
      <c r="F12" s="181">
        <f>IF('USER INPUTS'!$B$15=-1,'USER INPUTS'!$F$15,'USER INPUTS'!$B$15)</f>
        <v>100</v>
      </c>
      <c r="G12" s="203" t="s">
        <v>344</v>
      </c>
      <c r="H12" s="150"/>
      <c r="K12" s="22">
        <f>METHANE!B30</f>
        <v>2025</v>
      </c>
      <c r="L12" s="176">
        <f>IF(METHANE!E30&gt;=0,METHANE!E30,"")</f>
        <v>262060</v>
      </c>
      <c r="M12" s="65">
        <f>IF(METHANE!E30&gt;=0,METHANE!E30*DEFAULTS!$B$55*DEFAULTS!$B$53/DEFAULTS!$B$54,"")</f>
        <v>288266</v>
      </c>
    </row>
    <row r="13" spans="1:13" ht="16.5" customHeight="1">
      <c r="B13" s="179" t="s">
        <v>177</v>
      </c>
      <c r="F13" s="181">
        <f>IF('USER INPUTS'!$B$17=-1,'USER INPUTS'!$F$17,'USER INPUTS'!$B$17)</f>
        <v>600</v>
      </c>
      <c r="G13" s="150" t="s">
        <v>202</v>
      </c>
      <c r="H13" s="150"/>
      <c r="K13" s="22">
        <f>METHANE!B31</f>
        <v>2026</v>
      </c>
      <c r="L13" s="176">
        <f>IF(METHANE!E31&gt;=0,METHANE!E31,"")</f>
        <v>274569</v>
      </c>
      <c r="M13" s="65">
        <f>IF(METHANE!E31&gt;=0,METHANE!E31*DEFAULTS!$B$55*DEFAULTS!$B$53/DEFAULTS!$B$54,"")</f>
        <v>302025.90000000002</v>
      </c>
    </row>
    <row r="14" spans="1:13" ht="16.5" customHeight="1">
      <c r="B14" s="179" t="s">
        <v>179</v>
      </c>
      <c r="F14" s="183">
        <f>IF('USER INPUTS'!$B$19=-1,'USER INPUTS'!$F$19,'USER INPUTS'!$B$19)</f>
        <v>60</v>
      </c>
      <c r="G14" s="150" t="s">
        <v>165</v>
      </c>
      <c r="H14" s="150"/>
      <c r="K14" s="22">
        <f>METHANE!B32</f>
        <v>2027</v>
      </c>
      <c r="L14" s="176">
        <f>IF(METHANE!E32&gt;=0,METHANE!E32,"")</f>
        <v>287675</v>
      </c>
      <c r="M14" s="65">
        <f>IF(METHANE!E32&gt;=0,METHANE!E32*DEFAULTS!$B$55*DEFAULTS!$B$53/DEFAULTS!$B$54,"")</f>
        <v>316442.5</v>
      </c>
    </row>
    <row r="15" spans="1:13" ht="16.5" customHeight="1">
      <c r="K15" s="22">
        <f>METHANE!B33</f>
        <v>2028</v>
      </c>
      <c r="L15" s="176">
        <f>IF(METHANE!E33&gt;=0,METHANE!E33,"")</f>
        <v>301406</v>
      </c>
      <c r="M15" s="65">
        <f>IF(METHANE!E33&gt;=0,METHANE!E33*DEFAULTS!$B$55*DEFAULTS!$B$53/DEFAULTS!$B$54,"")</f>
        <v>331546.59999999998</v>
      </c>
    </row>
    <row r="16" spans="1:13" ht="16.5" customHeight="1">
      <c r="B16" s="170" t="s">
        <v>180</v>
      </c>
      <c r="K16" s="22">
        <f>METHANE!B34</f>
        <v>2029</v>
      </c>
      <c r="L16" s="176">
        <f>IF(METHANE!E34&gt;=0,METHANE!E34,"")</f>
        <v>315793</v>
      </c>
      <c r="M16" s="65">
        <f>IF(METHANE!E34&gt;=0,METHANE!E34*DEFAULTS!$B$55*DEFAULTS!$B$53/DEFAULTS!$B$54,"")</f>
        <v>347372.3</v>
      </c>
    </row>
    <row r="17" spans="2:13" ht="16.5" customHeight="1">
      <c r="B17" s="179" t="s">
        <v>206</v>
      </c>
      <c r="D17" s="158" t="str">
        <f>'USER INPUTS'!$B$24</f>
        <v/>
      </c>
      <c r="E17" s="179"/>
      <c r="K17" s="22">
        <f>METHANE!B35</f>
        <v>2030</v>
      </c>
      <c r="L17" s="176">
        <f>IF(METHANE!E35&gt;=0,METHANE!E35,"")</f>
        <v>330866</v>
      </c>
      <c r="M17" s="65">
        <f>IF(METHANE!E35&gt;=0,METHANE!E35*DEFAULTS!$B$55*DEFAULTS!$B$53/DEFAULTS!$B$54,"")</f>
        <v>363952.6</v>
      </c>
    </row>
    <row r="18" spans="2:13" ht="16.5" customHeight="1">
      <c r="B18" s="179" t="s">
        <v>207</v>
      </c>
      <c r="D18" s="158" t="str">
        <f>'USER INPUTS'!$B$26</f>
        <v/>
      </c>
      <c r="E18" s="179"/>
      <c r="K18" s="178">
        <f>METHANE!B36</f>
        <v>2031</v>
      </c>
      <c r="L18" s="176">
        <f>IF(METHANE!E36&gt;=0,METHANE!E36,"")</f>
        <v>346659</v>
      </c>
      <c r="M18" s="65">
        <f>IF(METHANE!E36&gt;=0,METHANE!E36*DEFAULTS!$B$55*DEFAULTS!$B$53/DEFAULTS!$B$54,"")</f>
        <v>381324.9</v>
      </c>
    </row>
    <row r="19" spans="2:13" ht="16.5" customHeight="1">
      <c r="B19" s="179" t="s">
        <v>208</v>
      </c>
      <c r="D19" s="158" t="str">
        <f>'USER INPUTS'!$B$28</f>
        <v>Carbon dioxide</v>
      </c>
      <c r="E19" s="179"/>
      <c r="K19" s="22">
        <f>METHANE!B37</f>
        <v>2032</v>
      </c>
      <c r="L19" s="176">
        <f>IF(METHANE!E37&gt;=0,METHANE!E37,"")</f>
        <v>363206</v>
      </c>
      <c r="M19" s="65">
        <f>IF(METHANE!E37&gt;=0,METHANE!E37*DEFAULTS!$B$55*DEFAULTS!$B$53/DEFAULTS!$B$54,"")</f>
        <v>399526.6</v>
      </c>
    </row>
    <row r="20" spans="2:13" ht="16.5" customHeight="1">
      <c r="B20" s="179" t="s">
        <v>209</v>
      </c>
      <c r="D20" s="158" t="str">
        <f>'USER INPUTS'!$B$30</f>
        <v/>
      </c>
      <c r="E20" s="179"/>
      <c r="K20" s="22">
        <f>METHANE!B38</f>
        <v>2033</v>
      </c>
      <c r="L20" s="176">
        <f>IF(METHANE!E38&gt;=0,METHANE!E38,"")</f>
        <v>380542</v>
      </c>
      <c r="M20" s="65">
        <f>IF(METHANE!E38&gt;=0,METHANE!E38*DEFAULTS!$B$55*DEFAULTS!$B$53/DEFAULTS!$B$54,"")</f>
        <v>418596.2</v>
      </c>
    </row>
    <row r="21" spans="2:13" ht="16.5" customHeight="1">
      <c r="K21" s="22">
        <f>METHANE!B39</f>
        <v>2034</v>
      </c>
      <c r="L21" s="176">
        <f>IF(METHANE!E39&gt;=0,METHANE!E39,"")</f>
        <v>398706</v>
      </c>
      <c r="M21" s="65">
        <f>IF(METHANE!E39&gt;=0,METHANE!E39*DEFAULTS!$B$55*DEFAULTS!$B$53/DEFAULTS!$B$54,"")</f>
        <v>438576.6</v>
      </c>
    </row>
    <row r="22" spans="2:13" ht="16.5" customHeight="1">
      <c r="B22" s="34" t="s">
        <v>172</v>
      </c>
      <c r="C22" s="28"/>
      <c r="D22" s="28"/>
      <c r="E22" s="28"/>
      <c r="F22" s="28"/>
      <c r="G22" s="28"/>
      <c r="H22" s="28"/>
      <c r="I22" s="29"/>
      <c r="K22" s="22">
        <f>METHANE!B40</f>
        <v>2035</v>
      </c>
      <c r="L22" s="176">
        <f>IF(METHANE!E40&gt;=0,METHANE!E40,"")</f>
        <v>417737</v>
      </c>
      <c r="M22" s="65">
        <f>IF(METHANE!E40&gt;=0,METHANE!E40*DEFAULTS!$B$55*DEFAULTS!$B$53/DEFAULTS!$B$54,"")</f>
        <v>459510.7</v>
      </c>
    </row>
    <row r="23" spans="2:13" ht="16.5" customHeight="1">
      <c r="B23" s="647" t="str">
        <f>IF('USER INPUTS'!$B$34&gt;0,LEFT('USER INPUTS'!$B$34,450),"")</f>
        <v/>
      </c>
      <c r="C23" s="648"/>
      <c r="D23" s="648"/>
      <c r="E23" s="648"/>
      <c r="F23" s="648"/>
      <c r="G23" s="648"/>
      <c r="H23" s="648"/>
      <c r="I23" s="649"/>
      <c r="K23" s="22">
        <f>METHANE!B41</f>
        <v>2036</v>
      </c>
      <c r="L23" s="176">
        <f>IF(METHANE!E41&gt;=0,METHANE!E41,"")</f>
        <v>437677</v>
      </c>
      <c r="M23" s="65">
        <f>IF(METHANE!E41&gt;=0,METHANE!E41*DEFAULTS!$B$55*DEFAULTS!$B$53/DEFAULTS!$B$54,"")</f>
        <v>481444.7</v>
      </c>
    </row>
    <row r="24" spans="2:13" ht="16.5" customHeight="1">
      <c r="B24" s="647"/>
      <c r="C24" s="648"/>
      <c r="D24" s="648"/>
      <c r="E24" s="648"/>
      <c r="F24" s="648"/>
      <c r="G24" s="648"/>
      <c r="H24" s="648"/>
      <c r="I24" s="649"/>
      <c r="K24" s="22">
        <f>METHANE!B42</f>
        <v>2037</v>
      </c>
      <c r="L24" s="176">
        <f>IF(METHANE!E42&gt;=0,METHANE!E42,"")</f>
        <v>458568</v>
      </c>
      <c r="M24" s="65">
        <f>IF(METHANE!E42&gt;=0,METHANE!E42*DEFAULTS!$B$55*DEFAULTS!$B$53/DEFAULTS!$B$54,"")</f>
        <v>504424.80000000005</v>
      </c>
    </row>
    <row r="25" spans="2:13" ht="16.5" customHeight="1">
      <c r="B25" s="647"/>
      <c r="C25" s="648"/>
      <c r="D25" s="648"/>
      <c r="E25" s="648"/>
      <c r="F25" s="648"/>
      <c r="G25" s="648"/>
      <c r="H25" s="648"/>
      <c r="I25" s="649"/>
      <c r="K25" s="22">
        <f>METHANE!B43</f>
        <v>2038</v>
      </c>
      <c r="L25" s="176">
        <f>IF(METHANE!E43&gt;=0,METHANE!E43,"")</f>
        <v>480456</v>
      </c>
      <c r="M25" s="65">
        <f>IF(METHANE!E43&gt;=0,METHANE!E43*DEFAULTS!$B$55*DEFAULTS!$B$53/DEFAULTS!$B$54,"")</f>
        <v>528501.60000000009</v>
      </c>
    </row>
    <row r="26" spans="2:13" ht="16.5" customHeight="1">
      <c r="B26" s="647"/>
      <c r="C26" s="648"/>
      <c r="D26" s="648"/>
      <c r="E26" s="648"/>
      <c r="F26" s="648"/>
      <c r="G26" s="648"/>
      <c r="H26" s="648"/>
      <c r="I26" s="649"/>
      <c r="K26" s="22">
        <f>METHANE!B44</f>
        <v>2039</v>
      </c>
      <c r="L26" s="176">
        <f>IF(METHANE!E44&gt;=0,METHANE!E44,"")</f>
        <v>503389</v>
      </c>
      <c r="M26" s="65">
        <f>IF(METHANE!E44&gt;=0,METHANE!E44*DEFAULTS!$B$55*DEFAULTS!$B$53/DEFAULTS!$B$54,"")</f>
        <v>553727.9</v>
      </c>
    </row>
    <row r="27" spans="2:13" ht="16.5" customHeight="1">
      <c r="B27" s="650"/>
      <c r="C27" s="651"/>
      <c r="D27" s="651"/>
      <c r="E27" s="651"/>
      <c r="F27" s="651"/>
      <c r="G27" s="651"/>
      <c r="H27" s="651"/>
      <c r="I27" s="652"/>
      <c r="K27" s="22">
        <f>METHANE!B45</f>
        <v>2040</v>
      </c>
      <c r="L27" s="176">
        <f>IF(METHANE!E45&gt;=0,METHANE!E45,"")</f>
        <v>527417</v>
      </c>
      <c r="M27" s="65">
        <f>IF(METHANE!E45&gt;=0,METHANE!E45*DEFAULTS!$B$55*DEFAULTS!$B$53/DEFAULTS!$B$54,"")</f>
        <v>580158.69999999995</v>
      </c>
    </row>
    <row r="28" spans="2:13" ht="16.5" customHeight="1">
      <c r="K28" s="22">
        <f>METHANE!B46</f>
        <v>2041</v>
      </c>
      <c r="L28" s="176">
        <f>IF(METHANE!E46&gt;=0,METHANE!E46,"")</f>
        <v>552592</v>
      </c>
      <c r="M28" s="65">
        <f>IF(METHANE!E46&gt;=0,METHANE!E46*DEFAULTS!$B$55*DEFAULTS!$B$53/DEFAULTS!$B$54,"")</f>
        <v>607851.19999999995</v>
      </c>
    </row>
    <row r="29" spans="2:13" ht="16.5" customHeight="1">
      <c r="K29" s="22">
        <f>METHANE!B47</f>
        <v>2042</v>
      </c>
      <c r="L29" s="176">
        <f>IF(METHANE!E47&gt;=0,METHANE!E47,"")</f>
        <v>578968</v>
      </c>
      <c r="M29" s="65">
        <f>IF(METHANE!E47&gt;=0,METHANE!E47*DEFAULTS!$B$55*DEFAULTS!$B$53/DEFAULTS!$B$54,"")</f>
        <v>636864.80000000005</v>
      </c>
    </row>
    <row r="30" spans="2:13" ht="16.5" customHeight="1">
      <c r="K30" s="22">
        <f>METHANE!B48</f>
        <v>2043</v>
      </c>
      <c r="L30" s="176">
        <f>IF(METHANE!E48&gt;=0,METHANE!E48,"")</f>
        <v>606603</v>
      </c>
      <c r="M30" s="65">
        <f>IF(METHANE!E48&gt;=0,METHANE!E48*DEFAULTS!$B$55*DEFAULTS!$B$53/DEFAULTS!$B$54,"")</f>
        <v>667263.30000000005</v>
      </c>
    </row>
    <row r="31" spans="2:13" ht="16.5" customHeight="1">
      <c r="K31" s="22">
        <f>METHANE!B49</f>
        <v>2044</v>
      </c>
      <c r="L31" s="176">
        <f>IF(METHANE!E49&gt;=0,METHANE!E49,"")</f>
        <v>635558</v>
      </c>
      <c r="M31" s="65">
        <f>IF(METHANE!E49&gt;=0,METHANE!E49*DEFAULTS!$B$55*DEFAULTS!$B$53/DEFAULTS!$B$54,"")</f>
        <v>699113.8</v>
      </c>
    </row>
    <row r="32" spans="2:13" ht="16.5" customHeight="1">
      <c r="K32" s="22">
        <f>METHANE!B50</f>
        <v>2045</v>
      </c>
      <c r="L32" s="176">
        <f>IF(METHANE!E50&gt;=0,METHANE!E50,"")</f>
        <v>665894</v>
      </c>
      <c r="M32" s="65">
        <f>IF(METHANE!E50&gt;=0,METHANE!E50*DEFAULTS!$B$55*DEFAULTS!$B$53/DEFAULTS!$B$54,"")</f>
        <v>732483.4</v>
      </c>
    </row>
    <row r="33" spans="11:13" ht="16.5" customHeight="1">
      <c r="K33" s="22">
        <f>METHANE!B51</f>
        <v>2046</v>
      </c>
      <c r="L33" s="176">
        <f>IF(METHANE!E51&gt;=0,METHANE!E51,"")</f>
        <v>697679</v>
      </c>
      <c r="M33" s="65">
        <f>IF(METHANE!E51&gt;=0,METHANE!E51*DEFAULTS!$B$55*DEFAULTS!$B$53/DEFAULTS!$B$54,"")</f>
        <v>767446.9</v>
      </c>
    </row>
    <row r="34" spans="11:13" ht="16.5" customHeight="1">
      <c r="K34" s="22">
        <f>METHANE!B52</f>
        <v>2047</v>
      </c>
      <c r="L34" s="176">
        <f>IF(METHANE!E52&gt;=0,METHANE!E52,"")</f>
        <v>730980</v>
      </c>
      <c r="M34" s="65">
        <f>IF(METHANE!E52&gt;=0,METHANE!E52*DEFAULTS!$B$55*DEFAULTS!$B$53/DEFAULTS!$B$54,"")</f>
        <v>804078</v>
      </c>
    </row>
    <row r="35" spans="11:13" ht="16.5" customHeight="1">
      <c r="K35" s="22">
        <f>METHANE!B53</f>
        <v>2048</v>
      </c>
      <c r="L35" s="176">
        <f>IF(METHANE!E53&gt;=0,METHANE!E53,"")</f>
        <v>765871</v>
      </c>
      <c r="M35" s="65">
        <f>IF(METHANE!E53&gt;=0,METHANE!E53*DEFAULTS!$B$55*DEFAULTS!$B$53/DEFAULTS!$B$54,"")</f>
        <v>842458.1</v>
      </c>
    </row>
    <row r="36" spans="11:13" ht="16.5" customHeight="1">
      <c r="K36" s="22">
        <f>METHANE!B54</f>
        <v>2049</v>
      </c>
      <c r="L36" s="176">
        <f>IF(METHANE!E54&gt;=0,METHANE!E54,"")</f>
        <v>0</v>
      </c>
      <c r="M36" s="65">
        <f>IF(METHANE!E54&gt;=0,METHANE!E54*DEFAULTS!$B$55*DEFAULTS!$B$53/DEFAULTS!$B$54,"")</f>
        <v>0</v>
      </c>
    </row>
    <row r="37" spans="11:13" ht="16.5" customHeight="1">
      <c r="K37" s="22">
        <f>METHANE!B55</f>
        <v>2050</v>
      </c>
      <c r="L37" s="176">
        <f>IF(METHANE!E55&gt;=0,METHANE!E55,"")</f>
        <v>0</v>
      </c>
      <c r="M37" s="65">
        <f>IF(METHANE!E55&gt;=0,METHANE!E55*DEFAULTS!$B$55*DEFAULTS!$B$53/DEFAULTS!$B$54,"")</f>
        <v>0</v>
      </c>
    </row>
    <row r="38" spans="11:13" ht="16.5" customHeight="1">
      <c r="K38" s="22">
        <f>METHANE!B56</f>
        <v>2051</v>
      </c>
      <c r="L38" s="176">
        <f>IF(METHANE!E56&gt;=0,METHANE!E56,"")</f>
        <v>0</v>
      </c>
      <c r="M38" s="65">
        <f>IF(METHANE!E56&gt;=0,METHANE!E56*DEFAULTS!$B$55*DEFAULTS!$B$53/DEFAULTS!$B$54,"")</f>
        <v>0</v>
      </c>
    </row>
    <row r="39" spans="11:13" ht="16.5" customHeight="1">
      <c r="K39" s="22">
        <f>METHANE!B57</f>
        <v>2052</v>
      </c>
      <c r="L39" s="176">
        <f>IF(METHANE!E57&gt;=0,METHANE!E57,"")</f>
        <v>0</v>
      </c>
      <c r="M39" s="65">
        <f>IF(METHANE!E57&gt;=0,METHANE!E57*DEFAULTS!$B$55*DEFAULTS!$B$53/DEFAULTS!$B$54,"")</f>
        <v>0</v>
      </c>
    </row>
    <row r="40" spans="11:13" ht="16.5" customHeight="1">
      <c r="K40" s="22">
        <f>METHANE!B58</f>
        <v>2053</v>
      </c>
      <c r="L40" s="176">
        <f>IF(METHANE!E58&gt;=0,METHANE!E58,"")</f>
        <v>0</v>
      </c>
      <c r="M40" s="65">
        <f>IF(METHANE!E58&gt;=0,METHANE!E58*DEFAULTS!$B$55*DEFAULTS!$B$53/DEFAULTS!$B$54,"")</f>
        <v>0</v>
      </c>
    </row>
    <row r="41" spans="11:13" ht="16.5" customHeight="1">
      <c r="K41" s="22">
        <f>METHANE!B59</f>
        <v>2054</v>
      </c>
      <c r="L41" s="176">
        <f>IF(METHANE!E59&gt;=0,METHANE!E59,"")</f>
        <v>0</v>
      </c>
      <c r="M41" s="65">
        <f>IF(METHANE!E59&gt;=0,METHANE!E59*DEFAULTS!$B$55*DEFAULTS!$B$53/DEFAULTS!$B$54,"")</f>
        <v>0</v>
      </c>
    </row>
    <row r="42" spans="11:13" ht="16.5" customHeight="1">
      <c r="K42" s="22">
        <f>METHANE!B60</f>
        <v>2055</v>
      </c>
      <c r="L42" s="176">
        <f>IF(METHANE!E60&gt;=0,METHANE!E60,"")</f>
        <v>0</v>
      </c>
      <c r="M42" s="65">
        <f>IF(METHANE!E60&gt;=0,METHANE!E60*DEFAULTS!$B$55*DEFAULTS!$B$53/DEFAULTS!$B$54,"")</f>
        <v>0</v>
      </c>
    </row>
    <row r="43" spans="11:13" ht="16.5" customHeight="1">
      <c r="K43" s="148">
        <f>METHANE!B61</f>
        <v>2056</v>
      </c>
      <c r="L43" s="176">
        <f>IF(METHANE!E61&gt;=0,METHANE!E61,"")</f>
        <v>0</v>
      </c>
      <c r="M43" s="65">
        <f>IF(METHANE!E61&gt;=0,METHANE!E61*DEFAULTS!$B$55*DEFAULTS!$B$53/DEFAULTS!$B$54,"")</f>
        <v>0</v>
      </c>
    </row>
    <row r="44" spans="11:13" ht="16.5" customHeight="1">
      <c r="K44" s="22">
        <f>METHANE!B62</f>
        <v>2057</v>
      </c>
      <c r="L44" s="176">
        <f>IF(METHANE!E62&gt;=0,METHANE!E62,"")</f>
        <v>0</v>
      </c>
      <c r="M44" s="65">
        <f>IF(METHANE!E62&gt;=0,METHANE!E62*DEFAULTS!$B$55*DEFAULTS!$B$53/DEFAULTS!$B$54,"")</f>
        <v>0</v>
      </c>
    </row>
    <row r="45" spans="11:13" ht="16.5" customHeight="1">
      <c r="K45" s="22">
        <f>METHANE!B63</f>
        <v>2058</v>
      </c>
      <c r="L45" s="176">
        <f>IF(METHANE!E63&gt;=0,METHANE!E63,"")</f>
        <v>0</v>
      </c>
      <c r="M45" s="65">
        <f>IF(METHANE!E63&gt;=0,METHANE!E63*DEFAULTS!$B$55*DEFAULTS!$B$53/DEFAULTS!$B$54,"")</f>
        <v>0</v>
      </c>
    </row>
    <row r="46" spans="11:13" ht="16.5" customHeight="1">
      <c r="K46" s="22">
        <f>METHANE!B64</f>
        <v>2059</v>
      </c>
      <c r="L46" s="176">
        <f>IF(METHANE!E64&gt;=0,METHANE!E64,"")</f>
        <v>0</v>
      </c>
      <c r="M46" s="65">
        <f>IF(METHANE!E64&gt;=0,METHANE!E64*DEFAULTS!$B$55*DEFAULTS!$B$53/DEFAULTS!$B$54,"")</f>
        <v>0</v>
      </c>
    </row>
    <row r="47" spans="11:13" ht="16.5" customHeight="1">
      <c r="K47" s="22">
        <f>METHANE!B65</f>
        <v>2060</v>
      </c>
      <c r="L47" s="176">
        <f>IF(METHANE!E65&gt;=0,METHANE!E65,"")</f>
        <v>0</v>
      </c>
      <c r="M47" s="65">
        <f>IF(METHANE!E65&gt;=0,METHANE!E65*DEFAULTS!$B$55*DEFAULTS!$B$53/DEFAULTS!$B$54,"")</f>
        <v>0</v>
      </c>
    </row>
    <row r="48" spans="11:13" ht="16.5" customHeight="1">
      <c r="K48" s="22">
        <f>METHANE!B66</f>
        <v>2061</v>
      </c>
      <c r="L48" s="176">
        <f>IF(METHANE!E66&gt;=0,METHANE!E66,"")</f>
        <v>0</v>
      </c>
      <c r="M48" s="65">
        <f>IF(METHANE!E66&gt;=0,METHANE!E66*DEFAULTS!$B$55*DEFAULTS!$B$53/DEFAULTS!$B$54,"")</f>
        <v>0</v>
      </c>
    </row>
    <row r="49" spans="11:13" ht="16.5" customHeight="1">
      <c r="K49" s="22">
        <f>METHANE!B67</f>
        <v>2062</v>
      </c>
      <c r="L49" s="176">
        <f>IF(METHANE!E67&gt;=0,METHANE!E67,"")</f>
        <v>0</v>
      </c>
      <c r="M49" s="65">
        <f>IF(METHANE!E67&gt;=0,METHANE!E67*DEFAULTS!$B$55*DEFAULTS!$B$53/DEFAULTS!$B$54,"")</f>
        <v>0</v>
      </c>
    </row>
    <row r="50" spans="11:13" ht="16.5" customHeight="1">
      <c r="K50" s="22">
        <f>METHANE!B68</f>
        <v>2063</v>
      </c>
      <c r="L50" s="176">
        <f>IF(METHANE!E68&gt;=0,METHANE!E68,"")</f>
        <v>0</v>
      </c>
      <c r="M50" s="65">
        <f>IF(METHANE!E68&gt;=0,METHANE!E68*DEFAULTS!$B$55*DEFAULTS!$B$53/DEFAULTS!$B$54,"")</f>
        <v>0</v>
      </c>
    </row>
    <row r="51" spans="11:13" ht="16.5" customHeight="1">
      <c r="K51" s="22">
        <f>METHANE!B69</f>
        <v>2064</v>
      </c>
      <c r="L51" s="176">
        <f>IF(METHANE!E69&gt;=0,METHANE!E69,"")</f>
        <v>0</v>
      </c>
      <c r="M51" s="65">
        <f>IF(METHANE!E69&gt;=0,METHANE!E69*DEFAULTS!$B$55*DEFAULTS!$B$53/DEFAULTS!$B$54,"")</f>
        <v>0</v>
      </c>
    </row>
    <row r="52" spans="11:13" ht="16.5" customHeight="1">
      <c r="K52" s="22">
        <f>METHANE!B70</f>
        <v>2065</v>
      </c>
      <c r="L52" s="176">
        <f>IF(METHANE!E70&gt;=0,METHANE!E70,"")</f>
        <v>0</v>
      </c>
      <c r="M52" s="65">
        <f>IF(METHANE!E70&gt;=0,METHANE!E70*DEFAULTS!$B$55*DEFAULTS!$B$53/DEFAULTS!$B$54,"")</f>
        <v>0</v>
      </c>
    </row>
    <row r="53" spans="11:13" ht="16.5" customHeight="1">
      <c r="K53" s="22">
        <f>METHANE!B71</f>
        <v>2066</v>
      </c>
      <c r="L53" s="176">
        <f>IF(METHANE!E71&gt;=0,METHANE!E71,"")</f>
        <v>0</v>
      </c>
      <c r="M53" s="65">
        <f>IF(METHANE!E71&gt;=0,METHANE!E71*DEFAULTS!$B$55*DEFAULTS!$B$53/DEFAULTS!$B$54,"")</f>
        <v>0</v>
      </c>
    </row>
    <row r="54" spans="11:13" ht="16.5" customHeight="1">
      <c r="K54" s="22">
        <f>METHANE!B72</f>
        <v>2067</v>
      </c>
      <c r="L54" s="176">
        <f>IF(METHANE!E72&gt;=0,METHANE!E72,"")</f>
        <v>0</v>
      </c>
      <c r="M54" s="65">
        <f>IF(METHANE!E72&gt;=0,METHANE!E72*DEFAULTS!$B$55*DEFAULTS!$B$53/DEFAULTS!$B$54,"")</f>
        <v>0</v>
      </c>
    </row>
    <row r="55" spans="11:13" ht="16.5" customHeight="1">
      <c r="K55" s="22">
        <f>METHANE!B73</f>
        <v>2068</v>
      </c>
      <c r="L55" s="176">
        <f>IF(METHANE!E73&gt;=0,METHANE!E73,"")</f>
        <v>0</v>
      </c>
      <c r="M55" s="65">
        <f>IF(METHANE!E73&gt;=0,METHANE!E73*DEFAULTS!$B$55*DEFAULTS!$B$53/DEFAULTS!$B$54,"")</f>
        <v>0</v>
      </c>
    </row>
    <row r="56" spans="11:13" ht="16.5" customHeight="1">
      <c r="K56" s="22">
        <f>METHANE!B74</f>
        <v>2069</v>
      </c>
      <c r="L56" s="176">
        <f>IF(METHANE!E74&gt;=0,METHANE!E74,"")</f>
        <v>0</v>
      </c>
      <c r="M56" s="65">
        <f>IF(METHANE!E74&gt;=0,METHANE!E74*DEFAULTS!$B$55*DEFAULTS!$B$53/DEFAULTS!$B$54,"")</f>
        <v>0</v>
      </c>
    </row>
    <row r="57" spans="11:13" ht="16.5" customHeight="1">
      <c r="K57" s="22">
        <f>METHANE!B75</f>
        <v>2070</v>
      </c>
      <c r="L57" s="176">
        <f>IF(METHANE!E75&gt;=0,METHANE!E75,"")</f>
        <v>0</v>
      </c>
      <c r="M57" s="65">
        <f>IF(METHANE!E75&gt;=0,METHANE!E75*DEFAULTS!$B$55*DEFAULTS!$B$53/DEFAULTS!$B$54,"")</f>
        <v>0</v>
      </c>
    </row>
    <row r="58" spans="11:13" ht="16.5" customHeight="1">
      <c r="K58" s="22">
        <f>METHANE!B76</f>
        <v>2071</v>
      </c>
      <c r="L58" s="176">
        <f>IF(METHANE!E76&gt;=0,METHANE!E76,"")</f>
        <v>0</v>
      </c>
      <c r="M58" s="65">
        <f>IF(METHANE!E76&gt;=0,METHANE!E76*DEFAULTS!$B$55*DEFAULTS!$B$53/DEFAULTS!$B$54,"")</f>
        <v>0</v>
      </c>
    </row>
    <row r="59" spans="11:13" ht="16.5" customHeight="1">
      <c r="K59" s="22">
        <f>METHANE!B77</f>
        <v>2072</v>
      </c>
      <c r="L59" s="176">
        <f>IF(METHANE!E77&gt;=0,METHANE!E77,"")</f>
        <v>0</v>
      </c>
      <c r="M59" s="65">
        <f>IF(METHANE!E77&gt;=0,METHANE!E77*DEFAULTS!$B$55*DEFAULTS!$B$53/DEFAULTS!$B$54,"")</f>
        <v>0</v>
      </c>
    </row>
    <row r="60" spans="11:13" ht="16.5" customHeight="1">
      <c r="K60" s="22">
        <f>METHANE!B78</f>
        <v>2073</v>
      </c>
      <c r="L60" s="176">
        <f>IF(METHANE!E78&gt;=0,METHANE!E78,"")</f>
        <v>0</v>
      </c>
      <c r="M60" s="65">
        <f>IF(METHANE!E78&gt;=0,METHANE!E78*DEFAULTS!$B$55*DEFAULTS!$B$53/DEFAULTS!$B$54,"")</f>
        <v>0</v>
      </c>
    </row>
    <row r="61" spans="11:13" ht="16.5" customHeight="1">
      <c r="K61" s="22">
        <f>METHANE!B79</f>
        <v>2074</v>
      </c>
      <c r="L61" s="176">
        <f>IF(METHANE!E79&gt;=0,METHANE!E79,"")</f>
        <v>0</v>
      </c>
      <c r="M61" s="65">
        <f>IF(METHANE!E79&gt;=0,METHANE!E79*DEFAULTS!$B$55*DEFAULTS!$B$53/DEFAULTS!$B$54,"")</f>
        <v>0</v>
      </c>
    </row>
    <row r="62" spans="11:13" ht="16.5" customHeight="1">
      <c r="K62" s="22">
        <f>METHANE!B80</f>
        <v>2075</v>
      </c>
      <c r="L62" s="176">
        <f>IF(METHANE!E80&gt;=0,METHANE!E80,"")</f>
        <v>0</v>
      </c>
      <c r="M62" s="65">
        <f>IF(METHANE!E80&gt;=0,METHANE!E80*DEFAULTS!$B$55*DEFAULTS!$B$53/DEFAULTS!$B$54,"")</f>
        <v>0</v>
      </c>
    </row>
    <row r="63" spans="11:13" ht="16.5" customHeight="1">
      <c r="K63" s="22">
        <f>METHANE!B81</f>
        <v>2076</v>
      </c>
      <c r="L63" s="176">
        <f>IF(METHANE!E81&gt;=0,METHANE!E81,"")</f>
        <v>0</v>
      </c>
      <c r="M63" s="65">
        <f>IF(METHANE!E81&gt;=0,METHANE!E81*DEFAULTS!$B$55*DEFAULTS!$B$53/DEFAULTS!$B$54,"")</f>
        <v>0</v>
      </c>
    </row>
    <row r="64" spans="11:13" ht="16.5" customHeight="1">
      <c r="K64" s="22">
        <f>METHANE!B82</f>
        <v>2077</v>
      </c>
      <c r="L64" s="176">
        <f>IF(METHANE!E82&gt;=0,METHANE!E82,"")</f>
        <v>0</v>
      </c>
      <c r="M64" s="65">
        <f>IF(METHANE!E82&gt;=0,METHANE!E82*DEFAULTS!$B$55*DEFAULTS!$B$53/DEFAULTS!$B$54,"")</f>
        <v>0</v>
      </c>
    </row>
    <row r="65" spans="11:13" ht="16.5" customHeight="1">
      <c r="K65" s="22">
        <f>METHANE!B83</f>
        <v>2078</v>
      </c>
      <c r="L65" s="176">
        <f>IF(METHANE!E83&gt;=0,METHANE!E83,"")</f>
        <v>0</v>
      </c>
      <c r="M65" s="65">
        <f>IF(METHANE!E83&gt;=0,METHANE!E83*DEFAULTS!$B$55*DEFAULTS!$B$53/DEFAULTS!$B$54,"")</f>
        <v>0</v>
      </c>
    </row>
    <row r="66" spans="11:13" ht="16.5" customHeight="1">
      <c r="K66" s="22">
        <f>METHANE!B84</f>
        <v>2079</v>
      </c>
      <c r="L66" s="176">
        <f>IF(METHANE!E84&gt;=0,METHANE!E84,"")</f>
        <v>0</v>
      </c>
      <c r="M66" s="65">
        <f>IF(METHANE!E84&gt;=0,METHANE!E84*DEFAULTS!$B$55*DEFAULTS!$B$53/DEFAULTS!$B$54,"")</f>
        <v>0</v>
      </c>
    </row>
    <row r="67" spans="11:13" ht="16.5" customHeight="1">
      <c r="K67" s="22">
        <f>METHANE!B85</f>
        <v>2080</v>
      </c>
      <c r="L67" s="176">
        <f>IF(METHANE!E85&gt;=0,METHANE!E85,"")</f>
        <v>0</v>
      </c>
      <c r="M67" s="65">
        <f>IF(METHANE!E85&gt;=0,METHANE!E85*DEFAULTS!$B$55*DEFAULTS!$B$53/DEFAULTS!$B$54,"")</f>
        <v>0</v>
      </c>
    </row>
    <row r="68" spans="11:13" ht="16.5" customHeight="1">
      <c r="K68" s="22">
        <f>METHANE!B86</f>
        <v>2081</v>
      </c>
      <c r="L68" s="176">
        <f>IF(METHANE!E86&gt;=0,METHANE!E86,"")</f>
        <v>0</v>
      </c>
      <c r="M68" s="65">
        <f>IF(METHANE!E86&gt;=0,METHANE!E86*DEFAULTS!$B$55*DEFAULTS!$B$53/DEFAULTS!$B$54,"")</f>
        <v>0</v>
      </c>
    </row>
    <row r="69" spans="11:13" ht="16.5" customHeight="1">
      <c r="K69" s="22">
        <f>METHANE!B87</f>
        <v>2082</v>
      </c>
      <c r="L69" s="176">
        <f>IF(METHANE!E87&gt;=0,METHANE!E87,"")</f>
        <v>0</v>
      </c>
      <c r="M69" s="65">
        <f>IF(METHANE!E87&gt;=0,METHANE!E87*DEFAULTS!$B$55*DEFAULTS!$B$53/DEFAULTS!$B$54,"")</f>
        <v>0</v>
      </c>
    </row>
    <row r="70" spans="11:13" ht="16.5" customHeight="1">
      <c r="K70" s="22">
        <f>METHANE!B88</f>
        <v>2083</v>
      </c>
      <c r="L70" s="176">
        <f>IF(METHANE!E88&gt;=0,METHANE!E88,"")</f>
        <v>0</v>
      </c>
      <c r="M70" s="65">
        <f>IF(METHANE!E88&gt;=0,METHANE!E88*DEFAULTS!$B$55*DEFAULTS!$B$53/DEFAULTS!$B$54,"")</f>
        <v>0</v>
      </c>
    </row>
    <row r="71" spans="11:13" ht="16.5" customHeight="1">
      <c r="K71" s="22">
        <f>METHANE!B89</f>
        <v>2084</v>
      </c>
      <c r="L71" s="176">
        <f>IF(METHANE!E89&gt;=0,METHANE!E89,"")</f>
        <v>0</v>
      </c>
      <c r="M71" s="65">
        <f>IF(METHANE!E89&gt;=0,METHANE!E89*DEFAULTS!$B$55*DEFAULTS!$B$53/DEFAULTS!$B$54,"")</f>
        <v>0</v>
      </c>
    </row>
    <row r="72" spans="11:13" ht="16.5" customHeight="1">
      <c r="K72" s="22">
        <f>METHANE!B90</f>
        <v>2085</v>
      </c>
      <c r="L72" s="176">
        <f>IF(METHANE!E90&gt;=0,METHANE!E90,"")</f>
        <v>0</v>
      </c>
      <c r="M72" s="65">
        <f>IF(METHANE!E90&gt;=0,METHANE!E90*DEFAULTS!$B$55*DEFAULTS!$B$53/DEFAULTS!$B$54,"")</f>
        <v>0</v>
      </c>
    </row>
    <row r="73" spans="11:13" ht="16.5" customHeight="1">
      <c r="K73" s="22">
        <f>METHANE!B91</f>
        <v>2086</v>
      </c>
      <c r="L73" s="176">
        <f>IF(METHANE!E91&gt;=0,METHANE!E91,"")</f>
        <v>0</v>
      </c>
      <c r="M73" s="65">
        <f>IF(METHANE!E91&gt;=0,METHANE!E91*DEFAULTS!$B$55*DEFAULTS!$B$53/DEFAULTS!$B$54,"")</f>
        <v>0</v>
      </c>
    </row>
    <row r="74" spans="11:13" ht="16.5" customHeight="1">
      <c r="K74" s="22">
        <f>METHANE!B92</f>
        <v>2087</v>
      </c>
      <c r="L74" s="176">
        <f>IF(METHANE!E92&gt;=0,METHANE!E92,"")</f>
        <v>0</v>
      </c>
      <c r="M74" s="65">
        <f>IF(METHANE!E92&gt;=0,METHANE!E92*DEFAULTS!$B$55*DEFAULTS!$B$53/DEFAULTS!$B$54,"")</f>
        <v>0</v>
      </c>
    </row>
    <row r="75" spans="11:13" ht="16.5" customHeight="1">
      <c r="K75" s="22">
        <f>METHANE!B93</f>
        <v>2088</v>
      </c>
      <c r="L75" s="176">
        <f>IF(METHANE!E93&gt;=0,METHANE!E93,"")</f>
        <v>0</v>
      </c>
      <c r="M75" s="65">
        <f>IF(METHANE!E93&gt;=0,METHANE!E93*DEFAULTS!$B$55*DEFAULTS!$B$53/DEFAULTS!$B$54,"")</f>
        <v>0</v>
      </c>
    </row>
    <row r="76" spans="11:13" ht="16.5" customHeight="1">
      <c r="K76" s="22">
        <f>METHANE!B94</f>
        <v>2089</v>
      </c>
      <c r="L76" s="176">
        <f>IF(METHANE!E94&gt;=0,METHANE!E94,"")</f>
        <v>0</v>
      </c>
      <c r="M76" s="65">
        <f>IF(METHANE!E94&gt;=0,METHANE!E94*DEFAULTS!$B$55*DEFAULTS!$B$53/DEFAULTS!$B$54,"")</f>
        <v>0</v>
      </c>
    </row>
    <row r="77" spans="11:13" ht="16.5" customHeight="1">
      <c r="K77" s="22">
        <f>METHANE!B95</f>
        <v>2090</v>
      </c>
      <c r="L77" s="176">
        <f>IF(METHANE!E95&gt;=0,METHANE!E95,"")</f>
        <v>0</v>
      </c>
      <c r="M77" s="65">
        <f>IF(METHANE!E95&gt;=0,METHANE!E95*DEFAULTS!$B$55*DEFAULTS!$B$53/DEFAULTS!$B$54,"")</f>
        <v>0</v>
      </c>
    </row>
    <row r="78" spans="11:13" ht="16.5" customHeight="1">
      <c r="K78" s="22">
        <f>METHANE!B96</f>
        <v>2091</v>
      </c>
      <c r="L78" s="176">
        <f>IF(METHANE!E96&gt;=0,METHANE!E96,"")</f>
        <v>0</v>
      </c>
      <c r="M78" s="65">
        <f>IF(METHANE!E96&gt;=0,METHANE!E96*DEFAULTS!$B$55*DEFAULTS!$B$53/DEFAULTS!$B$54,"")</f>
        <v>0</v>
      </c>
    </row>
    <row r="79" spans="11:13" ht="16.5" customHeight="1">
      <c r="K79" s="22">
        <f>METHANE!B97</f>
        <v>2092</v>
      </c>
      <c r="L79" s="176">
        <f>IF(METHANE!E97&gt;=0,METHANE!E97,"")</f>
        <v>0</v>
      </c>
      <c r="M79" s="65">
        <f>IF(METHANE!E97&gt;=0,METHANE!E97*DEFAULTS!$B$55*DEFAULTS!$B$53/DEFAULTS!$B$54,"")</f>
        <v>0</v>
      </c>
    </row>
    <row r="80" spans="11:13" ht="16.5" customHeight="1">
      <c r="K80" s="22">
        <f>METHANE!B98</f>
        <v>2093</v>
      </c>
      <c r="L80" s="176">
        <f>IF(METHANE!E98&gt;=0,METHANE!E98,"")</f>
        <v>0</v>
      </c>
      <c r="M80" s="65">
        <f>IF(METHANE!E98&gt;=0,METHANE!E98*DEFAULTS!$B$55*DEFAULTS!$B$53/DEFAULTS!$B$54,"")</f>
        <v>0</v>
      </c>
    </row>
    <row r="81" spans="11:13" ht="16.5" customHeight="1">
      <c r="K81" s="22">
        <f>METHANE!B99</f>
        <v>2094</v>
      </c>
      <c r="L81" s="176">
        <f>IF(METHANE!E99&gt;=0,METHANE!E99,"")</f>
        <v>0</v>
      </c>
      <c r="M81" s="65">
        <f>IF(METHANE!E99&gt;=0,METHANE!E99*DEFAULTS!$B$55*DEFAULTS!$B$53/DEFAULTS!$B$54,"")</f>
        <v>0</v>
      </c>
    </row>
    <row r="82" spans="11:13" ht="16.5" customHeight="1">
      <c r="K82" s="22">
        <f>METHANE!B100</f>
        <v>2095</v>
      </c>
      <c r="L82" s="176">
        <f>IF(METHANE!E100&gt;=0,METHANE!E100,"")</f>
        <v>0</v>
      </c>
      <c r="M82" s="65">
        <f>IF(METHANE!E100&gt;=0,METHANE!E100*DEFAULTS!$B$55*DEFAULTS!$B$53/DEFAULTS!$B$54,"")</f>
        <v>0</v>
      </c>
    </row>
    <row r="83" spans="11:13" ht="16.5" customHeight="1">
      <c r="K83" s="22">
        <f>METHANE!B101</f>
        <v>2096</v>
      </c>
      <c r="L83" s="176">
        <f>IF(METHANE!E101&gt;=0,METHANE!E101,"")</f>
        <v>0</v>
      </c>
      <c r="M83" s="65">
        <f>IF(METHANE!E101&gt;=0,METHANE!E101*DEFAULTS!$B$55*DEFAULTS!$B$53/DEFAULTS!$B$54,"")</f>
        <v>0</v>
      </c>
    </row>
    <row r="84" spans="11:13" ht="16.5" customHeight="1" thickBot="1">
      <c r="K84" s="175">
        <f>METHANE!B102</f>
        <v>2097</v>
      </c>
      <c r="L84" s="177">
        <f>IF(METHANE!E102&gt;=0,METHANE!E102,"")</f>
        <v>0</v>
      </c>
      <c r="M84" s="439">
        <f>IF(METHANE!E102&gt;=0,METHANE!E102*DEFAULTS!$B$55*DEFAULTS!$B$53/DEFAULTS!$B$54,"")</f>
        <v>0</v>
      </c>
    </row>
    <row r="85" spans="11:13" ht="13.5" thickTop="1"/>
  </sheetData>
  <sheetProtection password="A4D6" sheet="1" objects="1" scenarios="1"/>
  <mergeCells count="3">
    <mergeCell ref="B23:I27"/>
    <mergeCell ref="G1:J1"/>
    <mergeCell ref="G4:J7"/>
  </mergeCells>
  <phoneticPr fontId="51" type="noConversion"/>
  <printOptions horizontalCentered="1"/>
  <pageMargins left="0.2" right="0.2" top="0.5" bottom="0.5" header="0.2" footer="0.2"/>
  <pageSetup fitToHeight="2" orientation="portrait" blackAndWhite="1" r:id="rId1"/>
  <headerFooter alignWithMargins="0">
    <oddHeader>&amp;L&amp;9&amp;F&amp;R&amp;9&amp;D</oddHeader>
    <oddFooter>&amp;C&amp;9INPUT REVIEW -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P164"/>
  <sheetViews>
    <sheetView showGridLines="0" zoomScaleNormal="100" workbookViewId="0"/>
  </sheetViews>
  <sheetFormatPr defaultRowHeight="12.75"/>
  <cols>
    <col min="1" max="1" width="17.28515625" style="17" customWidth="1"/>
    <col min="2" max="2" width="8.42578125" style="17" customWidth="1"/>
    <col min="3" max="6" width="12.7109375" style="17" customWidth="1"/>
    <col min="7" max="7" width="7.5703125" style="17" customWidth="1"/>
    <col min="8" max="8" width="7.140625" style="17" customWidth="1"/>
    <col min="9" max="9" width="8.5703125" style="17" bestFit="1" customWidth="1"/>
    <col min="10" max="10" width="18.7109375" style="17" bestFit="1" customWidth="1"/>
    <col min="11" max="11" width="5.85546875" style="17" customWidth="1"/>
    <col min="12" max="12" width="8.7109375" style="17" bestFit="1" customWidth="1"/>
    <col min="13" max="13" width="11.5703125" style="17" bestFit="1" customWidth="1"/>
    <col min="14" max="14" width="5.85546875" style="17" bestFit="1" customWidth="1"/>
    <col min="15" max="15" width="7.7109375" style="17" bestFit="1" customWidth="1"/>
    <col min="16" max="16" width="11.42578125" style="17" bestFit="1" customWidth="1"/>
    <col min="17" max="17" width="5.85546875" style="17" customWidth="1"/>
    <col min="18" max="18" width="7.7109375" style="17" bestFit="1" customWidth="1"/>
    <col min="19" max="19" width="11.42578125" style="17" bestFit="1" customWidth="1"/>
    <col min="20" max="20" width="5.85546875" style="17" bestFit="1" customWidth="1"/>
    <col min="21" max="21" width="7.7109375" style="17" bestFit="1" customWidth="1"/>
    <col min="22" max="22" width="11.42578125" style="17" bestFit="1" customWidth="1"/>
    <col min="23" max="23" width="5.85546875" style="17" bestFit="1" customWidth="1"/>
    <col min="24" max="24" width="7.7109375" style="17" bestFit="1" customWidth="1"/>
    <col min="25" max="25" width="11.42578125" style="17" bestFit="1" customWidth="1"/>
    <col min="26" max="26" width="5.85546875" style="17" bestFit="1" customWidth="1"/>
    <col min="27" max="27" width="7.7109375" style="17" bestFit="1" customWidth="1"/>
    <col min="28" max="28" width="11.42578125" style="17" bestFit="1" customWidth="1"/>
    <col min="29" max="29" width="5.85546875" style="17" bestFit="1" customWidth="1"/>
    <col min="30" max="30" width="7.7109375" style="17" bestFit="1" customWidth="1"/>
    <col min="31" max="31" width="11.42578125" style="17" bestFit="1" customWidth="1"/>
    <col min="32" max="32" width="5.85546875" style="17" bestFit="1" customWidth="1"/>
    <col min="33" max="33" width="7.7109375" style="17" bestFit="1" customWidth="1"/>
    <col min="34" max="34" width="11.42578125" style="17" bestFit="1" customWidth="1"/>
    <col min="35" max="35" width="5.85546875" style="17" bestFit="1" customWidth="1"/>
    <col min="36" max="36" width="7.7109375" style="17" bestFit="1" customWidth="1"/>
    <col min="37" max="37" width="11.42578125" style="17" bestFit="1" customWidth="1"/>
    <col min="38" max="38" width="5.85546875" style="17" bestFit="1" customWidth="1"/>
    <col min="39" max="39" width="7.7109375" style="17" bestFit="1" customWidth="1"/>
    <col min="40" max="40" width="11.42578125" style="17" bestFit="1" customWidth="1"/>
    <col min="41" max="41" width="5.85546875" style="17" bestFit="1" customWidth="1"/>
    <col min="42" max="42" width="7.7109375" style="17" bestFit="1" customWidth="1"/>
    <col min="43" max="43" width="11.42578125" style="17" bestFit="1" customWidth="1"/>
    <col min="44" max="44" width="5.85546875" style="17" bestFit="1" customWidth="1"/>
    <col min="45" max="45" width="7.7109375" style="17" bestFit="1" customWidth="1"/>
    <col min="46" max="46" width="11.42578125" style="17" bestFit="1" customWidth="1"/>
    <col min="47" max="47" width="5.85546875" style="17" bestFit="1" customWidth="1"/>
    <col min="48" max="48" width="7.7109375" style="17" bestFit="1" customWidth="1"/>
    <col min="49" max="49" width="11.42578125" style="17" bestFit="1" customWidth="1"/>
    <col min="50" max="50" width="5.85546875" style="17" bestFit="1" customWidth="1"/>
    <col min="51" max="51" width="7.7109375" style="17" bestFit="1" customWidth="1"/>
    <col min="52" max="52" width="11.42578125" style="17" bestFit="1" customWidth="1"/>
    <col min="53" max="53" width="5.85546875" style="17" bestFit="1" customWidth="1"/>
    <col min="54" max="54" width="7.7109375" style="17" bestFit="1" customWidth="1"/>
    <col min="55" max="55" width="11.42578125" style="17" bestFit="1" customWidth="1"/>
    <col min="56" max="56" width="5.85546875" style="17" bestFit="1" customWidth="1"/>
    <col min="57" max="57" width="7.7109375" style="17" bestFit="1" customWidth="1"/>
    <col min="58" max="58" width="11.42578125" style="17" bestFit="1" customWidth="1"/>
    <col min="59" max="59" width="5.85546875" style="17" bestFit="1" customWidth="1"/>
    <col min="60" max="60" width="7.7109375" style="17" bestFit="1" customWidth="1"/>
    <col min="61" max="61" width="11.42578125" style="17" bestFit="1" customWidth="1"/>
    <col min="62" max="62" width="5.85546875" style="17" bestFit="1" customWidth="1"/>
    <col min="63" max="63" width="7.7109375" style="17" bestFit="1" customWidth="1"/>
    <col min="64" max="64" width="11.42578125" style="17" bestFit="1" customWidth="1"/>
    <col min="65" max="65" width="5.85546875" style="17" bestFit="1" customWidth="1"/>
    <col min="66" max="66" width="7.7109375" style="17" bestFit="1" customWidth="1"/>
    <col min="67" max="67" width="11.42578125" style="17" bestFit="1" customWidth="1"/>
    <col min="68" max="68" width="5.85546875" style="17" bestFit="1" customWidth="1"/>
    <col min="69" max="69" width="7.7109375" style="17" bestFit="1" customWidth="1"/>
    <col min="70" max="70" width="11.42578125" style="17" bestFit="1" customWidth="1"/>
    <col min="71" max="71" width="5.85546875" style="17" bestFit="1" customWidth="1"/>
    <col min="72" max="72" width="7.7109375" style="17" bestFit="1" customWidth="1"/>
    <col min="73" max="73" width="11.42578125" style="17" bestFit="1" customWidth="1"/>
    <col min="74" max="74" width="5.85546875" style="17" bestFit="1" customWidth="1"/>
    <col min="75" max="75" width="7.7109375" style="17" bestFit="1" customWidth="1"/>
    <col min="76" max="76" width="11.42578125" style="17" bestFit="1" customWidth="1"/>
    <col min="77" max="77" width="5.85546875" style="17" bestFit="1" customWidth="1"/>
    <col min="78" max="78" width="7.7109375" style="17" bestFit="1" customWidth="1"/>
    <col min="79" max="79" width="11.42578125" style="17" bestFit="1" customWidth="1"/>
    <col min="80" max="80" width="5.85546875" style="17" bestFit="1" customWidth="1"/>
    <col min="81" max="81" width="7.7109375" style="17" bestFit="1" customWidth="1"/>
    <col min="82" max="82" width="11.42578125" style="17" bestFit="1" customWidth="1"/>
    <col min="83" max="83" width="5.85546875" style="17" bestFit="1" customWidth="1"/>
    <col min="84" max="84" width="7.7109375" style="17" bestFit="1" customWidth="1"/>
    <col min="85" max="85" width="11.42578125" style="17" bestFit="1" customWidth="1"/>
    <col min="86" max="86" width="5.85546875" style="17" bestFit="1" customWidth="1"/>
    <col min="87" max="87" width="7.7109375" style="17" bestFit="1" customWidth="1"/>
    <col min="88" max="88" width="11.42578125" style="17" bestFit="1" customWidth="1"/>
    <col min="89" max="89" width="5.85546875" style="17" bestFit="1" customWidth="1"/>
    <col min="90" max="90" width="7.7109375" style="17" bestFit="1" customWidth="1"/>
    <col min="91" max="91" width="11.42578125" style="17" bestFit="1" customWidth="1"/>
    <col min="92" max="92" width="5.85546875" style="17" bestFit="1" customWidth="1"/>
    <col min="93" max="93" width="7.7109375" style="17" bestFit="1" customWidth="1"/>
    <col min="94" max="94" width="11.42578125" style="17" bestFit="1" customWidth="1"/>
    <col min="95" max="95" width="5.85546875" style="17" bestFit="1" customWidth="1"/>
    <col min="96" max="96" width="7.7109375" style="17" bestFit="1" customWidth="1"/>
    <col min="97" max="97" width="11.42578125" style="17" bestFit="1" customWidth="1"/>
    <col min="98" max="98" width="5.85546875" style="17" bestFit="1" customWidth="1"/>
    <col min="99" max="99" width="7.7109375" style="17" bestFit="1" customWidth="1"/>
    <col min="100" max="100" width="11.42578125" style="17" bestFit="1" customWidth="1"/>
    <col min="101" max="101" width="5.85546875" style="17" bestFit="1" customWidth="1"/>
    <col min="102" max="102" width="7.7109375" style="17" bestFit="1" customWidth="1"/>
    <col min="103" max="103" width="11.42578125" style="17" bestFit="1" customWidth="1"/>
    <col min="104" max="104" width="5.85546875" style="17" bestFit="1" customWidth="1"/>
    <col min="105" max="105" width="7.7109375" style="17" bestFit="1" customWidth="1"/>
    <col min="106" max="106" width="11.42578125" style="17" bestFit="1" customWidth="1"/>
    <col min="107" max="107" width="5.85546875" style="17" bestFit="1" customWidth="1"/>
    <col min="108" max="108" width="7.7109375" style="17" bestFit="1" customWidth="1"/>
    <col min="109" max="109" width="11.42578125" style="17" bestFit="1" customWidth="1"/>
    <col min="110" max="110" width="5.85546875" style="17" bestFit="1" customWidth="1"/>
    <col min="111" max="111" width="7.7109375" style="17" bestFit="1" customWidth="1"/>
    <col min="112" max="112" width="11.42578125" style="17" bestFit="1" customWidth="1"/>
    <col min="113" max="113" width="5.85546875" style="17" bestFit="1" customWidth="1"/>
    <col min="114" max="114" width="7.7109375" style="17" bestFit="1" customWidth="1"/>
    <col min="115" max="115" width="11.42578125" style="17" bestFit="1" customWidth="1"/>
    <col min="116" max="116" width="5.85546875" style="17" bestFit="1" customWidth="1"/>
    <col min="117" max="117" width="7.7109375" style="17" bestFit="1" customWidth="1"/>
    <col min="118" max="118" width="11.42578125" style="17" bestFit="1" customWidth="1"/>
    <col min="119" max="119" width="5.85546875" style="17" bestFit="1" customWidth="1"/>
    <col min="120" max="120" width="7.7109375" style="17" bestFit="1" customWidth="1"/>
    <col min="121" max="121" width="11.42578125" style="17" bestFit="1" customWidth="1"/>
    <col min="122" max="122" width="5.85546875" style="17" bestFit="1" customWidth="1"/>
    <col min="123" max="123" width="7.7109375" style="17" bestFit="1" customWidth="1"/>
    <col min="124" max="124" width="11.42578125" style="17" bestFit="1" customWidth="1"/>
    <col min="125" max="125" width="5.85546875" style="17" bestFit="1" customWidth="1"/>
    <col min="126" max="126" width="7.7109375" style="17" bestFit="1" customWidth="1"/>
    <col min="127" max="127" width="11.42578125" style="17" bestFit="1" customWidth="1"/>
    <col min="128" max="128" width="5.85546875" style="17" bestFit="1" customWidth="1"/>
    <col min="129" max="129" width="7.7109375" style="17" bestFit="1" customWidth="1"/>
    <col min="130" max="130" width="11.42578125" style="17" bestFit="1" customWidth="1"/>
    <col min="131" max="131" width="5.85546875" style="17" bestFit="1" customWidth="1"/>
    <col min="132" max="132" width="7.7109375" style="17" bestFit="1" customWidth="1"/>
    <col min="133" max="133" width="11.42578125" style="17" bestFit="1" customWidth="1"/>
    <col min="134" max="134" width="5.85546875" style="17" bestFit="1" customWidth="1"/>
    <col min="135" max="135" width="7.7109375" style="17" bestFit="1" customWidth="1"/>
    <col min="136" max="136" width="11.42578125" style="17" bestFit="1" customWidth="1"/>
    <col min="137" max="137" width="5.85546875" style="17" bestFit="1" customWidth="1"/>
    <col min="138" max="138" width="7.7109375" style="17" bestFit="1" customWidth="1"/>
    <col min="139" max="139" width="11.42578125" style="17" bestFit="1" customWidth="1"/>
    <col min="140" max="140" width="5.85546875" style="17" bestFit="1" customWidth="1"/>
    <col min="141" max="141" width="7.7109375" style="17" bestFit="1" customWidth="1"/>
    <col min="142" max="142" width="11.42578125" style="17" bestFit="1" customWidth="1"/>
    <col min="143" max="143" width="5.85546875" style="17" bestFit="1" customWidth="1"/>
    <col min="144" max="144" width="7.7109375" style="17" bestFit="1" customWidth="1"/>
    <col min="145" max="145" width="11.42578125" style="17" bestFit="1" customWidth="1"/>
    <col min="146" max="146" width="5.85546875" style="17" bestFit="1" customWidth="1"/>
    <col min="147" max="147" width="7.7109375" style="17" bestFit="1" customWidth="1"/>
    <col min="148" max="148" width="11.42578125" style="17" bestFit="1" customWidth="1"/>
    <col min="149" max="149" width="5.85546875" style="17" bestFit="1" customWidth="1"/>
    <col min="150" max="150" width="7.7109375" style="17" bestFit="1" customWidth="1"/>
    <col min="151" max="151" width="11.42578125" style="17" bestFit="1" customWidth="1"/>
    <col min="152" max="152" width="5.85546875" style="17" bestFit="1" customWidth="1"/>
    <col min="153" max="153" width="7.7109375" style="17" bestFit="1" customWidth="1"/>
    <col min="154" max="154" width="11.42578125" style="17" bestFit="1" customWidth="1"/>
    <col min="155" max="155" width="5.85546875" style="17" bestFit="1" customWidth="1"/>
    <col min="156" max="156" width="7.7109375" style="17" bestFit="1" customWidth="1"/>
    <col min="157" max="157" width="11.42578125" style="17" bestFit="1" customWidth="1"/>
    <col min="158" max="158" width="5.85546875" style="17" bestFit="1" customWidth="1"/>
    <col min="159" max="159" width="7.7109375" style="17" bestFit="1" customWidth="1"/>
    <col min="160" max="160" width="11.42578125" style="17" bestFit="1" customWidth="1"/>
    <col min="161" max="161" width="5.85546875" style="17" bestFit="1" customWidth="1"/>
    <col min="162" max="162" width="7.7109375" style="17" bestFit="1" customWidth="1"/>
    <col min="163" max="163" width="11.42578125" style="17" bestFit="1" customWidth="1"/>
    <col min="164" max="164" width="5.85546875" style="17" bestFit="1" customWidth="1"/>
    <col min="165" max="165" width="7.7109375" style="17" bestFit="1" customWidth="1"/>
    <col min="166" max="166" width="11.42578125" style="17" bestFit="1" customWidth="1"/>
    <col min="167" max="167" width="5.85546875" style="17" bestFit="1" customWidth="1"/>
    <col min="168" max="168" width="7.7109375" style="17" bestFit="1" customWidth="1"/>
    <col min="169" max="169" width="11.42578125" style="17" bestFit="1" customWidth="1"/>
    <col min="170" max="170" width="5.85546875" style="17" bestFit="1" customWidth="1"/>
    <col min="171" max="171" width="7.7109375" style="17" bestFit="1" customWidth="1"/>
    <col min="172" max="172" width="11.42578125" style="17" bestFit="1" customWidth="1"/>
    <col min="173" max="173" width="5.85546875" style="17" bestFit="1" customWidth="1"/>
    <col min="174" max="174" width="7.7109375" style="17" bestFit="1" customWidth="1"/>
    <col min="175" max="175" width="11.42578125" style="17" bestFit="1" customWidth="1"/>
    <col min="176" max="176" width="5.85546875" style="17" bestFit="1" customWidth="1"/>
    <col min="177" max="177" width="7.7109375" style="17" bestFit="1" customWidth="1"/>
    <col min="178" max="178" width="11.42578125" style="17" bestFit="1" customWidth="1"/>
    <col min="179" max="179" width="5.85546875" style="17" bestFit="1" customWidth="1"/>
    <col min="180" max="180" width="7.7109375" style="17" bestFit="1" customWidth="1"/>
    <col min="181" max="181" width="11.42578125" style="17" bestFit="1" customWidth="1"/>
    <col min="182" max="182" width="5.85546875" style="17" bestFit="1" customWidth="1"/>
    <col min="183" max="183" width="7.7109375" style="17" bestFit="1" customWidth="1"/>
    <col min="184" max="184" width="11.42578125" style="17" bestFit="1" customWidth="1"/>
    <col min="185" max="185" width="5.85546875" style="17" bestFit="1" customWidth="1"/>
    <col min="186" max="186" width="7.7109375" style="17" bestFit="1" customWidth="1"/>
    <col min="187" max="187" width="11.42578125" style="17" bestFit="1" customWidth="1"/>
    <col min="188" max="188" width="5.85546875" style="17" bestFit="1" customWidth="1"/>
    <col min="189" max="189" width="7.7109375" style="17" bestFit="1" customWidth="1"/>
    <col min="190" max="190" width="11.42578125" style="17" bestFit="1" customWidth="1"/>
    <col min="191" max="191" width="5.85546875" style="17" bestFit="1" customWidth="1"/>
    <col min="192" max="192" width="7.7109375" style="17" bestFit="1" customWidth="1"/>
    <col min="193" max="193" width="11.42578125" style="17" bestFit="1" customWidth="1"/>
    <col min="194" max="194" width="5.85546875" style="17" bestFit="1" customWidth="1"/>
    <col min="195" max="195" width="7.7109375" style="17" bestFit="1" customWidth="1"/>
    <col min="196" max="196" width="11.42578125" style="17" bestFit="1" customWidth="1"/>
    <col min="197" max="197" width="5.85546875" style="17" bestFit="1" customWidth="1"/>
    <col min="198" max="198" width="7.7109375" style="17" bestFit="1" customWidth="1"/>
    <col min="199" max="199" width="11.42578125" style="17" bestFit="1" customWidth="1"/>
    <col min="200" max="200" width="5.85546875" style="17" bestFit="1" customWidth="1"/>
    <col min="201" max="201" width="7.7109375" style="17" bestFit="1" customWidth="1"/>
    <col min="202" max="202" width="11.42578125" style="17" bestFit="1" customWidth="1"/>
    <col min="203" max="203" width="5.85546875" style="17" bestFit="1" customWidth="1"/>
    <col min="204" max="204" width="7.7109375" style="17" bestFit="1" customWidth="1"/>
    <col min="205" max="205" width="11.42578125" style="17" bestFit="1" customWidth="1"/>
    <col min="206" max="206" width="5.85546875" style="17" bestFit="1" customWidth="1"/>
    <col min="207" max="207" width="7.7109375" style="17" bestFit="1" customWidth="1"/>
    <col min="208" max="208" width="11.42578125" style="17" bestFit="1" customWidth="1"/>
    <col min="209" max="209" width="5.85546875" style="17" bestFit="1" customWidth="1"/>
    <col min="210" max="210" width="7.7109375" style="17" bestFit="1" customWidth="1"/>
    <col min="211" max="211" width="11.42578125" style="17" bestFit="1" customWidth="1"/>
    <col min="212" max="212" width="5.85546875" style="17" bestFit="1" customWidth="1"/>
    <col min="213" max="213" width="7.7109375" style="17" bestFit="1" customWidth="1"/>
    <col min="214" max="214" width="11.42578125" style="17" bestFit="1" customWidth="1"/>
    <col min="215" max="215" width="5.85546875" style="17" bestFit="1" customWidth="1"/>
    <col min="216" max="216" width="7.7109375" style="17" bestFit="1" customWidth="1"/>
    <col min="217" max="217" width="11.42578125" style="17" bestFit="1" customWidth="1"/>
    <col min="218" max="218" width="5.85546875" style="17" bestFit="1" customWidth="1"/>
    <col min="219" max="219" width="7.7109375" style="17" bestFit="1" customWidth="1"/>
    <col min="220" max="220" width="11.42578125" style="17" bestFit="1" customWidth="1"/>
    <col min="221" max="221" width="5.85546875" style="17" bestFit="1" customWidth="1"/>
    <col min="222" max="222" width="7.7109375" style="17" bestFit="1" customWidth="1"/>
    <col min="223" max="223" width="11.42578125" style="17" bestFit="1" customWidth="1"/>
    <col min="224" max="224" width="5.85546875" style="17" bestFit="1" customWidth="1"/>
    <col min="225" max="225" width="7.7109375" style="17" bestFit="1" customWidth="1"/>
    <col min="226" max="226" width="11.42578125" style="17" bestFit="1" customWidth="1"/>
    <col min="227" max="227" width="5.85546875" style="17" bestFit="1" customWidth="1"/>
    <col min="228" max="228" width="7.7109375" style="17" bestFit="1" customWidth="1"/>
    <col min="229" max="229" width="11.42578125" style="17" bestFit="1" customWidth="1"/>
    <col min="230" max="230" width="5.85546875" style="17" bestFit="1" customWidth="1"/>
    <col min="231" max="231" width="7.7109375" style="17" bestFit="1" customWidth="1"/>
    <col min="232" max="232" width="11.42578125" style="17" bestFit="1" customWidth="1"/>
    <col min="233" max="233" width="5.85546875" style="17" bestFit="1" customWidth="1"/>
    <col min="234" max="234" width="7.7109375" style="17" bestFit="1" customWidth="1"/>
    <col min="235" max="235" width="11.42578125" style="17" bestFit="1" customWidth="1"/>
    <col min="236" max="236" width="5.85546875" style="17" bestFit="1" customWidth="1"/>
    <col min="237" max="237" width="7.7109375" style="17" bestFit="1" customWidth="1"/>
    <col min="238" max="238" width="11.42578125" style="17" bestFit="1" customWidth="1"/>
    <col min="239" max="239" width="5.85546875" style="17" bestFit="1" customWidth="1"/>
    <col min="240" max="240" width="7.7109375" style="17" bestFit="1" customWidth="1"/>
    <col min="241" max="241" width="11.42578125" style="17" bestFit="1" customWidth="1"/>
    <col min="242" max="242" width="5.85546875" style="17" bestFit="1" customWidth="1"/>
    <col min="243" max="243" width="7.7109375" style="17" bestFit="1" customWidth="1"/>
    <col min="244" max="244" width="11.42578125" style="17" bestFit="1" customWidth="1"/>
    <col min="245" max="245" width="5.85546875" style="17" bestFit="1" customWidth="1"/>
    <col min="246" max="246" width="7.7109375" style="17" bestFit="1" customWidth="1"/>
    <col min="247" max="247" width="11.42578125" style="17" bestFit="1" customWidth="1"/>
    <col min="248" max="248" width="5.85546875" style="17" bestFit="1" customWidth="1"/>
    <col min="249" max="249" width="7.7109375" style="17" bestFit="1" customWidth="1"/>
    <col min="250" max="250" width="11.42578125" style="17" bestFit="1" customWidth="1"/>
    <col min="251" max="16384" width="9.140625" style="17"/>
  </cols>
  <sheetData>
    <row r="1" spans="1:16" ht="18">
      <c r="A1" s="196" t="s">
        <v>55</v>
      </c>
      <c r="E1" s="159" t="s">
        <v>170</v>
      </c>
      <c r="F1" s="635" t="str">
        <f>IF('USER INPUTS'!$E$1=0,"",'USER INPUTS'!$E$1)</f>
        <v>TPA Muara Fajar 2 Kota Pekanbaru</v>
      </c>
      <c r="G1" s="635"/>
      <c r="H1" s="635"/>
      <c r="I1" s="635"/>
      <c r="J1" s="635"/>
      <c r="K1" s="157"/>
    </row>
    <row r="2" spans="1:16" s="179" customFormat="1" ht="14.45" customHeight="1"/>
    <row r="3" spans="1:16" ht="14.45" customHeight="1">
      <c r="A3" s="272" t="s">
        <v>309</v>
      </c>
      <c r="C3" s="272"/>
      <c r="D3" s="273"/>
    </row>
    <row r="4" spans="1:16" ht="14.45" customHeight="1">
      <c r="A4" s="272" t="s">
        <v>56</v>
      </c>
      <c r="C4" s="272"/>
      <c r="D4" s="272"/>
      <c r="E4" s="272"/>
      <c r="G4" s="273"/>
      <c r="H4" s="273"/>
    </row>
    <row r="5" spans="1:16" ht="15" customHeight="1">
      <c r="A5" s="274" t="s">
        <v>341</v>
      </c>
      <c r="B5" s="272"/>
      <c r="C5" s="274"/>
      <c r="D5" s="274"/>
      <c r="E5" s="274"/>
      <c r="F5" s="274" t="s">
        <v>319</v>
      </c>
      <c r="K5" s="275"/>
    </row>
    <row r="6" spans="1:16" ht="14.45" customHeight="1">
      <c r="A6" s="272" t="s">
        <v>325</v>
      </c>
      <c r="B6" s="272"/>
      <c r="C6" s="272"/>
      <c r="D6" s="274"/>
      <c r="E6" s="274"/>
      <c r="F6" s="659" t="s">
        <v>320</v>
      </c>
      <c r="G6" s="659"/>
      <c r="H6" s="659"/>
      <c r="I6" s="659"/>
      <c r="J6" s="659"/>
      <c r="P6" s="142"/>
    </row>
    <row r="7" spans="1:16" ht="14.45" customHeight="1">
      <c r="A7" s="272" t="s">
        <v>308</v>
      </c>
      <c r="B7" s="272"/>
      <c r="C7" s="272"/>
      <c r="D7" s="274"/>
      <c r="E7" s="274"/>
      <c r="F7" s="659"/>
      <c r="G7" s="659"/>
      <c r="H7" s="659"/>
      <c r="I7" s="659"/>
      <c r="J7" s="659"/>
    </row>
    <row r="8" spans="1:16" ht="14.45" customHeight="1">
      <c r="A8" s="272" t="s">
        <v>324</v>
      </c>
      <c r="B8" s="272"/>
      <c r="C8" s="272"/>
      <c r="D8" s="274"/>
      <c r="E8" s="274"/>
    </row>
    <row r="9" spans="1:16" ht="14.45" customHeight="1">
      <c r="A9" s="274" t="s">
        <v>210</v>
      </c>
      <c r="B9" s="272"/>
      <c r="C9" s="274"/>
      <c r="D9" s="274"/>
      <c r="E9" s="274"/>
      <c r="F9" s="246" t="s">
        <v>81</v>
      </c>
      <c r="H9" s="246"/>
    </row>
    <row r="10" spans="1:16" ht="14.45" customHeight="1">
      <c r="A10" s="274" t="s">
        <v>340</v>
      </c>
      <c r="B10" s="272"/>
      <c r="C10" s="274"/>
      <c r="D10" s="274"/>
      <c r="E10" s="274"/>
      <c r="F10" s="276" t="s">
        <v>80</v>
      </c>
      <c r="G10" s="277">
        <f>IF('USER INPUTS'!$B$13=-1,'USER INPUTS'!$F$13,'USER INPUTS'!$B$13)</f>
        <v>0.04</v>
      </c>
      <c r="H10" s="278" t="s">
        <v>182</v>
      </c>
    </row>
    <row r="11" spans="1:16" ht="13.5">
      <c r="B11" s="274"/>
      <c r="C11" s="274"/>
      <c r="D11" s="274"/>
      <c r="E11" s="274"/>
      <c r="F11" s="276" t="s">
        <v>183</v>
      </c>
      <c r="G11" s="279">
        <f>IF('USER INPUTS'!$B$15=-1,'USER INPUTS'!$F$15,'USER INPUTS'!$B$15)</f>
        <v>100</v>
      </c>
      <c r="H11" s="278" t="s">
        <v>347</v>
      </c>
    </row>
    <row r="12" spans="1:16">
      <c r="A12" s="281" t="s">
        <v>184</v>
      </c>
      <c r="D12" s="274"/>
      <c r="E12" s="274"/>
      <c r="G12" s="280"/>
      <c r="H12" s="280"/>
      <c r="I12" s="280"/>
      <c r="J12" s="280"/>
      <c r="K12" s="280"/>
    </row>
    <row r="13" spans="1:16" ht="12.75" customHeight="1">
      <c r="A13" s="280"/>
      <c r="B13" s="280"/>
      <c r="C13" s="276" t="s">
        <v>298</v>
      </c>
      <c r="D13" s="279">
        <f>IF(SUM(G23:G102)=0,0,SUM(G23:G102))</f>
        <v>765871</v>
      </c>
      <c r="E13" s="282" t="s">
        <v>312</v>
      </c>
      <c r="F13" s="246">
        <f>IF(SUM(H23:H102)=0,"",SUM(H23:H102))</f>
        <v>2048</v>
      </c>
      <c r="G13" s="503"/>
      <c r="H13" s="503"/>
      <c r="I13" s="503"/>
      <c r="J13" s="280"/>
      <c r="K13" s="280"/>
      <c r="L13" s="280"/>
    </row>
    <row r="14" spans="1:16" ht="12.75" customHeight="1">
      <c r="A14" s="280"/>
      <c r="B14" s="280"/>
      <c r="C14" s="276" t="s">
        <v>310</v>
      </c>
      <c r="D14" s="279" t="str">
        <f>IF(WasteCapacity&gt;0,IF('USER INPUTS'!$E$8="Megagrams",WasteCapacity,WasteCapacity*DEFAULTS!$B$54/(DEFAULTS!$B$53*DEFAULTS!$B$55)),"")</f>
        <v/>
      </c>
      <c r="E14" s="440" t="s">
        <v>247</v>
      </c>
      <c r="F14" s="660" t="str">
        <f>IF(AND(ClosureYear-OpenYear&gt;79,ClosureCalcYes=FALSE),"Landfill Closure Year entered exceeds the 80-year waste acceptance limit. See Section 2.6 of the User's Manual.",IF(AND('INPUT REVIEW'!$F$6&gt;'INPUT REVIEW'!$F$5,ClosureCalcYes=TRUE),"The 80-year waste acceptance limit of the model has been exceeded before the Waste Design Capacity was reached. The model will assume the 80th year of waste acceptance as the final year to estimate emissions. See Section 2.6 of the User's Manual.",""))</f>
        <v/>
      </c>
      <c r="G14" s="660"/>
      <c r="H14" s="660"/>
      <c r="I14" s="660"/>
      <c r="J14" s="660"/>
      <c r="K14" s="501"/>
      <c r="L14" s="280"/>
    </row>
    <row r="15" spans="1:16" ht="12.75" customHeight="1">
      <c r="A15" s="280"/>
      <c r="B15" s="280"/>
      <c r="C15" s="283" t="s">
        <v>326</v>
      </c>
      <c r="D15" s="441">
        <f>IF(ISERROR(IF(AND(ClosureCalcYes=TRUE,OR(WasteCapacity="",WasteCapacity=0)),0,IF(ClosureCalcYes=TRUE,MIN(ROUNDUP((($D$14-MAX(D24:D102))/$D$13)+$F$13,0),OpenYear+D17-1),IF(AND(ClosureCalcYes=FALSE,ClosureYear&gt;0),MIN(ClosureYear,OpenYear+79),"")))),0,IF(AND(ClosureCalcYes=TRUE,OR(WasteCapacity="",WasteCapacity=0)),"",IF(ClosureCalcYes=TRUE,MIN(ROUNDUP((($D$14-MAX(D24:D102))/$D$13)+$F$13,0),OpenYear+D17-1),IF(AND(ClosureCalcYes=FALSE,ClosureYear&gt;0),MIN(ClosureYear,OpenYear+79),""))))</f>
        <v>2048</v>
      </c>
      <c r="E15" s="280"/>
      <c r="F15" s="660"/>
      <c r="G15" s="660"/>
      <c r="H15" s="660"/>
      <c r="I15" s="660"/>
      <c r="J15" s="660"/>
      <c r="K15" s="501"/>
      <c r="L15" s="280"/>
    </row>
    <row r="16" spans="1:16" ht="12.75" customHeight="1">
      <c r="A16" s="492"/>
      <c r="B16" s="492"/>
      <c r="C16" s="283" t="s">
        <v>305</v>
      </c>
      <c r="D16" s="442">
        <f>IF(ISERROR(IF(ClosureCalcYes=TRUE,ROUNDUP((($D$14-MAX(D24:D102))/$D$13)+$F$13,0),IF(AND(ClosureCalcYes=FALSE,ClosureYear&gt;0),ClosureYear,""))),"",IF(ClosureCalcYes=TRUE,ROUNDUP((($D$14-MAX(D24:D102))/$D$13)+$F$13,0),IF(AND(ClosureCalcYes=FALSE,ClosureYear&gt;0),ClosureYear,"")))</f>
        <v>2048</v>
      </c>
      <c r="E16" s="282"/>
      <c r="F16" s="660"/>
      <c r="G16" s="660"/>
      <c r="H16" s="660"/>
      <c r="I16" s="660"/>
      <c r="J16" s="660"/>
      <c r="K16" s="501"/>
      <c r="L16" s="501"/>
    </row>
    <row r="17" spans="1:250" ht="12.75" customHeight="1">
      <c r="A17" s="504"/>
      <c r="B17" s="504"/>
      <c r="C17" s="276" t="s">
        <v>311</v>
      </c>
      <c r="D17" s="441">
        <v>80</v>
      </c>
      <c r="E17" s="282" t="s">
        <v>306</v>
      </c>
      <c r="F17" s="660"/>
      <c r="G17" s="660"/>
      <c r="H17" s="660"/>
      <c r="I17" s="660"/>
      <c r="J17" s="660"/>
      <c r="K17" s="501"/>
      <c r="L17" s="501"/>
    </row>
    <row r="18" spans="1:250" ht="12.75" customHeight="1">
      <c r="A18" s="503"/>
      <c r="B18" s="503"/>
      <c r="C18" s="505" t="str">
        <f>IF($D$16&gt;$D$15,"Waste-in-place at Start of Next Model Run =","")</f>
        <v/>
      </c>
      <c r="D18" s="500" t="str">
        <f>IF($D$16&gt;$D$15,$E$102+$F$102,"")</f>
        <v/>
      </c>
      <c r="E18" s="282" t="str">
        <f>IF($D$16&gt;$D$15,"megagrams","")</f>
        <v/>
      </c>
      <c r="F18" s="501"/>
      <c r="G18" s="501"/>
      <c r="H18" s="501"/>
      <c r="I18" s="501"/>
      <c r="J18" s="501"/>
      <c r="K18" s="501"/>
      <c r="L18" s="501"/>
    </row>
    <row r="19" spans="1:250" ht="12.75" customHeight="1">
      <c r="A19" s="503"/>
      <c r="B19" s="503"/>
      <c r="C19" s="505" t="str">
        <f>IF(AND(ClosureCalcYes=TRUE,$D$16&gt;$D$15),"Capacity Remaining at Start of Next Model Run =","")</f>
        <v/>
      </c>
      <c r="D19" s="502" t="str">
        <f>IF(ISERROR(IF(AND(ClosureCalcYes=TRUE,$D$16&gt;$D$15),$D$14-$D$18,"")),"",IF(AND(ClosureCalcYes=TRUE,$D$16&gt;$D$15),$D$14-$D$18,""))</f>
        <v/>
      </c>
      <c r="E19" s="282" t="str">
        <f>IF(AND(ClosureCalcYes=TRUE,$D$16&gt;$D$15),"megagrams","")</f>
        <v/>
      </c>
      <c r="F19" s="501"/>
      <c r="G19" s="501"/>
      <c r="H19" s="501"/>
      <c r="I19" s="501"/>
      <c r="J19" s="501"/>
      <c r="K19" s="501"/>
    </row>
    <row r="20" spans="1:250">
      <c r="A20" s="503"/>
      <c r="B20" s="503"/>
      <c r="C20" s="503"/>
      <c r="D20" s="280"/>
      <c r="E20" s="280"/>
      <c r="K20" s="418"/>
    </row>
    <row r="21" spans="1:250" ht="38.25">
      <c r="B21" s="655" t="s">
        <v>5</v>
      </c>
      <c r="C21" s="51" t="s">
        <v>185</v>
      </c>
      <c r="D21" s="51" t="s">
        <v>186</v>
      </c>
      <c r="E21" s="51" t="s">
        <v>57</v>
      </c>
      <c r="F21" s="225" t="s">
        <v>53</v>
      </c>
    </row>
    <row r="22" spans="1:250">
      <c r="B22" s="656"/>
      <c r="C22" s="52" t="s">
        <v>50</v>
      </c>
      <c r="D22" s="52" t="s">
        <v>250</v>
      </c>
      <c r="E22" s="52" t="s">
        <v>50</v>
      </c>
      <c r="F22" s="53" t="s">
        <v>250</v>
      </c>
      <c r="G22" s="284"/>
      <c r="H22" s="284"/>
      <c r="I22" s="657" t="s">
        <v>5</v>
      </c>
      <c r="J22" s="10" t="s">
        <v>52</v>
      </c>
      <c r="K22" s="11" t="s">
        <v>124</v>
      </c>
      <c r="L22" s="11"/>
      <c r="M22" s="11"/>
      <c r="N22" s="11" t="s">
        <v>125</v>
      </c>
      <c r="O22" s="11"/>
      <c r="P22" s="11"/>
      <c r="Q22" s="11" t="s">
        <v>126</v>
      </c>
      <c r="R22" s="11"/>
      <c r="S22" s="11"/>
      <c r="T22" s="11" t="s">
        <v>127</v>
      </c>
      <c r="U22" s="11"/>
      <c r="V22" s="11"/>
      <c r="W22" s="11" t="s">
        <v>128</v>
      </c>
      <c r="X22" s="11"/>
      <c r="Y22" s="11"/>
      <c r="Z22" s="11" t="s">
        <v>129</v>
      </c>
      <c r="AA22" s="11"/>
      <c r="AB22" s="11"/>
      <c r="AC22" s="11" t="s">
        <v>130</v>
      </c>
      <c r="AD22" s="11"/>
      <c r="AE22" s="11"/>
      <c r="AF22" s="11" t="s">
        <v>131</v>
      </c>
      <c r="AG22" s="11"/>
      <c r="AH22" s="11"/>
      <c r="AI22" s="11" t="s">
        <v>132</v>
      </c>
      <c r="AJ22" s="11"/>
      <c r="AK22" s="11"/>
      <c r="AL22" s="11" t="s">
        <v>133</v>
      </c>
      <c r="AM22" s="11"/>
      <c r="AN22" s="11"/>
      <c r="AO22" s="11" t="s">
        <v>134</v>
      </c>
      <c r="AP22" s="11"/>
      <c r="AQ22" s="11"/>
      <c r="AR22" s="11" t="s">
        <v>135</v>
      </c>
      <c r="AS22" s="11"/>
      <c r="AT22" s="11"/>
      <c r="AU22" s="11" t="s">
        <v>136</v>
      </c>
      <c r="AV22" s="11"/>
      <c r="AW22" s="11"/>
      <c r="AX22" s="11" t="s">
        <v>137</v>
      </c>
      <c r="AY22" s="11"/>
      <c r="AZ22" s="11"/>
      <c r="BA22" s="11" t="s">
        <v>138</v>
      </c>
      <c r="BB22" s="11"/>
      <c r="BC22" s="11"/>
      <c r="BD22" s="11" t="s">
        <v>139</v>
      </c>
      <c r="BE22" s="11"/>
      <c r="BF22" s="11"/>
      <c r="BG22" s="11" t="s">
        <v>140</v>
      </c>
      <c r="BH22" s="11"/>
      <c r="BI22" s="11"/>
      <c r="BJ22" s="11" t="s">
        <v>141</v>
      </c>
      <c r="BK22" s="11"/>
      <c r="BL22" s="11"/>
      <c r="BM22" s="11" t="s">
        <v>142</v>
      </c>
      <c r="BN22" s="11"/>
      <c r="BO22" s="11"/>
      <c r="BP22" s="11" t="s">
        <v>143</v>
      </c>
      <c r="BQ22" s="11"/>
      <c r="BR22" s="11"/>
      <c r="BS22" s="11" t="s">
        <v>144</v>
      </c>
      <c r="BT22" s="11"/>
      <c r="BU22" s="11"/>
      <c r="BV22" s="11" t="s">
        <v>145</v>
      </c>
      <c r="BW22" s="11"/>
      <c r="BX22" s="11"/>
      <c r="BY22" s="11" t="s">
        <v>146</v>
      </c>
      <c r="BZ22" s="11"/>
      <c r="CA22" s="11"/>
      <c r="CB22" s="11" t="s">
        <v>147</v>
      </c>
      <c r="CC22" s="11"/>
      <c r="CD22" s="11"/>
      <c r="CE22" s="11" t="s">
        <v>148</v>
      </c>
      <c r="CF22" s="11"/>
      <c r="CG22" s="11"/>
      <c r="CH22" s="11" t="s">
        <v>149</v>
      </c>
      <c r="CI22" s="11"/>
      <c r="CJ22" s="11"/>
      <c r="CK22" s="11" t="s">
        <v>150</v>
      </c>
      <c r="CL22" s="11"/>
      <c r="CM22" s="11"/>
      <c r="CN22" s="11" t="s">
        <v>151</v>
      </c>
      <c r="CO22" s="11"/>
      <c r="CP22" s="11"/>
      <c r="CQ22" s="11" t="s">
        <v>152</v>
      </c>
      <c r="CR22" s="11"/>
      <c r="CS22" s="11"/>
      <c r="CT22" s="11" t="s">
        <v>153</v>
      </c>
      <c r="CU22" s="11"/>
      <c r="CV22" s="11"/>
      <c r="CW22" s="11" t="s">
        <v>154</v>
      </c>
      <c r="CX22" s="11"/>
      <c r="CY22" s="11"/>
      <c r="CZ22" s="11" t="s">
        <v>155</v>
      </c>
      <c r="DA22" s="11"/>
      <c r="DB22" s="11"/>
      <c r="DC22" s="11" t="s">
        <v>156</v>
      </c>
      <c r="DD22" s="11"/>
      <c r="DE22" s="11"/>
      <c r="DF22" s="11" t="s">
        <v>157</v>
      </c>
      <c r="DG22" s="11"/>
      <c r="DH22" s="11"/>
      <c r="DI22" s="11" t="s">
        <v>158</v>
      </c>
      <c r="DJ22" s="11"/>
      <c r="DK22" s="11"/>
      <c r="DL22" s="11" t="s">
        <v>159</v>
      </c>
      <c r="DM22" s="11"/>
      <c r="DN22" s="11"/>
      <c r="DO22" s="11" t="s">
        <v>160</v>
      </c>
      <c r="DP22" s="11"/>
      <c r="DQ22" s="11"/>
      <c r="DR22" s="11" t="s">
        <v>161</v>
      </c>
      <c r="DS22" s="11"/>
      <c r="DT22" s="11"/>
      <c r="DU22" s="11" t="s">
        <v>162</v>
      </c>
      <c r="DV22" s="11"/>
      <c r="DW22" s="11"/>
      <c r="DX22" s="11" t="s">
        <v>163</v>
      </c>
      <c r="DY22" s="11"/>
      <c r="DZ22" s="11"/>
      <c r="EA22" s="11" t="s">
        <v>253</v>
      </c>
      <c r="EB22" s="11"/>
      <c r="EC22" s="11"/>
      <c r="ED22" s="11" t="s">
        <v>254</v>
      </c>
      <c r="EE22" s="11"/>
      <c r="EF22" s="11"/>
      <c r="EG22" s="11" t="s">
        <v>255</v>
      </c>
      <c r="EH22" s="11"/>
      <c r="EI22" s="11"/>
      <c r="EJ22" s="11" t="s">
        <v>256</v>
      </c>
      <c r="EK22" s="11"/>
      <c r="EL22" s="11"/>
      <c r="EM22" s="11" t="s">
        <v>257</v>
      </c>
      <c r="EN22" s="11"/>
      <c r="EO22" s="11"/>
      <c r="EP22" s="11" t="s">
        <v>258</v>
      </c>
      <c r="EQ22" s="11"/>
      <c r="ER22" s="11"/>
      <c r="ES22" s="11" t="s">
        <v>259</v>
      </c>
      <c r="ET22" s="11"/>
      <c r="EU22" s="11"/>
      <c r="EV22" s="11" t="s">
        <v>260</v>
      </c>
      <c r="EW22" s="11"/>
      <c r="EX22" s="11"/>
      <c r="EY22" s="11" t="s">
        <v>261</v>
      </c>
      <c r="EZ22" s="11"/>
      <c r="FA22" s="11"/>
      <c r="FB22" s="11" t="s">
        <v>262</v>
      </c>
      <c r="FC22" s="11"/>
      <c r="FD22" s="11"/>
      <c r="FE22" s="11" t="s">
        <v>263</v>
      </c>
      <c r="FF22" s="11"/>
      <c r="FG22" s="11"/>
      <c r="FH22" s="11" t="s">
        <v>264</v>
      </c>
      <c r="FI22" s="11"/>
      <c r="FJ22" s="11"/>
      <c r="FK22" s="11" t="s">
        <v>265</v>
      </c>
      <c r="FL22" s="11"/>
      <c r="FM22" s="11"/>
      <c r="FN22" s="11" t="s">
        <v>266</v>
      </c>
      <c r="FO22" s="11"/>
      <c r="FP22" s="11"/>
      <c r="FQ22" s="11" t="s">
        <v>267</v>
      </c>
      <c r="FR22" s="11"/>
      <c r="FS22" s="11"/>
      <c r="FT22" s="11" t="s">
        <v>268</v>
      </c>
      <c r="FU22" s="11"/>
      <c r="FV22" s="11"/>
      <c r="FW22" s="11" t="s">
        <v>269</v>
      </c>
      <c r="FX22" s="11"/>
      <c r="FY22" s="11"/>
      <c r="FZ22" s="11" t="s">
        <v>270</v>
      </c>
      <c r="GA22" s="11"/>
      <c r="GB22" s="11"/>
      <c r="GC22" s="11" t="s">
        <v>271</v>
      </c>
      <c r="GD22" s="11"/>
      <c r="GE22" s="11"/>
      <c r="GF22" s="11" t="s">
        <v>272</v>
      </c>
      <c r="GG22" s="11"/>
      <c r="GH22" s="11"/>
      <c r="GI22" s="11" t="s">
        <v>273</v>
      </c>
      <c r="GJ22" s="11"/>
      <c r="GK22" s="11"/>
      <c r="GL22" s="11" t="s">
        <v>274</v>
      </c>
      <c r="GM22" s="11"/>
      <c r="GN22" s="11"/>
      <c r="GO22" s="11" t="s">
        <v>275</v>
      </c>
      <c r="GP22" s="11"/>
      <c r="GQ22" s="11"/>
      <c r="GR22" s="11" t="s">
        <v>276</v>
      </c>
      <c r="GS22" s="11"/>
      <c r="GT22" s="11"/>
      <c r="GU22" s="11" t="s">
        <v>277</v>
      </c>
      <c r="GV22" s="11"/>
      <c r="GW22" s="11"/>
      <c r="GX22" s="11" t="s">
        <v>278</v>
      </c>
      <c r="GY22" s="11"/>
      <c r="GZ22" s="11"/>
      <c r="HA22" s="11" t="s">
        <v>279</v>
      </c>
      <c r="HB22" s="11"/>
      <c r="HC22" s="11"/>
      <c r="HD22" s="11" t="s">
        <v>280</v>
      </c>
      <c r="HE22" s="11"/>
      <c r="HF22" s="11"/>
      <c r="HG22" s="11" t="s">
        <v>281</v>
      </c>
      <c r="HH22" s="11"/>
      <c r="HI22" s="11"/>
      <c r="HJ22" s="11" t="s">
        <v>282</v>
      </c>
      <c r="HK22" s="11"/>
      <c r="HL22" s="11"/>
      <c r="HM22" s="11" t="s">
        <v>283</v>
      </c>
      <c r="HN22" s="11"/>
      <c r="HO22" s="11"/>
      <c r="HP22" s="11" t="s">
        <v>284</v>
      </c>
      <c r="HQ22" s="11"/>
      <c r="HR22" s="11"/>
      <c r="HS22" s="11" t="s">
        <v>285</v>
      </c>
      <c r="HT22" s="11"/>
      <c r="HU22" s="11"/>
      <c r="HV22" s="11" t="s">
        <v>286</v>
      </c>
      <c r="HW22" s="11"/>
      <c r="HX22" s="11"/>
      <c r="HY22" s="11" t="s">
        <v>287</v>
      </c>
      <c r="HZ22" s="11"/>
      <c r="IA22" s="11"/>
      <c r="IB22" s="11" t="s">
        <v>288</v>
      </c>
      <c r="IC22" s="11"/>
      <c r="ID22" s="11"/>
      <c r="IE22" s="11" t="s">
        <v>289</v>
      </c>
      <c r="IF22" s="11"/>
      <c r="IG22" s="11"/>
      <c r="IH22" s="11" t="s">
        <v>290</v>
      </c>
      <c r="II22" s="11"/>
      <c r="IJ22" s="11"/>
      <c r="IK22" s="11" t="s">
        <v>291</v>
      </c>
      <c r="IL22" s="11"/>
      <c r="IM22" s="11"/>
      <c r="IN22" s="11" t="s">
        <v>292</v>
      </c>
      <c r="IO22" s="11"/>
      <c r="IP22" s="11"/>
    </row>
    <row r="23" spans="1:250" ht="14.25">
      <c r="B23" s="54">
        <f>'USER INPUTS'!J8</f>
        <v>2018</v>
      </c>
      <c r="C23" s="419">
        <f>IF(OR(AND(ClosureCalcYes=TRUE,WasteCapacity=""),AND(ClosureCalcYes=FALSE,ClosureYear="")),0,IF('USER INPUTS'!K8&gt;0,IF('USER INPUTS'!$K$4="Mg/year",'USER INPUTS'!K8,'USER INPUTS'!L8),0))</f>
        <v>189082</v>
      </c>
      <c r="D23" s="419">
        <v>0</v>
      </c>
      <c r="E23" s="420">
        <f>IF(ClosureCalcYes=FALSE,IF(AND(B23&lt;ClosureYear,C23=0,SUM(C23:$C$102)=0),$D$13,IF(B23&lt;=ClosureYear,C23,0)),IF(B23=$D$16,($D$14-F23),IF(B23&lt;$D$16,IF(SUM(C23:$C$102)=0,$D$13,C23),0)))</f>
        <v>189082</v>
      </c>
      <c r="F23" s="421">
        <v>0</v>
      </c>
      <c r="G23" s="284">
        <f>IF(SUM(C24:$C$101)=0,C23,0)</f>
        <v>0</v>
      </c>
      <c r="H23" s="284">
        <f>IF(G23&gt;0,B23,0)</f>
        <v>0</v>
      </c>
      <c r="I23" s="658"/>
      <c r="J23" s="64" t="s">
        <v>345</v>
      </c>
      <c r="K23" s="12" t="s">
        <v>41</v>
      </c>
      <c r="L23" s="12" t="s">
        <v>42</v>
      </c>
      <c r="M23" s="12" t="s">
        <v>51</v>
      </c>
      <c r="N23" s="12" t="s">
        <v>41</v>
      </c>
      <c r="O23" s="12" t="s">
        <v>42</v>
      </c>
      <c r="P23" s="12" t="s">
        <v>51</v>
      </c>
      <c r="Q23" s="12" t="s">
        <v>41</v>
      </c>
      <c r="R23" s="12" t="s">
        <v>42</v>
      </c>
      <c r="S23" s="12" t="s">
        <v>51</v>
      </c>
      <c r="T23" s="12" t="s">
        <v>41</v>
      </c>
      <c r="U23" s="12" t="s">
        <v>42</v>
      </c>
      <c r="V23" s="12" t="s">
        <v>51</v>
      </c>
      <c r="W23" s="12" t="s">
        <v>41</v>
      </c>
      <c r="X23" s="12" t="s">
        <v>42</v>
      </c>
      <c r="Y23" s="12" t="s">
        <v>51</v>
      </c>
      <c r="Z23" s="12" t="s">
        <v>41</v>
      </c>
      <c r="AA23" s="12" t="s">
        <v>42</v>
      </c>
      <c r="AB23" s="12" t="s">
        <v>51</v>
      </c>
      <c r="AC23" s="12" t="s">
        <v>41</v>
      </c>
      <c r="AD23" s="12" t="s">
        <v>42</v>
      </c>
      <c r="AE23" s="12" t="s">
        <v>51</v>
      </c>
      <c r="AF23" s="12" t="s">
        <v>41</v>
      </c>
      <c r="AG23" s="12" t="s">
        <v>42</v>
      </c>
      <c r="AH23" s="12" t="s">
        <v>51</v>
      </c>
      <c r="AI23" s="12" t="s">
        <v>41</v>
      </c>
      <c r="AJ23" s="12" t="s">
        <v>42</v>
      </c>
      <c r="AK23" s="12" t="s">
        <v>51</v>
      </c>
      <c r="AL23" s="12" t="s">
        <v>41</v>
      </c>
      <c r="AM23" s="12" t="s">
        <v>42</v>
      </c>
      <c r="AN23" s="12" t="s">
        <v>51</v>
      </c>
      <c r="AO23" s="12" t="s">
        <v>41</v>
      </c>
      <c r="AP23" s="12" t="s">
        <v>42</v>
      </c>
      <c r="AQ23" s="12" t="s">
        <v>51</v>
      </c>
      <c r="AR23" s="12" t="s">
        <v>41</v>
      </c>
      <c r="AS23" s="12" t="s">
        <v>42</v>
      </c>
      <c r="AT23" s="12" t="s">
        <v>51</v>
      </c>
      <c r="AU23" s="12" t="s">
        <v>41</v>
      </c>
      <c r="AV23" s="12" t="s">
        <v>42</v>
      </c>
      <c r="AW23" s="12" t="s">
        <v>51</v>
      </c>
      <c r="AX23" s="12" t="s">
        <v>41</v>
      </c>
      <c r="AY23" s="12" t="s">
        <v>42</v>
      </c>
      <c r="AZ23" s="12" t="s">
        <v>51</v>
      </c>
      <c r="BA23" s="12" t="s">
        <v>41</v>
      </c>
      <c r="BB23" s="12" t="s">
        <v>42</v>
      </c>
      <c r="BC23" s="12" t="s">
        <v>51</v>
      </c>
      <c r="BD23" s="12" t="s">
        <v>41</v>
      </c>
      <c r="BE23" s="12" t="s">
        <v>42</v>
      </c>
      <c r="BF23" s="12" t="s">
        <v>51</v>
      </c>
      <c r="BG23" s="12" t="s">
        <v>41</v>
      </c>
      <c r="BH23" s="12" t="s">
        <v>42</v>
      </c>
      <c r="BI23" s="12" t="s">
        <v>51</v>
      </c>
      <c r="BJ23" s="12" t="s">
        <v>41</v>
      </c>
      <c r="BK23" s="12" t="s">
        <v>42</v>
      </c>
      <c r="BL23" s="12" t="s">
        <v>51</v>
      </c>
      <c r="BM23" s="12" t="s">
        <v>41</v>
      </c>
      <c r="BN23" s="12" t="s">
        <v>42</v>
      </c>
      <c r="BO23" s="12" t="s">
        <v>51</v>
      </c>
      <c r="BP23" s="12" t="s">
        <v>41</v>
      </c>
      <c r="BQ23" s="12" t="s">
        <v>42</v>
      </c>
      <c r="BR23" s="12" t="s">
        <v>51</v>
      </c>
      <c r="BS23" s="12" t="s">
        <v>41</v>
      </c>
      <c r="BT23" s="12" t="s">
        <v>42</v>
      </c>
      <c r="BU23" s="12" t="s">
        <v>51</v>
      </c>
      <c r="BV23" s="12" t="s">
        <v>41</v>
      </c>
      <c r="BW23" s="12" t="s">
        <v>42</v>
      </c>
      <c r="BX23" s="12" t="s">
        <v>51</v>
      </c>
      <c r="BY23" s="12" t="s">
        <v>41</v>
      </c>
      <c r="BZ23" s="12" t="s">
        <v>42</v>
      </c>
      <c r="CA23" s="12" t="s">
        <v>51</v>
      </c>
      <c r="CB23" s="12" t="s">
        <v>41</v>
      </c>
      <c r="CC23" s="12" t="s">
        <v>42</v>
      </c>
      <c r="CD23" s="12" t="s">
        <v>51</v>
      </c>
      <c r="CE23" s="12" t="s">
        <v>41</v>
      </c>
      <c r="CF23" s="12" t="s">
        <v>42</v>
      </c>
      <c r="CG23" s="12" t="s">
        <v>51</v>
      </c>
      <c r="CH23" s="12" t="s">
        <v>41</v>
      </c>
      <c r="CI23" s="12" t="s">
        <v>42</v>
      </c>
      <c r="CJ23" s="12" t="s">
        <v>51</v>
      </c>
      <c r="CK23" s="12" t="s">
        <v>41</v>
      </c>
      <c r="CL23" s="12" t="s">
        <v>42</v>
      </c>
      <c r="CM23" s="12" t="s">
        <v>51</v>
      </c>
      <c r="CN23" s="12" t="s">
        <v>41</v>
      </c>
      <c r="CO23" s="12" t="s">
        <v>42</v>
      </c>
      <c r="CP23" s="12" t="s">
        <v>51</v>
      </c>
      <c r="CQ23" s="12" t="s">
        <v>41</v>
      </c>
      <c r="CR23" s="12" t="s">
        <v>42</v>
      </c>
      <c r="CS23" s="12" t="s">
        <v>51</v>
      </c>
      <c r="CT23" s="12" t="s">
        <v>41</v>
      </c>
      <c r="CU23" s="12" t="s">
        <v>42</v>
      </c>
      <c r="CV23" s="12" t="s">
        <v>51</v>
      </c>
      <c r="CW23" s="12" t="s">
        <v>41</v>
      </c>
      <c r="CX23" s="12" t="s">
        <v>42</v>
      </c>
      <c r="CY23" s="12" t="s">
        <v>51</v>
      </c>
      <c r="CZ23" s="12" t="s">
        <v>41</v>
      </c>
      <c r="DA23" s="12" t="s">
        <v>42</v>
      </c>
      <c r="DB23" s="12" t="s">
        <v>51</v>
      </c>
      <c r="DC23" s="12" t="s">
        <v>41</v>
      </c>
      <c r="DD23" s="12" t="s">
        <v>42</v>
      </c>
      <c r="DE23" s="12" t="s">
        <v>51</v>
      </c>
      <c r="DF23" s="12" t="s">
        <v>41</v>
      </c>
      <c r="DG23" s="12" t="s">
        <v>42</v>
      </c>
      <c r="DH23" s="12" t="s">
        <v>51</v>
      </c>
      <c r="DI23" s="12" t="s">
        <v>41</v>
      </c>
      <c r="DJ23" s="12" t="s">
        <v>42</v>
      </c>
      <c r="DK23" s="12" t="s">
        <v>51</v>
      </c>
      <c r="DL23" s="12" t="s">
        <v>41</v>
      </c>
      <c r="DM23" s="12" t="s">
        <v>42</v>
      </c>
      <c r="DN23" s="12" t="s">
        <v>51</v>
      </c>
      <c r="DO23" s="12" t="s">
        <v>41</v>
      </c>
      <c r="DP23" s="12" t="s">
        <v>42</v>
      </c>
      <c r="DQ23" s="12" t="s">
        <v>51</v>
      </c>
      <c r="DR23" s="12" t="s">
        <v>41</v>
      </c>
      <c r="DS23" s="12" t="s">
        <v>42</v>
      </c>
      <c r="DT23" s="12" t="s">
        <v>51</v>
      </c>
      <c r="DU23" s="12" t="s">
        <v>41</v>
      </c>
      <c r="DV23" s="12" t="s">
        <v>42</v>
      </c>
      <c r="DW23" s="12" t="s">
        <v>51</v>
      </c>
      <c r="DX23" s="12" t="s">
        <v>41</v>
      </c>
      <c r="DY23" s="12" t="s">
        <v>42</v>
      </c>
      <c r="DZ23" s="12" t="s">
        <v>51</v>
      </c>
      <c r="EA23" s="12" t="s">
        <v>41</v>
      </c>
      <c r="EB23" s="12" t="s">
        <v>42</v>
      </c>
      <c r="EC23" s="12" t="s">
        <v>51</v>
      </c>
      <c r="ED23" s="12" t="s">
        <v>41</v>
      </c>
      <c r="EE23" s="12" t="s">
        <v>42</v>
      </c>
      <c r="EF23" s="12" t="s">
        <v>51</v>
      </c>
      <c r="EG23" s="12" t="s">
        <v>41</v>
      </c>
      <c r="EH23" s="12" t="s">
        <v>42</v>
      </c>
      <c r="EI23" s="12" t="s">
        <v>51</v>
      </c>
      <c r="EJ23" s="12" t="s">
        <v>41</v>
      </c>
      <c r="EK23" s="12" t="s">
        <v>42</v>
      </c>
      <c r="EL23" s="12" t="s">
        <v>51</v>
      </c>
      <c r="EM23" s="12" t="s">
        <v>41</v>
      </c>
      <c r="EN23" s="12" t="s">
        <v>42</v>
      </c>
      <c r="EO23" s="12" t="s">
        <v>51</v>
      </c>
      <c r="EP23" s="12" t="s">
        <v>41</v>
      </c>
      <c r="EQ23" s="12" t="s">
        <v>42</v>
      </c>
      <c r="ER23" s="12" t="s">
        <v>51</v>
      </c>
      <c r="ES23" s="12" t="s">
        <v>41</v>
      </c>
      <c r="ET23" s="12" t="s">
        <v>42</v>
      </c>
      <c r="EU23" s="12" t="s">
        <v>51</v>
      </c>
      <c r="EV23" s="12" t="s">
        <v>41</v>
      </c>
      <c r="EW23" s="12" t="s">
        <v>42</v>
      </c>
      <c r="EX23" s="12" t="s">
        <v>51</v>
      </c>
      <c r="EY23" s="12" t="s">
        <v>41</v>
      </c>
      <c r="EZ23" s="12" t="s">
        <v>42</v>
      </c>
      <c r="FA23" s="12" t="s">
        <v>51</v>
      </c>
      <c r="FB23" s="12" t="s">
        <v>41</v>
      </c>
      <c r="FC23" s="12" t="s">
        <v>42</v>
      </c>
      <c r="FD23" s="12" t="s">
        <v>51</v>
      </c>
      <c r="FE23" s="12" t="s">
        <v>41</v>
      </c>
      <c r="FF23" s="12" t="s">
        <v>42</v>
      </c>
      <c r="FG23" s="12" t="s">
        <v>51</v>
      </c>
      <c r="FH23" s="12" t="s">
        <v>41</v>
      </c>
      <c r="FI23" s="12" t="s">
        <v>42</v>
      </c>
      <c r="FJ23" s="12" t="s">
        <v>51</v>
      </c>
      <c r="FK23" s="12" t="s">
        <v>41</v>
      </c>
      <c r="FL23" s="12" t="s">
        <v>42</v>
      </c>
      <c r="FM23" s="12" t="s">
        <v>51</v>
      </c>
      <c r="FN23" s="12" t="s">
        <v>41</v>
      </c>
      <c r="FO23" s="12" t="s">
        <v>42</v>
      </c>
      <c r="FP23" s="12" t="s">
        <v>51</v>
      </c>
      <c r="FQ23" s="12" t="s">
        <v>41</v>
      </c>
      <c r="FR23" s="12" t="s">
        <v>42</v>
      </c>
      <c r="FS23" s="12" t="s">
        <v>51</v>
      </c>
      <c r="FT23" s="12" t="s">
        <v>41</v>
      </c>
      <c r="FU23" s="12" t="s">
        <v>42</v>
      </c>
      <c r="FV23" s="12" t="s">
        <v>51</v>
      </c>
      <c r="FW23" s="12" t="s">
        <v>41</v>
      </c>
      <c r="FX23" s="12" t="s">
        <v>42</v>
      </c>
      <c r="FY23" s="12" t="s">
        <v>51</v>
      </c>
      <c r="FZ23" s="12" t="s">
        <v>41</v>
      </c>
      <c r="GA23" s="12" t="s">
        <v>42</v>
      </c>
      <c r="GB23" s="12" t="s">
        <v>51</v>
      </c>
      <c r="GC23" s="12" t="s">
        <v>41</v>
      </c>
      <c r="GD23" s="12" t="s">
        <v>42</v>
      </c>
      <c r="GE23" s="12" t="s">
        <v>51</v>
      </c>
      <c r="GF23" s="12" t="s">
        <v>41</v>
      </c>
      <c r="GG23" s="12" t="s">
        <v>42</v>
      </c>
      <c r="GH23" s="12" t="s">
        <v>51</v>
      </c>
      <c r="GI23" s="12" t="s">
        <v>41</v>
      </c>
      <c r="GJ23" s="12" t="s">
        <v>42</v>
      </c>
      <c r="GK23" s="12" t="s">
        <v>51</v>
      </c>
      <c r="GL23" s="12" t="s">
        <v>41</v>
      </c>
      <c r="GM23" s="12" t="s">
        <v>42</v>
      </c>
      <c r="GN23" s="12" t="s">
        <v>51</v>
      </c>
      <c r="GO23" s="12" t="s">
        <v>41</v>
      </c>
      <c r="GP23" s="12" t="s">
        <v>42</v>
      </c>
      <c r="GQ23" s="12" t="s">
        <v>51</v>
      </c>
      <c r="GR23" s="12" t="s">
        <v>41</v>
      </c>
      <c r="GS23" s="12" t="s">
        <v>42</v>
      </c>
      <c r="GT23" s="12" t="s">
        <v>51</v>
      </c>
      <c r="GU23" s="12" t="s">
        <v>41</v>
      </c>
      <c r="GV23" s="12" t="s">
        <v>42</v>
      </c>
      <c r="GW23" s="12" t="s">
        <v>51</v>
      </c>
      <c r="GX23" s="12" t="s">
        <v>41</v>
      </c>
      <c r="GY23" s="12" t="s">
        <v>42</v>
      </c>
      <c r="GZ23" s="12" t="s">
        <v>51</v>
      </c>
      <c r="HA23" s="12" t="s">
        <v>41</v>
      </c>
      <c r="HB23" s="12" t="s">
        <v>42</v>
      </c>
      <c r="HC23" s="12" t="s">
        <v>51</v>
      </c>
      <c r="HD23" s="12" t="s">
        <v>41</v>
      </c>
      <c r="HE23" s="12" t="s">
        <v>42</v>
      </c>
      <c r="HF23" s="12" t="s">
        <v>51</v>
      </c>
      <c r="HG23" s="12" t="s">
        <v>41</v>
      </c>
      <c r="HH23" s="12" t="s">
        <v>42</v>
      </c>
      <c r="HI23" s="12" t="s">
        <v>51</v>
      </c>
      <c r="HJ23" s="12" t="s">
        <v>41</v>
      </c>
      <c r="HK23" s="12" t="s">
        <v>42</v>
      </c>
      <c r="HL23" s="12" t="s">
        <v>51</v>
      </c>
      <c r="HM23" s="12" t="s">
        <v>41</v>
      </c>
      <c r="HN23" s="12" t="s">
        <v>42</v>
      </c>
      <c r="HO23" s="12" t="s">
        <v>51</v>
      </c>
      <c r="HP23" s="12" t="s">
        <v>41</v>
      </c>
      <c r="HQ23" s="12" t="s">
        <v>42</v>
      </c>
      <c r="HR23" s="12" t="s">
        <v>51</v>
      </c>
      <c r="HS23" s="12" t="s">
        <v>41</v>
      </c>
      <c r="HT23" s="12" t="s">
        <v>42</v>
      </c>
      <c r="HU23" s="12" t="s">
        <v>51</v>
      </c>
      <c r="HV23" s="12" t="s">
        <v>41</v>
      </c>
      <c r="HW23" s="12" t="s">
        <v>42</v>
      </c>
      <c r="HX23" s="12" t="s">
        <v>51</v>
      </c>
      <c r="HY23" s="12" t="s">
        <v>41</v>
      </c>
      <c r="HZ23" s="12" t="s">
        <v>42</v>
      </c>
      <c r="IA23" s="12" t="s">
        <v>51</v>
      </c>
      <c r="IB23" s="12" t="s">
        <v>41</v>
      </c>
      <c r="IC23" s="12" t="s">
        <v>42</v>
      </c>
      <c r="ID23" s="12" t="s">
        <v>51</v>
      </c>
      <c r="IE23" s="12" t="s">
        <v>41</v>
      </c>
      <c r="IF23" s="12" t="s">
        <v>42</v>
      </c>
      <c r="IG23" s="12" t="s">
        <v>51</v>
      </c>
      <c r="IH23" s="12" t="s">
        <v>41</v>
      </c>
      <c r="II23" s="12" t="s">
        <v>42</v>
      </c>
      <c r="IJ23" s="12" t="s">
        <v>51</v>
      </c>
      <c r="IK23" s="12" t="s">
        <v>41</v>
      </c>
      <c r="IL23" s="12" t="s">
        <v>42</v>
      </c>
      <c r="IM23" s="12" t="s">
        <v>51</v>
      </c>
      <c r="IN23" s="12" t="s">
        <v>41</v>
      </c>
      <c r="IO23" s="12" t="s">
        <v>42</v>
      </c>
      <c r="IP23" s="12" t="s">
        <v>51</v>
      </c>
    </row>
    <row r="24" spans="1:250">
      <c r="B24" s="56">
        <f>'USER INPUTS'!J9</f>
        <v>2019</v>
      </c>
      <c r="C24" s="420">
        <f>IF(OR(AND(ClosureCalcYes=TRUE,WasteCapacity=""),AND(ClosureCalcYes=FALSE,ClosureYear="")),0,IF('USER INPUTS'!K9&gt;0,IF('USER INPUTS'!$K$4="Mg/year",'USER INPUTS'!K9,'USER INPUTS'!L9),0))</f>
        <v>293489</v>
      </c>
      <c r="D24" s="420">
        <f>$C$23</f>
        <v>189082</v>
      </c>
      <c r="E24" s="420">
        <f>IF(ClosureCalcYes=FALSE,IF(AND(B24&lt;ClosureYear,C24=0,SUM(C24:$C$102)=0),$D$13,IF(B24&lt;=ClosureYear,C24,0)),IF(B24=$D$16,($D$14-F24),IF(B24&lt;$D$16,IF(SUM(C24:$C$102)=0,$D$13,C24),0)))</f>
        <v>293489</v>
      </c>
      <c r="F24" s="66">
        <f>$E$23</f>
        <v>189082</v>
      </c>
      <c r="G24" s="284">
        <f>IF(SUM(C25:$C$101)=0,C24,0)</f>
        <v>0</v>
      </c>
      <c r="H24" s="284">
        <f t="shared" ref="H24:H62" si="0">IF(G24&gt;0,B24,0)</f>
        <v>0</v>
      </c>
      <c r="I24" s="4">
        <f>IF($B$24="","",$B$24)</f>
        <v>2019</v>
      </c>
      <c r="J24" s="379">
        <f t="shared" ref="J24:J87" si="1">(M24+P24+S24+V24+Y24+AB24+AE24+AH24+AK24+AN24+AQ24+AT24+AW24+AZ24+BC24+BF24+BI24+BL24+BO24+BR24+BU24+BX24+CA24+CD24+CG24+CJ24+CM24+CP24+CS24+CV24+CY24+DB24+DE24+DH24+DK24+DN24+DQ24+DT24+DW24+DZ24+EC24+EF24+EI24+EL24+EO24+ER24+EU24+EX24+FA24+FD24+FG24+FJ24+FM24+FP24+FS24+FV24+FY24+GB24+GE24+GH24+GK24+GN24+GQ24+GT24+GW24+GZ24+HC24+HF24+HI24+HL24+HO24+HR24+HU24+HX24+IA24+ID24+IG24+IJ24+IM24+IP24)</f>
        <v>742884.91740785423</v>
      </c>
      <c r="K24" s="55">
        <v>0</v>
      </c>
      <c r="L24" s="59">
        <f t="shared" ref="L24:L55" si="2">$E$23</f>
        <v>189082</v>
      </c>
      <c r="M24" s="60">
        <f t="shared" ref="M24:M55" si="3">SUM($G$10*$G$11*L24*(EXP(-($G$10*K24))),$G$10*$G$11*L24*(EXP(-($G$10*(K24+0.1)))),$G$10*$G$11*L24*(EXP(-($G$10*(K24+0.2)))),$G$10*$G$11*L24*(EXP(-($G$10*(K24+0.3)))),$G$10*$G$11*L24*(EXP(-($G$10*(K24+0.4)))),$G$10*$G$11*L24*(EXP(-($G$10*(K24+0.5)))),$G$10*$G$11*L24*(EXP(-($G$10*(K24+0.6)))),$G$10*$G$11*L24*(EXP(-($G$10*(K24+0.7)))),$G$10*$G$11*L24*(EXP(-($G$10*(K24+0.8)))),$G$10*$G$11*L24*(EXP(-($G$10*(K24+0.9)))))/10</f>
        <v>742884.91740785423</v>
      </c>
      <c r="N24" s="55"/>
      <c r="O24" s="55"/>
      <c r="P24" s="55"/>
      <c r="Q24" s="55"/>
      <c r="R24" s="55"/>
      <c r="S24" s="55"/>
      <c r="T24" s="55"/>
      <c r="U24" s="55"/>
      <c r="V24" s="55"/>
      <c r="W24" s="55"/>
      <c r="X24" s="55"/>
      <c r="Y24" s="55"/>
      <c r="Z24" s="55"/>
      <c r="AA24" s="55"/>
      <c r="AB24" s="61"/>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360"/>
      <c r="EB24" s="360"/>
      <c r="EC24" s="360"/>
      <c r="ED24" s="360"/>
      <c r="EE24" s="360"/>
      <c r="EF24" s="360"/>
      <c r="EG24" s="360"/>
      <c r="EH24" s="360"/>
      <c r="EI24" s="360"/>
      <c r="EJ24" s="360"/>
      <c r="EK24" s="360"/>
      <c r="EL24" s="360"/>
      <c r="EM24" s="360"/>
      <c r="EN24" s="360"/>
      <c r="EO24" s="360"/>
      <c r="EP24" s="360"/>
      <c r="EQ24" s="360"/>
      <c r="ER24" s="360"/>
      <c r="ES24" s="360"/>
      <c r="ET24" s="360"/>
      <c r="EU24" s="360"/>
      <c r="EV24" s="360"/>
      <c r="EW24" s="360"/>
      <c r="EX24" s="360"/>
      <c r="EY24" s="360"/>
      <c r="EZ24" s="360"/>
      <c r="FA24" s="360"/>
      <c r="FB24" s="360"/>
      <c r="FC24" s="360"/>
      <c r="FD24" s="360"/>
      <c r="FE24" s="360"/>
      <c r="FF24" s="360"/>
      <c r="FG24" s="360"/>
      <c r="FH24" s="360"/>
      <c r="FI24" s="360"/>
      <c r="FJ24" s="360"/>
      <c r="FK24" s="360"/>
      <c r="FL24" s="360"/>
      <c r="FM24" s="360"/>
      <c r="FN24" s="360"/>
      <c r="FO24" s="360"/>
      <c r="FP24" s="360"/>
      <c r="FQ24" s="360"/>
      <c r="FR24" s="360"/>
      <c r="FS24" s="360"/>
      <c r="FT24" s="360"/>
      <c r="FU24" s="360"/>
      <c r="FV24" s="360"/>
      <c r="FW24" s="360"/>
      <c r="FX24" s="360"/>
      <c r="FY24" s="360"/>
      <c r="FZ24" s="360"/>
      <c r="GA24" s="360"/>
      <c r="GB24" s="360"/>
      <c r="GC24" s="360"/>
      <c r="GD24" s="360"/>
      <c r="GE24" s="360"/>
      <c r="GF24" s="360"/>
      <c r="GG24" s="360"/>
      <c r="GH24" s="360"/>
      <c r="GI24" s="360"/>
      <c r="GJ24" s="360"/>
      <c r="GK24" s="360"/>
      <c r="GL24" s="360"/>
      <c r="GM24" s="360"/>
      <c r="GN24" s="360"/>
      <c r="GO24" s="360"/>
      <c r="GP24" s="360"/>
      <c r="GQ24" s="360"/>
      <c r="GR24" s="360"/>
      <c r="GS24" s="360"/>
      <c r="GT24" s="360"/>
      <c r="GU24" s="360"/>
      <c r="GV24" s="360"/>
      <c r="GW24" s="360"/>
      <c r="GX24" s="360"/>
      <c r="GY24" s="360"/>
      <c r="GZ24" s="360"/>
      <c r="HA24" s="360"/>
      <c r="HB24" s="360"/>
      <c r="HC24" s="360"/>
      <c r="HD24" s="360"/>
      <c r="HE24" s="360"/>
      <c r="HF24" s="360"/>
      <c r="HG24" s="360"/>
      <c r="HH24" s="360"/>
      <c r="HI24" s="360"/>
      <c r="HJ24" s="360"/>
      <c r="HK24" s="360"/>
      <c r="HL24" s="360"/>
      <c r="HM24" s="360"/>
      <c r="HN24" s="360"/>
      <c r="HO24" s="360"/>
      <c r="HP24" s="360"/>
      <c r="HQ24" s="360"/>
      <c r="HR24" s="360"/>
      <c r="HS24" s="360"/>
      <c r="HT24" s="360"/>
      <c r="HU24" s="360"/>
      <c r="HV24" s="360"/>
      <c r="HW24" s="360"/>
      <c r="HX24" s="360"/>
      <c r="HY24" s="360"/>
      <c r="HZ24" s="360"/>
      <c r="IA24" s="360"/>
      <c r="IB24" s="360"/>
      <c r="IC24" s="360"/>
      <c r="ID24" s="360"/>
      <c r="IE24" s="360"/>
      <c r="IF24" s="360"/>
      <c r="IG24" s="360"/>
      <c r="IH24" s="360"/>
      <c r="II24" s="360"/>
      <c r="IJ24" s="360"/>
      <c r="IK24" s="360"/>
      <c r="IL24" s="360"/>
      <c r="IM24" s="360"/>
      <c r="IN24" s="360"/>
      <c r="IO24" s="360"/>
      <c r="IP24" s="360"/>
    </row>
    <row r="25" spans="1:250">
      <c r="B25" s="56">
        <f>'USER INPUTS'!J10</f>
        <v>2020</v>
      </c>
      <c r="C25" s="420">
        <f>IF(OR(AND(ClosureCalcYes=TRUE,WasteCapacity=""),AND(ClosureCalcYes=FALSE,ClosureYear="")),0,IF('USER INPUTS'!K10&gt;0,IF('USER INPUTS'!$K$4="Mg/year",'USER INPUTS'!K10,'USER INPUTS'!L10),0))</f>
        <v>283523</v>
      </c>
      <c r="D25" s="420">
        <f>C24+D24</f>
        <v>482571</v>
      </c>
      <c r="E25" s="420">
        <f>IF(ClosureCalcYes=FALSE,IF(AND(B25&lt;ClosureYear,C25=0,SUM(C25:$C$102)=0),$D$13,IF(B25&lt;=ClosureYear,C25,0)),IF(B25=$D$16,($D$14-F25),IF(B25&lt;$D$16,IF(SUM(C25:$C$102)=0,$D$13,C25),0)))</f>
        <v>283523</v>
      </c>
      <c r="F25" s="66">
        <f>E24+F24</f>
        <v>482571</v>
      </c>
      <c r="G25" s="284">
        <f>IF(SUM(C26:$C$101)=0,C25,0)</f>
        <v>0</v>
      </c>
      <c r="H25" s="284">
        <f t="shared" si="0"/>
        <v>0</v>
      </c>
      <c r="I25" s="2">
        <f>IF(I24="","",(I24+1))</f>
        <v>2020</v>
      </c>
      <c r="J25" s="379">
        <f t="shared" si="1"/>
        <v>1866845.9204539484</v>
      </c>
      <c r="K25" s="2">
        <v>1</v>
      </c>
      <c r="L25" s="57">
        <f t="shared" si="2"/>
        <v>189082</v>
      </c>
      <c r="M25" s="62">
        <f t="shared" si="3"/>
        <v>713755.98315101233</v>
      </c>
      <c r="N25" s="2">
        <v>0</v>
      </c>
      <c r="O25" s="57">
        <f t="shared" ref="O25:O56" si="4">$E$24</f>
        <v>293489</v>
      </c>
      <c r="P25" s="62">
        <f t="shared" ref="P25:P56" si="5">SUM($G$10*$G$11*O25*(EXP(-($G$10*N25))),$G$10*$G$11*O25*(EXP(-($G$10*(N25+0.1)))),$G$10*$G$11*O25*(EXP(-($G$10*(N25+0.2)))),$G$10*$G$11*O25*(EXP(-($G$10*(N25+0.3)))),$G$10*$G$11*O25*(EXP(-($G$10*(N25+0.4)))),$G$10*$G$11*O25*(EXP(-($G$10*(N25+0.5)))),$G$10*$G$11*O25*(EXP(-($G$10*(N25+0.6)))),$G$10*$G$11*O25*(EXP(-($G$10*(N25+0.7)))),$G$10*$G$11*O25*(EXP(-($G$10*(N25+0.8)))),$G$10*$G$11*O25*(EXP(-($G$10*(N25+0.9)))))/10</f>
        <v>1153089.9373029361</v>
      </c>
      <c r="Q25" s="2"/>
      <c r="R25" s="2"/>
      <c r="S25" s="62"/>
      <c r="T25" s="2"/>
      <c r="U25" s="2"/>
      <c r="V25" s="2"/>
      <c r="W25" s="2"/>
      <c r="X25" s="2"/>
      <c r="Y25" s="2"/>
      <c r="Z25" s="2"/>
      <c r="AA25" s="2"/>
      <c r="AB25" s="1"/>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361"/>
      <c r="EB25" s="361"/>
      <c r="EC25" s="361"/>
      <c r="ED25" s="361"/>
      <c r="EE25" s="361"/>
      <c r="EF25" s="361"/>
      <c r="EG25" s="361"/>
      <c r="EH25" s="361"/>
      <c r="EI25" s="361"/>
      <c r="EJ25" s="361"/>
      <c r="EK25" s="361"/>
      <c r="EL25" s="361"/>
      <c r="EM25" s="361"/>
      <c r="EN25" s="361"/>
      <c r="EO25" s="361"/>
      <c r="EP25" s="361"/>
      <c r="EQ25" s="361"/>
      <c r="ER25" s="361"/>
      <c r="ES25" s="361"/>
      <c r="ET25" s="361"/>
      <c r="EU25" s="361"/>
      <c r="EV25" s="361"/>
      <c r="EW25" s="361"/>
      <c r="EX25" s="361"/>
      <c r="EY25" s="361"/>
      <c r="EZ25" s="361"/>
      <c r="FA25" s="361"/>
      <c r="FB25" s="361"/>
      <c r="FC25" s="361"/>
      <c r="FD25" s="361"/>
      <c r="FE25" s="361"/>
      <c r="FF25" s="361"/>
      <c r="FG25" s="361"/>
      <c r="FH25" s="361"/>
      <c r="FI25" s="361"/>
      <c r="FJ25" s="361"/>
      <c r="FK25" s="361"/>
      <c r="FL25" s="361"/>
      <c r="FM25" s="361"/>
      <c r="FN25" s="361"/>
      <c r="FO25" s="361"/>
      <c r="FP25" s="361"/>
      <c r="FQ25" s="361"/>
      <c r="FR25" s="361"/>
      <c r="FS25" s="361"/>
      <c r="FT25" s="361"/>
      <c r="FU25" s="361"/>
      <c r="FV25" s="361"/>
      <c r="FW25" s="361"/>
      <c r="FX25" s="361"/>
      <c r="FY25" s="361"/>
      <c r="FZ25" s="361"/>
      <c r="GA25" s="361"/>
      <c r="GB25" s="361"/>
      <c r="GC25" s="361"/>
      <c r="GD25" s="361"/>
      <c r="GE25" s="361"/>
      <c r="GF25" s="361"/>
      <c r="GG25" s="361"/>
      <c r="GH25" s="361"/>
      <c r="GI25" s="361"/>
      <c r="GJ25" s="361"/>
      <c r="GK25" s="361"/>
      <c r="GL25" s="361"/>
      <c r="GM25" s="361"/>
      <c r="GN25" s="361"/>
      <c r="GO25" s="361"/>
      <c r="GP25" s="361"/>
      <c r="GQ25" s="361"/>
      <c r="GR25" s="361"/>
      <c r="GS25" s="361"/>
      <c r="GT25" s="361"/>
      <c r="GU25" s="361"/>
      <c r="GV25" s="361"/>
      <c r="GW25" s="361"/>
      <c r="GX25" s="361"/>
      <c r="GY25" s="361"/>
      <c r="GZ25" s="361"/>
      <c r="HA25" s="361"/>
      <c r="HB25" s="361"/>
      <c r="HC25" s="361"/>
      <c r="HD25" s="361"/>
      <c r="HE25" s="361"/>
      <c r="HF25" s="361"/>
      <c r="HG25" s="361"/>
      <c r="HH25" s="361"/>
      <c r="HI25" s="361"/>
      <c r="HJ25" s="361"/>
      <c r="HK25" s="361"/>
      <c r="HL25" s="361"/>
      <c r="HM25" s="361"/>
      <c r="HN25" s="361"/>
      <c r="HO25" s="361"/>
      <c r="HP25" s="361"/>
      <c r="HQ25" s="361"/>
      <c r="HR25" s="361"/>
      <c r="HS25" s="361"/>
      <c r="HT25" s="361"/>
      <c r="HU25" s="361"/>
      <c r="HV25" s="361"/>
      <c r="HW25" s="361"/>
      <c r="HX25" s="361"/>
      <c r="HY25" s="361"/>
      <c r="HZ25" s="361"/>
      <c r="IA25" s="361"/>
      <c r="IB25" s="361"/>
      <c r="IC25" s="361"/>
      <c r="ID25" s="361"/>
      <c r="IE25" s="361"/>
      <c r="IF25" s="361"/>
      <c r="IG25" s="361"/>
      <c r="IH25" s="361"/>
      <c r="II25" s="361"/>
      <c r="IJ25" s="361"/>
      <c r="IK25" s="361"/>
      <c r="IL25" s="361"/>
      <c r="IM25" s="361"/>
      <c r="IN25" s="361"/>
      <c r="IO25" s="361"/>
      <c r="IP25" s="361"/>
    </row>
    <row r="26" spans="1:250">
      <c r="B26" s="56">
        <f>'USER INPUTS'!J11</f>
        <v>2021</v>
      </c>
      <c r="C26" s="420">
        <f>IF(OR(AND(ClosureCalcYes=TRUE,WasteCapacity=""),AND(ClosureCalcYes=FALSE,ClosureYear="")),0,IF('USER INPUTS'!K11&gt;0,IF('USER INPUTS'!$K$4="Mg/year",'USER INPUTS'!K11,'USER INPUTS'!L11),0))</f>
        <v>143321</v>
      </c>
      <c r="D26" s="420">
        <f t="shared" ref="D26:D62" si="6">C25+D25</f>
        <v>766094</v>
      </c>
      <c r="E26" s="420">
        <f>IF(ClosureCalcYes=FALSE,IF(AND(B26&lt;ClosureYear,C26=0,SUM(C26:$C$102)=0),$D$13,IF(B26&lt;=ClosureYear,C26,0)),IF(B26=$D$16,($D$14-F26),IF(B26&lt;$D$16,IF(SUM(C26:$C$102)=0,$D$13,C26),0)))</f>
        <v>143321</v>
      </c>
      <c r="F26" s="66">
        <f t="shared" ref="F26:F62" si="7">E25+F25</f>
        <v>766094</v>
      </c>
      <c r="G26" s="284">
        <f>IF(SUM(C27:$C$101)=0,C26,0)</f>
        <v>0</v>
      </c>
      <c r="H26" s="284">
        <f t="shared" si="0"/>
        <v>0</v>
      </c>
      <c r="I26" s="2">
        <f t="shared" ref="I26:I89" si="8">IF(I25="","",(I25+1))</f>
        <v>2021</v>
      </c>
      <c r="J26" s="379">
        <f t="shared" si="1"/>
        <v>2907580.3306660322</v>
      </c>
      <c r="K26" s="2">
        <v>2</v>
      </c>
      <c r="L26" s="57">
        <f t="shared" si="2"/>
        <v>189082</v>
      </c>
      <c r="M26" s="62">
        <f t="shared" si="3"/>
        <v>685769.21074327617</v>
      </c>
      <c r="N26" s="2">
        <v>1</v>
      </c>
      <c r="O26" s="57">
        <f t="shared" si="4"/>
        <v>293489</v>
      </c>
      <c r="P26" s="62">
        <f t="shared" si="5"/>
        <v>1107876.6341534755</v>
      </c>
      <c r="Q26" s="2">
        <v>0</v>
      </c>
      <c r="R26" s="57">
        <f t="shared" ref="R26:R57" si="9">$E$25</f>
        <v>283523</v>
      </c>
      <c r="S26" s="62">
        <f t="shared" ref="S26:S57" si="10">SUM($G$10*$G$11*R26*(EXP(-($G$10*Q26))),$G$10*$G$11*R26*(EXP(-($G$10*(Q26+0.1)))),$G$10*$G$11*R26*(EXP(-($G$10*(Q26+0.2)))),$G$10*$G$11*R26*(EXP(-($G$10*(Q26+0.3)))),$G$10*$G$11*R26*(EXP(-($G$10*(Q26+0.4)))),$G$10*$G$11*R26*(EXP(-($G$10*(Q26+0.5)))),$G$10*$G$11*R26*(EXP(-($G$10*(Q26+0.6)))),$G$10*$G$11*R26*(EXP(-($G$10*(Q26+0.7)))),$G$10*$G$11*R26*(EXP(-($G$10*(Q26+0.8)))),$G$10*$G$11*R26*(EXP(-($G$10*(Q26+0.9)))))/10</f>
        <v>1113934.4857692805</v>
      </c>
      <c r="T26" s="2"/>
      <c r="U26" s="2"/>
      <c r="V26" s="2"/>
      <c r="W26" s="2"/>
      <c r="X26" s="2"/>
      <c r="Y26" s="2"/>
      <c r="Z26" s="2"/>
      <c r="AA26" s="2"/>
      <c r="AB26" s="1"/>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361"/>
      <c r="EB26" s="361"/>
      <c r="EC26" s="361"/>
      <c r="ED26" s="361"/>
      <c r="EE26" s="361"/>
      <c r="EF26" s="361"/>
      <c r="EG26" s="361"/>
      <c r="EH26" s="361"/>
      <c r="EI26" s="361"/>
      <c r="EJ26" s="361"/>
      <c r="EK26" s="361"/>
      <c r="EL26" s="361"/>
      <c r="EM26" s="361"/>
      <c r="EN26" s="361"/>
      <c r="EO26" s="361"/>
      <c r="EP26" s="361"/>
      <c r="EQ26" s="361"/>
      <c r="ER26" s="361"/>
      <c r="ES26" s="361"/>
      <c r="ET26" s="361"/>
      <c r="EU26" s="361"/>
      <c r="EV26" s="361"/>
      <c r="EW26" s="361"/>
      <c r="EX26" s="361"/>
      <c r="EY26" s="361"/>
      <c r="EZ26" s="361"/>
      <c r="FA26" s="361"/>
      <c r="FB26" s="361"/>
      <c r="FC26" s="361"/>
      <c r="FD26" s="361"/>
      <c r="FE26" s="361"/>
      <c r="FF26" s="361"/>
      <c r="FG26" s="361"/>
      <c r="FH26" s="361"/>
      <c r="FI26" s="361"/>
      <c r="FJ26" s="361"/>
      <c r="FK26" s="361"/>
      <c r="FL26" s="361"/>
      <c r="FM26" s="361"/>
      <c r="FN26" s="361"/>
      <c r="FO26" s="361"/>
      <c r="FP26" s="361"/>
      <c r="FQ26" s="361"/>
      <c r="FR26" s="361"/>
      <c r="FS26" s="361"/>
      <c r="FT26" s="361"/>
      <c r="FU26" s="361"/>
      <c r="FV26" s="361"/>
      <c r="FW26" s="361"/>
      <c r="FX26" s="361"/>
      <c r="FY26" s="361"/>
      <c r="FZ26" s="361"/>
      <c r="GA26" s="361"/>
      <c r="GB26" s="361"/>
      <c r="GC26" s="361"/>
      <c r="GD26" s="361"/>
      <c r="GE26" s="361"/>
      <c r="GF26" s="361"/>
      <c r="GG26" s="361"/>
      <c r="GH26" s="361"/>
      <c r="GI26" s="361"/>
      <c r="GJ26" s="361"/>
      <c r="GK26" s="361"/>
      <c r="GL26" s="361"/>
      <c r="GM26" s="361"/>
      <c r="GN26" s="361"/>
      <c r="GO26" s="361"/>
      <c r="GP26" s="361"/>
      <c r="GQ26" s="361"/>
      <c r="GR26" s="361"/>
      <c r="GS26" s="361"/>
      <c r="GT26" s="361"/>
      <c r="GU26" s="361"/>
      <c r="GV26" s="361"/>
      <c r="GW26" s="361"/>
      <c r="GX26" s="361"/>
      <c r="GY26" s="361"/>
      <c r="GZ26" s="361"/>
      <c r="HA26" s="361"/>
      <c r="HB26" s="361"/>
      <c r="HC26" s="361"/>
      <c r="HD26" s="361"/>
      <c r="HE26" s="361"/>
      <c r="HF26" s="361"/>
      <c r="HG26" s="361"/>
      <c r="HH26" s="361"/>
      <c r="HI26" s="361"/>
      <c r="HJ26" s="361"/>
      <c r="HK26" s="361"/>
      <c r="HL26" s="361"/>
      <c r="HM26" s="361"/>
      <c r="HN26" s="361"/>
      <c r="HO26" s="361"/>
      <c r="HP26" s="361"/>
      <c r="HQ26" s="361"/>
      <c r="HR26" s="361"/>
      <c r="HS26" s="361"/>
      <c r="HT26" s="361"/>
      <c r="HU26" s="361"/>
      <c r="HV26" s="361"/>
      <c r="HW26" s="361"/>
      <c r="HX26" s="361"/>
      <c r="HY26" s="361"/>
      <c r="HZ26" s="361"/>
      <c r="IA26" s="361"/>
      <c r="IB26" s="361"/>
      <c r="IC26" s="361"/>
      <c r="ID26" s="361"/>
      <c r="IE26" s="361"/>
      <c r="IF26" s="361"/>
      <c r="IG26" s="361"/>
      <c r="IH26" s="361"/>
      <c r="II26" s="361"/>
      <c r="IJ26" s="361"/>
      <c r="IK26" s="361"/>
      <c r="IL26" s="361"/>
      <c r="IM26" s="361"/>
      <c r="IN26" s="361"/>
      <c r="IO26" s="361"/>
      <c r="IP26" s="361"/>
    </row>
    <row r="27" spans="1:250">
      <c r="B27" s="56">
        <f>'USER INPUTS'!J12</f>
        <v>2022</v>
      </c>
      <c r="C27" s="420">
        <f>IF(OR(AND(ClosureCalcYes=TRUE,WasteCapacity=""),AND(ClosureCalcYes=FALSE,ClosureYear="")),0,IF('USER INPUTS'!K12&gt;0,IF('USER INPUTS'!$K$4="Mg/year",'USER INPUTS'!K12,'USER INPUTS'!L12),0))</f>
        <v>227851</v>
      </c>
      <c r="D27" s="420">
        <f t="shared" si="6"/>
        <v>909415</v>
      </c>
      <c r="E27" s="420">
        <f>IF(ClosureCalcYes=FALSE,IF(AND(B27&lt;ClosureYear,C27=0,SUM(C27:$C$102)=0),$D$13,IF(B27&lt;=ClosureYear,C27,0)),IF(B27=$D$16,($D$14-F27),IF(B27&lt;$D$16,IF(SUM(C27:$C$102)=0,$D$13,C27),0)))</f>
        <v>227851</v>
      </c>
      <c r="F27" s="66">
        <f t="shared" si="7"/>
        <v>909415</v>
      </c>
      <c r="G27" s="284">
        <f>IF(SUM(C28:$C$101)=0,C27,0)</f>
        <v>0</v>
      </c>
      <c r="H27" s="284">
        <f t="shared" si="0"/>
        <v>0</v>
      </c>
      <c r="I27" s="2">
        <f t="shared" si="8"/>
        <v>2022</v>
      </c>
      <c r="J27" s="379">
        <f t="shared" si="1"/>
        <v>3356666.8429668872</v>
      </c>
      <c r="K27" s="2">
        <v>3</v>
      </c>
      <c r="L27" s="57">
        <f t="shared" si="2"/>
        <v>189082</v>
      </c>
      <c r="M27" s="62">
        <f t="shared" si="3"/>
        <v>658879.81537796347</v>
      </c>
      <c r="N27" s="2">
        <v>2</v>
      </c>
      <c r="O27" s="57">
        <f t="shared" si="4"/>
        <v>293489</v>
      </c>
      <c r="P27" s="62">
        <f t="shared" si="5"/>
        <v>1064436.169978281</v>
      </c>
      <c r="Q27" s="2">
        <v>1</v>
      </c>
      <c r="R27" s="57">
        <f t="shared" si="9"/>
        <v>283523</v>
      </c>
      <c r="S27" s="62">
        <f t="shared" si="10"/>
        <v>1070256.4898346984</v>
      </c>
      <c r="T27" s="2">
        <v>0</v>
      </c>
      <c r="U27" s="57">
        <f t="shared" ref="U27:U58" si="11">$E$26</f>
        <v>143321</v>
      </c>
      <c r="V27" s="62">
        <f t="shared" ref="V27:V58" si="12">SUM($G$10*$G$11*U27*(EXP(-($G$10*T27))),$G$10*$G$11*U27*(EXP(-($G$10*(T27+0.1)))),$G$10*$G$11*U27*(EXP(-($G$10*(T27+0.2)))),$G$10*$G$11*U27*(EXP(-($G$10*(T27+0.3)))),$G$10*$G$11*U27*(EXP(-($G$10*(T27+0.4)))),$G$10*$G$11*U27*(EXP(-($G$10*(T27+0.5)))),$G$10*$G$11*U27*(EXP(-($G$10*(T27+0.6)))),$G$10*$G$11*U27*(EXP(-($G$10*(T27+0.7)))),$G$10*$G$11*U27*(EXP(-($G$10*(T27+0.8)))),$G$10*$G$11*U27*(EXP(-($G$10*(T27+0.9)))))/10</f>
        <v>563094.36777594429</v>
      </c>
      <c r="W27" s="2"/>
      <c r="X27" s="2"/>
      <c r="Y27" s="62"/>
      <c r="Z27" s="2"/>
      <c r="AA27" s="2"/>
      <c r="AB27" s="6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361"/>
      <c r="EB27" s="361"/>
      <c r="EC27" s="361"/>
      <c r="ED27" s="361"/>
      <c r="EE27" s="361"/>
      <c r="EF27" s="361"/>
      <c r="EG27" s="361"/>
      <c r="EH27" s="361"/>
      <c r="EI27" s="361"/>
      <c r="EJ27" s="361"/>
      <c r="EK27" s="361"/>
      <c r="EL27" s="361"/>
      <c r="EM27" s="361"/>
      <c r="EN27" s="361"/>
      <c r="EO27" s="361"/>
      <c r="EP27" s="361"/>
      <c r="EQ27" s="361"/>
      <c r="ER27" s="361"/>
      <c r="ES27" s="361"/>
      <c r="ET27" s="361"/>
      <c r="EU27" s="361"/>
      <c r="EV27" s="361"/>
      <c r="EW27" s="361"/>
      <c r="EX27" s="361"/>
      <c r="EY27" s="361"/>
      <c r="EZ27" s="361"/>
      <c r="FA27" s="361"/>
      <c r="FB27" s="361"/>
      <c r="FC27" s="361"/>
      <c r="FD27" s="361"/>
      <c r="FE27" s="361"/>
      <c r="FF27" s="361"/>
      <c r="FG27" s="361"/>
      <c r="FH27" s="361"/>
      <c r="FI27" s="361"/>
      <c r="FJ27" s="361"/>
      <c r="FK27" s="361"/>
      <c r="FL27" s="361"/>
      <c r="FM27" s="361"/>
      <c r="FN27" s="361"/>
      <c r="FO27" s="361"/>
      <c r="FP27" s="361"/>
      <c r="FQ27" s="361"/>
      <c r="FR27" s="361"/>
      <c r="FS27" s="361"/>
      <c r="FT27" s="361"/>
      <c r="FU27" s="361"/>
      <c r="FV27" s="361"/>
      <c r="FW27" s="361"/>
      <c r="FX27" s="361"/>
      <c r="FY27" s="361"/>
      <c r="FZ27" s="361"/>
      <c r="GA27" s="361"/>
      <c r="GB27" s="361"/>
      <c r="GC27" s="361"/>
      <c r="GD27" s="361"/>
      <c r="GE27" s="361"/>
      <c r="GF27" s="361"/>
      <c r="GG27" s="361"/>
      <c r="GH27" s="361"/>
      <c r="GI27" s="361"/>
      <c r="GJ27" s="361"/>
      <c r="GK27" s="361"/>
      <c r="GL27" s="361"/>
      <c r="GM27" s="361"/>
      <c r="GN27" s="361"/>
      <c r="GO27" s="361"/>
      <c r="GP27" s="361"/>
      <c r="GQ27" s="361"/>
      <c r="GR27" s="361"/>
      <c r="GS27" s="361"/>
      <c r="GT27" s="361"/>
      <c r="GU27" s="361"/>
      <c r="GV27" s="361"/>
      <c r="GW27" s="361"/>
      <c r="GX27" s="361"/>
      <c r="GY27" s="361"/>
      <c r="GZ27" s="361"/>
      <c r="HA27" s="361"/>
      <c r="HB27" s="361"/>
      <c r="HC27" s="361"/>
      <c r="HD27" s="361"/>
      <c r="HE27" s="361"/>
      <c r="HF27" s="361"/>
      <c r="HG27" s="361"/>
      <c r="HH27" s="361"/>
      <c r="HI27" s="361"/>
      <c r="HJ27" s="361"/>
      <c r="HK27" s="361"/>
      <c r="HL27" s="361"/>
      <c r="HM27" s="361"/>
      <c r="HN27" s="361"/>
      <c r="HO27" s="361"/>
      <c r="HP27" s="361"/>
      <c r="HQ27" s="361"/>
      <c r="HR27" s="361"/>
      <c r="HS27" s="361"/>
      <c r="HT27" s="361"/>
      <c r="HU27" s="361"/>
      <c r="HV27" s="361"/>
      <c r="HW27" s="361"/>
      <c r="HX27" s="361"/>
      <c r="HY27" s="361"/>
      <c r="HZ27" s="361"/>
      <c r="IA27" s="361"/>
      <c r="IB27" s="361"/>
      <c r="IC27" s="361"/>
      <c r="ID27" s="361"/>
      <c r="IE27" s="361"/>
      <c r="IF27" s="361"/>
      <c r="IG27" s="361"/>
      <c r="IH27" s="361"/>
      <c r="II27" s="361"/>
      <c r="IJ27" s="361"/>
      <c r="IK27" s="361"/>
      <c r="IL27" s="361"/>
      <c r="IM27" s="361"/>
      <c r="IN27" s="361"/>
      <c r="IO27" s="361"/>
      <c r="IP27" s="361"/>
    </row>
    <row r="28" spans="1:250">
      <c r="B28" s="56">
        <f>'USER INPUTS'!J13</f>
        <v>2023</v>
      </c>
      <c r="C28" s="420">
        <f>IF(OR(AND(ClosureCalcYes=TRUE,WasteCapacity=""),AND(ClosureCalcYes=FALSE,ClosureYear="")),0,IF('USER INPUTS'!K13&gt;0,IF('USER INPUTS'!$K$4="Mg/year",'USER INPUTS'!K13,'USER INPUTS'!L13),0))</f>
        <v>238727</v>
      </c>
      <c r="D28" s="420">
        <f t="shared" si="6"/>
        <v>1137266</v>
      </c>
      <c r="E28" s="420">
        <f>IF(ClosureCalcYes=FALSE,IF(AND(B28&lt;ClosureYear,C28=0,SUM(C28:$C$102)=0),$D$13,IF(B28&lt;=ClosureYear,C28,0)),IF(B28=$D$16,($D$14-F28),IF(B28&lt;$D$16,IF(SUM(C28:$C$102)=0,$D$13,C28),0)))</f>
        <v>238727</v>
      </c>
      <c r="F28" s="66">
        <f t="shared" si="7"/>
        <v>1137266</v>
      </c>
      <c r="G28" s="284">
        <f>IF(SUM(C29:$C$101)=0,C28,0)</f>
        <v>0</v>
      </c>
      <c r="H28" s="284">
        <f t="shared" si="0"/>
        <v>0</v>
      </c>
      <c r="I28" s="2">
        <f t="shared" si="8"/>
        <v>2023</v>
      </c>
      <c r="J28" s="379">
        <f t="shared" si="1"/>
        <v>4120254.6277674451</v>
      </c>
      <c r="K28" s="2">
        <v>4</v>
      </c>
      <c r="L28" s="57">
        <f t="shared" si="2"/>
        <v>189082</v>
      </c>
      <c r="M28" s="62">
        <f t="shared" si="3"/>
        <v>633044.76828577998</v>
      </c>
      <c r="N28" s="2">
        <v>3</v>
      </c>
      <c r="O28" s="57">
        <f t="shared" si="4"/>
        <v>293489</v>
      </c>
      <c r="P28" s="62">
        <f t="shared" si="5"/>
        <v>1022699.0307668798</v>
      </c>
      <c r="Q28" s="2">
        <v>2</v>
      </c>
      <c r="R28" s="57">
        <f t="shared" si="9"/>
        <v>283523</v>
      </c>
      <c r="S28" s="62">
        <f t="shared" si="10"/>
        <v>1028291.1326174138</v>
      </c>
      <c r="T28" s="2">
        <v>1</v>
      </c>
      <c r="U28" s="57">
        <f t="shared" si="11"/>
        <v>143321</v>
      </c>
      <c r="V28" s="62">
        <f t="shared" si="12"/>
        <v>541015.12180528138</v>
      </c>
      <c r="W28" s="2">
        <v>0</v>
      </c>
      <c r="X28" s="57">
        <f t="shared" ref="X28:X59" si="13">$E$27</f>
        <v>227851</v>
      </c>
      <c r="Y28" s="62">
        <f t="shared" ref="Y28:Y59" si="14">SUM($G$10*$G$11*X28*(EXP(-($G$10*W28))),$G$10*$G$11*X28*(EXP(-($G$10*(W28+0.1)))),$G$10*$G$11*X28*(EXP(-($G$10*(W28+0.2)))),$G$10*$G$11*X28*(EXP(-($G$10*(W28+0.3)))),$G$10*$G$11*X28*(EXP(-($G$10*(W28+0.4)))),$G$10*$G$11*X28*(EXP(-($G$10*(W28+0.5)))),$G$10*$G$11*X28*(EXP(-($G$10*(W28+0.6)))),$G$10*$G$11*X28*(EXP(-($G$10*(W28+0.7)))),$G$10*$G$11*X28*(EXP(-($G$10*(W28+0.8)))),$G$10*$G$11*X28*(EXP(-($G$10*(W28+0.9)))))/10</f>
        <v>895204.57429209014</v>
      </c>
      <c r="Z28" s="2"/>
      <c r="AA28" s="2"/>
      <c r="AB28" s="6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361"/>
      <c r="EB28" s="361"/>
      <c r="EC28" s="361"/>
      <c r="ED28" s="361"/>
      <c r="EE28" s="361"/>
      <c r="EF28" s="361"/>
      <c r="EG28" s="361"/>
      <c r="EH28" s="361"/>
      <c r="EI28" s="361"/>
      <c r="EJ28" s="361"/>
      <c r="EK28" s="361"/>
      <c r="EL28" s="361"/>
      <c r="EM28" s="361"/>
      <c r="EN28" s="361"/>
      <c r="EO28" s="361"/>
      <c r="EP28" s="361"/>
      <c r="EQ28" s="361"/>
      <c r="ER28" s="361"/>
      <c r="ES28" s="361"/>
      <c r="ET28" s="361"/>
      <c r="EU28" s="361"/>
      <c r="EV28" s="361"/>
      <c r="EW28" s="361"/>
      <c r="EX28" s="361"/>
      <c r="EY28" s="361"/>
      <c r="EZ28" s="361"/>
      <c r="FA28" s="361"/>
      <c r="FB28" s="361"/>
      <c r="FC28" s="361"/>
      <c r="FD28" s="361"/>
      <c r="FE28" s="361"/>
      <c r="FF28" s="361"/>
      <c r="FG28" s="361"/>
      <c r="FH28" s="361"/>
      <c r="FI28" s="361"/>
      <c r="FJ28" s="361"/>
      <c r="FK28" s="361"/>
      <c r="FL28" s="361"/>
      <c r="FM28" s="361"/>
      <c r="FN28" s="361"/>
      <c r="FO28" s="361"/>
      <c r="FP28" s="361"/>
      <c r="FQ28" s="361"/>
      <c r="FR28" s="361"/>
      <c r="FS28" s="361"/>
      <c r="FT28" s="361"/>
      <c r="FU28" s="361"/>
      <c r="FV28" s="361"/>
      <c r="FW28" s="361"/>
      <c r="FX28" s="361"/>
      <c r="FY28" s="361"/>
      <c r="FZ28" s="361"/>
      <c r="GA28" s="361"/>
      <c r="GB28" s="361"/>
      <c r="GC28" s="361"/>
      <c r="GD28" s="361"/>
      <c r="GE28" s="361"/>
      <c r="GF28" s="361"/>
      <c r="GG28" s="361"/>
      <c r="GH28" s="361"/>
      <c r="GI28" s="361"/>
      <c r="GJ28" s="361"/>
      <c r="GK28" s="361"/>
      <c r="GL28" s="361"/>
      <c r="GM28" s="361"/>
      <c r="GN28" s="361"/>
      <c r="GO28" s="361"/>
      <c r="GP28" s="361"/>
      <c r="GQ28" s="361"/>
      <c r="GR28" s="361"/>
      <c r="GS28" s="361"/>
      <c r="GT28" s="361"/>
      <c r="GU28" s="361"/>
      <c r="GV28" s="361"/>
      <c r="GW28" s="361"/>
      <c r="GX28" s="361"/>
      <c r="GY28" s="361"/>
      <c r="GZ28" s="361"/>
      <c r="HA28" s="361"/>
      <c r="HB28" s="361"/>
      <c r="HC28" s="361"/>
      <c r="HD28" s="361"/>
      <c r="HE28" s="361"/>
      <c r="HF28" s="361"/>
      <c r="HG28" s="361"/>
      <c r="HH28" s="361"/>
      <c r="HI28" s="361"/>
      <c r="HJ28" s="361"/>
      <c r="HK28" s="361"/>
      <c r="HL28" s="361"/>
      <c r="HM28" s="361"/>
      <c r="HN28" s="361"/>
      <c r="HO28" s="361"/>
      <c r="HP28" s="361"/>
      <c r="HQ28" s="361"/>
      <c r="HR28" s="361"/>
      <c r="HS28" s="361"/>
      <c r="HT28" s="361"/>
      <c r="HU28" s="361"/>
      <c r="HV28" s="361"/>
      <c r="HW28" s="361"/>
      <c r="HX28" s="361"/>
      <c r="HY28" s="361"/>
      <c r="HZ28" s="361"/>
      <c r="IA28" s="361"/>
      <c r="IB28" s="361"/>
      <c r="IC28" s="361"/>
      <c r="ID28" s="361"/>
      <c r="IE28" s="361"/>
      <c r="IF28" s="361"/>
      <c r="IG28" s="361"/>
      <c r="IH28" s="361"/>
      <c r="II28" s="361"/>
      <c r="IJ28" s="361"/>
      <c r="IK28" s="361"/>
      <c r="IL28" s="361"/>
      <c r="IM28" s="361"/>
      <c r="IN28" s="361"/>
      <c r="IO28" s="361"/>
      <c r="IP28" s="361"/>
    </row>
    <row r="29" spans="1:250">
      <c r="B29" s="56">
        <f>'USER INPUTS'!J14</f>
        <v>2024</v>
      </c>
      <c r="C29" s="420">
        <f>IF(OR(AND(ClosureCalcYes=TRUE,WasteCapacity=""),AND(ClosureCalcYes=FALSE,ClosureYear="")),0,IF('USER INPUTS'!K14&gt;0,IF('USER INPUTS'!$K$4="Mg/year",'USER INPUTS'!K14,'USER INPUTS'!L14),0))</f>
        <v>250122</v>
      </c>
      <c r="D29" s="420">
        <f t="shared" si="6"/>
        <v>1375993</v>
      </c>
      <c r="E29" s="420">
        <f>IF(ClosureCalcYes=FALSE,IF(AND(B29&lt;ClosureYear,C29=0,SUM(C29:$C$102)=0),$D$13,IF(B29&lt;=ClosureYear,C29,0)),IF(B29=$D$16,($D$14-F29),IF(B29&lt;$D$16,IF(SUM(C29:$C$102)=0,$D$13,C29),0)))</f>
        <v>250122</v>
      </c>
      <c r="F29" s="66">
        <f t="shared" si="7"/>
        <v>1375993</v>
      </c>
      <c r="G29" s="284">
        <f>IF(SUM(C30:$C$101)=0,C29,0)</f>
        <v>0</v>
      </c>
      <c r="H29" s="284">
        <f t="shared" si="0"/>
        <v>0</v>
      </c>
      <c r="I29" s="2">
        <f t="shared" si="8"/>
        <v>2024</v>
      </c>
      <c r="J29" s="379">
        <f t="shared" si="1"/>
        <v>4896632.4609199539</v>
      </c>
      <c r="K29" s="2">
        <v>5</v>
      </c>
      <c r="L29" s="57">
        <f t="shared" si="2"/>
        <v>189082</v>
      </c>
      <c r="M29" s="62">
        <f t="shared" si="3"/>
        <v>608222.72787960689</v>
      </c>
      <c r="N29" s="2">
        <v>4</v>
      </c>
      <c r="O29" s="57">
        <f t="shared" si="4"/>
        <v>293489</v>
      </c>
      <c r="P29" s="62">
        <f t="shared" si="5"/>
        <v>982598.42819213495</v>
      </c>
      <c r="Q29" s="2">
        <v>3</v>
      </c>
      <c r="R29" s="57">
        <f t="shared" si="9"/>
        <v>283523</v>
      </c>
      <c r="S29" s="62">
        <f t="shared" si="10"/>
        <v>987971.26059279242</v>
      </c>
      <c r="T29" s="2">
        <v>2</v>
      </c>
      <c r="U29" s="57">
        <f t="shared" si="11"/>
        <v>143321</v>
      </c>
      <c r="V29" s="62">
        <f t="shared" si="12"/>
        <v>519801.61545222218</v>
      </c>
      <c r="W29" s="2">
        <v>1</v>
      </c>
      <c r="X29" s="57">
        <f t="shared" si="13"/>
        <v>227851</v>
      </c>
      <c r="Y29" s="62">
        <f t="shared" si="14"/>
        <v>860103.10086069163</v>
      </c>
      <c r="Z29" s="2">
        <v>0</v>
      </c>
      <c r="AA29" s="57">
        <f t="shared" ref="AA29:AA60" si="15">$E$28</f>
        <v>238727</v>
      </c>
      <c r="AB29" s="62">
        <f t="shared" ref="AB29:AB60" si="16">SUM($G$10*$G$11*AA29*(EXP(-($G$10*Z29))),$G$10*$G$11*AA29*(EXP(-($G$10*(Z29+0.1)))),$G$10*$G$11*AA29*(EXP(-($G$10*(Z29+0.2)))),$G$10*$G$11*AA29*(EXP(-($G$10*(Z29+0.3)))),$G$10*$G$11*AA29*(EXP(-($G$10*(Z29+0.4)))),$G$10*$G$11*AA29*(EXP(-($G$10*(Z29+0.5)))),$G$10*$G$11*AA29*(EXP(-($G$10*(Z29+0.6)))),$G$10*$G$11*AA29*(EXP(-($G$10*(Z29+0.7)))),$G$10*$G$11*AA29*(EXP(-($G$10*(Z29+0.8)))),$G$10*$G$11*AA29*(EXP(-($G$10*(Z29+0.9)))))/10</f>
        <v>937935.32794250548</v>
      </c>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361"/>
      <c r="EB29" s="361"/>
      <c r="EC29" s="361"/>
      <c r="ED29" s="361"/>
      <c r="EE29" s="361"/>
      <c r="EF29" s="361"/>
      <c r="EG29" s="361"/>
      <c r="EH29" s="361"/>
      <c r="EI29" s="361"/>
      <c r="EJ29" s="361"/>
      <c r="EK29" s="361"/>
      <c r="EL29" s="361"/>
      <c r="EM29" s="361"/>
      <c r="EN29" s="361"/>
      <c r="EO29" s="361"/>
      <c r="EP29" s="361"/>
      <c r="EQ29" s="361"/>
      <c r="ER29" s="361"/>
      <c r="ES29" s="361"/>
      <c r="ET29" s="361"/>
      <c r="EU29" s="361"/>
      <c r="EV29" s="361"/>
      <c r="EW29" s="361"/>
      <c r="EX29" s="361"/>
      <c r="EY29" s="361"/>
      <c r="EZ29" s="361"/>
      <c r="FA29" s="361"/>
      <c r="FB29" s="361"/>
      <c r="FC29" s="361"/>
      <c r="FD29" s="361"/>
      <c r="FE29" s="361"/>
      <c r="FF29" s="361"/>
      <c r="FG29" s="361"/>
      <c r="FH29" s="361"/>
      <c r="FI29" s="361"/>
      <c r="FJ29" s="361"/>
      <c r="FK29" s="361"/>
      <c r="FL29" s="361"/>
      <c r="FM29" s="361"/>
      <c r="FN29" s="361"/>
      <c r="FO29" s="361"/>
      <c r="FP29" s="361"/>
      <c r="FQ29" s="361"/>
      <c r="FR29" s="361"/>
      <c r="FS29" s="361"/>
      <c r="FT29" s="361"/>
      <c r="FU29" s="361"/>
      <c r="FV29" s="361"/>
      <c r="FW29" s="361"/>
      <c r="FX29" s="361"/>
      <c r="FY29" s="361"/>
      <c r="FZ29" s="361"/>
      <c r="GA29" s="361"/>
      <c r="GB29" s="361"/>
      <c r="GC29" s="361"/>
      <c r="GD29" s="361"/>
      <c r="GE29" s="361"/>
      <c r="GF29" s="361"/>
      <c r="GG29" s="361"/>
      <c r="GH29" s="361"/>
      <c r="GI29" s="361"/>
      <c r="GJ29" s="361"/>
      <c r="GK29" s="361"/>
      <c r="GL29" s="361"/>
      <c r="GM29" s="361"/>
      <c r="GN29" s="361"/>
      <c r="GO29" s="361"/>
      <c r="GP29" s="361"/>
      <c r="GQ29" s="361"/>
      <c r="GR29" s="361"/>
      <c r="GS29" s="361"/>
      <c r="GT29" s="361"/>
      <c r="GU29" s="361"/>
      <c r="GV29" s="361"/>
      <c r="GW29" s="361"/>
      <c r="GX29" s="361"/>
      <c r="GY29" s="361"/>
      <c r="GZ29" s="361"/>
      <c r="HA29" s="361"/>
      <c r="HB29" s="361"/>
      <c r="HC29" s="361"/>
      <c r="HD29" s="361"/>
      <c r="HE29" s="361"/>
      <c r="HF29" s="361"/>
      <c r="HG29" s="361"/>
      <c r="HH29" s="361"/>
      <c r="HI29" s="361"/>
      <c r="HJ29" s="361"/>
      <c r="HK29" s="361"/>
      <c r="HL29" s="361"/>
      <c r="HM29" s="361"/>
      <c r="HN29" s="361"/>
      <c r="HO29" s="361"/>
      <c r="HP29" s="361"/>
      <c r="HQ29" s="361"/>
      <c r="HR29" s="361"/>
      <c r="HS29" s="361"/>
      <c r="HT29" s="361"/>
      <c r="HU29" s="361"/>
      <c r="HV29" s="361"/>
      <c r="HW29" s="361"/>
      <c r="HX29" s="361"/>
      <c r="HY29" s="361"/>
      <c r="HZ29" s="361"/>
      <c r="IA29" s="361"/>
      <c r="IB29" s="361"/>
      <c r="IC29" s="361"/>
      <c r="ID29" s="361"/>
      <c r="IE29" s="361"/>
      <c r="IF29" s="361"/>
      <c r="IG29" s="361"/>
      <c r="IH29" s="361"/>
      <c r="II29" s="361"/>
      <c r="IJ29" s="361"/>
      <c r="IK29" s="361"/>
      <c r="IL29" s="361"/>
      <c r="IM29" s="361"/>
      <c r="IN29" s="361"/>
      <c r="IO29" s="361"/>
      <c r="IP29" s="361"/>
    </row>
    <row r="30" spans="1:250">
      <c r="B30" s="56">
        <f>'USER INPUTS'!J15</f>
        <v>2025</v>
      </c>
      <c r="C30" s="420">
        <f>IF(OR(AND(ClosureCalcYes=TRUE,WasteCapacity=""),AND(ClosureCalcYes=FALSE,ClosureYear="")),0,IF('USER INPUTS'!K15&gt;0,IF('USER INPUTS'!$K$4="Mg/year",'USER INPUTS'!K15,'USER INPUTS'!L15),0))</f>
        <v>262060</v>
      </c>
      <c r="D30" s="420">
        <f t="shared" si="6"/>
        <v>1626115</v>
      </c>
      <c r="E30" s="420">
        <f>IF(ClosureCalcYes=FALSE,IF(AND(B30&lt;ClosureYear,C30=0,SUM(C30:$C$102)=0),$D$13,IF(B30&lt;=ClosureYear,C30,0)),IF(B30=$D$16,($D$14-F30),IF(B30&lt;$D$16,IF(SUM(C30:$C$102)=0,$D$13,C30),0)))</f>
        <v>262060</v>
      </c>
      <c r="F30" s="66">
        <f t="shared" si="7"/>
        <v>1626115</v>
      </c>
      <c r="G30" s="284">
        <f>IF(SUM(C31:$C$101)=0,C30,0)</f>
        <v>0</v>
      </c>
      <c r="H30" s="284">
        <f t="shared" si="0"/>
        <v>0</v>
      </c>
      <c r="I30" s="2">
        <f t="shared" si="8"/>
        <v>2025</v>
      </c>
      <c r="J30" s="379">
        <f t="shared" si="1"/>
        <v>5687337.9383328436</v>
      </c>
      <c r="K30" s="2">
        <v>6</v>
      </c>
      <c r="L30" s="57">
        <f t="shared" si="2"/>
        <v>189082</v>
      </c>
      <c r="M30" s="62">
        <f t="shared" si="3"/>
        <v>584373.97359914356</v>
      </c>
      <c r="N30" s="2">
        <v>5</v>
      </c>
      <c r="O30" s="57">
        <f t="shared" si="4"/>
        <v>293489</v>
      </c>
      <c r="P30" s="62">
        <f t="shared" si="5"/>
        <v>944070.19273467571</v>
      </c>
      <c r="Q30" s="2">
        <v>4</v>
      </c>
      <c r="R30" s="57">
        <f t="shared" si="9"/>
        <v>283523</v>
      </c>
      <c r="S30" s="62">
        <f t="shared" si="10"/>
        <v>949232.35336356272</v>
      </c>
      <c r="T30" s="2">
        <v>3</v>
      </c>
      <c r="U30" s="57">
        <f t="shared" si="11"/>
        <v>143321</v>
      </c>
      <c r="V30" s="62">
        <f t="shared" si="12"/>
        <v>499419.90258081211</v>
      </c>
      <c r="W30" s="2">
        <v>2</v>
      </c>
      <c r="X30" s="57">
        <f t="shared" si="13"/>
        <v>227851</v>
      </c>
      <c r="Y30" s="62">
        <f t="shared" si="14"/>
        <v>826377.97588911804</v>
      </c>
      <c r="Z30" s="2">
        <v>1</v>
      </c>
      <c r="AA30" s="57">
        <f t="shared" si="15"/>
        <v>238727</v>
      </c>
      <c r="AB30" s="62">
        <f t="shared" si="16"/>
        <v>901158.35769503028</v>
      </c>
      <c r="AC30" s="2">
        <v>0</v>
      </c>
      <c r="AD30" s="57">
        <f t="shared" ref="AD30:AD61" si="17">$E$29</f>
        <v>250122</v>
      </c>
      <c r="AE30" s="62">
        <f t="shared" ref="AE30:AE61" si="18">SUM($G$10*$G$11*AD30*(EXP(-($G$10*AC30))),$G$10*$G$11*AD30*(EXP(-($G$10*(AC30+0.1)))),$G$10*$G$11*AD30*(EXP(-($G$10*(AC30+0.2)))),$G$10*$G$11*AD30*(EXP(-($G$10*(AC30+0.3)))),$G$10*$G$11*AD30*(EXP(-($G$10*(AC30+0.4)))),$G$10*$G$11*AD30*(EXP(-($G$10*(AC30+0.5)))),$G$10*$G$11*AD30*(EXP(-($G$10*(AC30+0.6)))),$G$10*$G$11*AD30*(EXP(-($G$10*(AC30+0.7)))),$G$10*$G$11*AD30*(EXP(-($G$10*(AC30+0.8)))),$G$10*$G$11*AD30*(EXP(-($G$10*(AC30+0.9)))))/10</f>
        <v>982705.1824705014</v>
      </c>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361"/>
      <c r="EB30" s="361"/>
      <c r="EC30" s="361"/>
      <c r="ED30" s="361"/>
      <c r="EE30" s="361"/>
      <c r="EF30" s="361"/>
      <c r="EG30" s="361"/>
      <c r="EH30" s="361"/>
      <c r="EI30" s="361"/>
      <c r="EJ30" s="361"/>
      <c r="EK30" s="361"/>
      <c r="EL30" s="361"/>
      <c r="EM30" s="361"/>
      <c r="EN30" s="361"/>
      <c r="EO30" s="361"/>
      <c r="EP30" s="361"/>
      <c r="EQ30" s="361"/>
      <c r="ER30" s="361"/>
      <c r="ES30" s="361"/>
      <c r="ET30" s="361"/>
      <c r="EU30" s="361"/>
      <c r="EV30" s="361"/>
      <c r="EW30" s="361"/>
      <c r="EX30" s="361"/>
      <c r="EY30" s="361"/>
      <c r="EZ30" s="361"/>
      <c r="FA30" s="361"/>
      <c r="FB30" s="361"/>
      <c r="FC30" s="361"/>
      <c r="FD30" s="361"/>
      <c r="FE30" s="361"/>
      <c r="FF30" s="361"/>
      <c r="FG30" s="361"/>
      <c r="FH30" s="361"/>
      <c r="FI30" s="361"/>
      <c r="FJ30" s="361"/>
      <c r="FK30" s="361"/>
      <c r="FL30" s="361"/>
      <c r="FM30" s="361"/>
      <c r="FN30" s="361"/>
      <c r="FO30" s="361"/>
      <c r="FP30" s="361"/>
      <c r="FQ30" s="361"/>
      <c r="FR30" s="361"/>
      <c r="FS30" s="361"/>
      <c r="FT30" s="361"/>
      <c r="FU30" s="361"/>
      <c r="FV30" s="361"/>
      <c r="FW30" s="361"/>
      <c r="FX30" s="361"/>
      <c r="FY30" s="361"/>
      <c r="FZ30" s="361"/>
      <c r="GA30" s="361"/>
      <c r="GB30" s="361"/>
      <c r="GC30" s="361"/>
      <c r="GD30" s="361"/>
      <c r="GE30" s="361"/>
      <c r="GF30" s="361"/>
      <c r="GG30" s="361"/>
      <c r="GH30" s="361"/>
      <c r="GI30" s="361"/>
      <c r="GJ30" s="361"/>
      <c r="GK30" s="361"/>
      <c r="GL30" s="361"/>
      <c r="GM30" s="361"/>
      <c r="GN30" s="361"/>
      <c r="GO30" s="361"/>
      <c r="GP30" s="361"/>
      <c r="GQ30" s="361"/>
      <c r="GR30" s="361"/>
      <c r="GS30" s="361"/>
      <c r="GT30" s="361"/>
      <c r="GU30" s="361"/>
      <c r="GV30" s="361"/>
      <c r="GW30" s="361"/>
      <c r="GX30" s="361"/>
      <c r="GY30" s="361"/>
      <c r="GZ30" s="361"/>
      <c r="HA30" s="361"/>
      <c r="HB30" s="361"/>
      <c r="HC30" s="361"/>
      <c r="HD30" s="361"/>
      <c r="HE30" s="361"/>
      <c r="HF30" s="361"/>
      <c r="HG30" s="361"/>
      <c r="HH30" s="361"/>
      <c r="HI30" s="361"/>
      <c r="HJ30" s="361"/>
      <c r="HK30" s="361"/>
      <c r="HL30" s="361"/>
      <c r="HM30" s="361"/>
      <c r="HN30" s="361"/>
      <c r="HO30" s="361"/>
      <c r="HP30" s="361"/>
      <c r="HQ30" s="361"/>
      <c r="HR30" s="361"/>
      <c r="HS30" s="361"/>
      <c r="HT30" s="361"/>
      <c r="HU30" s="361"/>
      <c r="HV30" s="361"/>
      <c r="HW30" s="361"/>
      <c r="HX30" s="361"/>
      <c r="HY30" s="361"/>
      <c r="HZ30" s="361"/>
      <c r="IA30" s="361"/>
      <c r="IB30" s="361"/>
      <c r="IC30" s="361"/>
      <c r="ID30" s="361"/>
      <c r="IE30" s="361"/>
      <c r="IF30" s="361"/>
      <c r="IG30" s="361"/>
      <c r="IH30" s="361"/>
      <c r="II30" s="361"/>
      <c r="IJ30" s="361"/>
      <c r="IK30" s="361"/>
      <c r="IL30" s="361"/>
      <c r="IM30" s="361"/>
      <c r="IN30" s="361"/>
      <c r="IO30" s="361"/>
      <c r="IP30" s="361"/>
    </row>
    <row r="31" spans="1:250">
      <c r="B31" s="56">
        <f>'USER INPUTS'!J16</f>
        <v>2026</v>
      </c>
      <c r="C31" s="420">
        <f>IF(OR(AND(ClosureCalcYes=TRUE,WasteCapacity=""),AND(ClosureCalcYes=FALSE,ClosureYear="")),0,IF('USER INPUTS'!K16&gt;0,IF('USER INPUTS'!$K$4="Mg/year",'USER INPUTS'!K16,'USER INPUTS'!L16),0))</f>
        <v>274569</v>
      </c>
      <c r="D31" s="420">
        <f t="shared" si="6"/>
        <v>1888175</v>
      </c>
      <c r="E31" s="420">
        <f>IF(ClosureCalcYes=FALSE,IF(AND(B31&lt;ClosureYear,C31=0,SUM(C31:$C$102)=0),$D$13,IF(B31&lt;=ClosureYear,C31,0)),IF(B31=$D$16,($D$14-F31),IF(B31&lt;$D$16,IF(SUM(C31:$C$102)=0,$D$13,C31),0)))</f>
        <v>274569</v>
      </c>
      <c r="F31" s="66">
        <f t="shared" si="7"/>
        <v>1888175</v>
      </c>
      <c r="G31" s="284">
        <f>IF(SUM(C32:$C$101)=0,C31,0)</f>
        <v>0</v>
      </c>
      <c r="H31" s="284">
        <f t="shared" si="0"/>
        <v>0</v>
      </c>
      <c r="I31" s="2">
        <f t="shared" si="8"/>
        <v>2026</v>
      </c>
      <c r="J31" s="379">
        <f t="shared" si="1"/>
        <v>6493942.6595988199</v>
      </c>
      <c r="K31" s="2">
        <v>7</v>
      </c>
      <c r="L31" s="57">
        <f t="shared" si="2"/>
        <v>189082</v>
      </c>
      <c r="M31" s="62">
        <f t="shared" si="3"/>
        <v>561460.34234953555</v>
      </c>
      <c r="N31" s="2">
        <v>6</v>
      </c>
      <c r="O31" s="57">
        <f t="shared" si="4"/>
        <v>293489</v>
      </c>
      <c r="P31" s="62">
        <f t="shared" si="5"/>
        <v>907052.67099797446</v>
      </c>
      <c r="Q31" s="2">
        <v>5</v>
      </c>
      <c r="R31" s="57">
        <f t="shared" si="9"/>
        <v>283523</v>
      </c>
      <c r="S31" s="62">
        <f t="shared" si="10"/>
        <v>912012.42041341739</v>
      </c>
      <c r="T31" s="2">
        <v>4</v>
      </c>
      <c r="U31" s="57">
        <f t="shared" si="11"/>
        <v>143321</v>
      </c>
      <c r="V31" s="62">
        <f t="shared" si="12"/>
        <v>479837.36810212646</v>
      </c>
      <c r="W31" s="2">
        <v>3</v>
      </c>
      <c r="X31" s="57">
        <f t="shared" si="13"/>
        <v>227851</v>
      </c>
      <c r="Y31" s="62">
        <f t="shared" si="14"/>
        <v>793975.23198233766</v>
      </c>
      <c r="Z31" s="2">
        <v>2</v>
      </c>
      <c r="AA31" s="57">
        <f t="shared" si="15"/>
        <v>238727</v>
      </c>
      <c r="AB31" s="62">
        <f t="shared" si="16"/>
        <v>865823.43307723664</v>
      </c>
      <c r="AC31" s="2">
        <v>1</v>
      </c>
      <c r="AD31" s="57">
        <f t="shared" si="17"/>
        <v>250122</v>
      </c>
      <c r="AE31" s="62">
        <f t="shared" si="18"/>
        <v>944172.76111791434</v>
      </c>
      <c r="AF31" s="2">
        <v>0</v>
      </c>
      <c r="AG31" s="57">
        <f t="shared" ref="AG31:AG62" si="19">$E$30</f>
        <v>262060</v>
      </c>
      <c r="AH31" s="62">
        <f t="shared" ref="AH31:AH62" si="20">SUM($G$10*$G$11*AG31*(EXP(-($G$10*AF31))),$G$10*$G$11*AG31*(EXP(-($G$10*(AF31+0.1)))),$G$10*$G$11*AG31*(EXP(-($G$10*(AF31+0.2)))),$G$10*$G$11*AG31*(EXP(-($G$10*(AF31+0.3)))),$G$10*$G$11*AG31*(EXP(-($G$10*(AF31+0.4)))),$G$10*$G$11*AG31*(EXP(-($G$10*(AF31+0.5)))),$G$10*$G$11*AG31*(EXP(-($G$10*(AF31+0.6)))),$G$10*$G$11*AG31*(EXP(-($G$10*(AF31+0.7)))),$G$10*$G$11*AG31*(EXP(-($G$10*(AF31+0.8)))),$G$10*$G$11*AG31*(EXP(-($G$10*(AF31+0.9)))))/10</f>
        <v>1029608.4315582778</v>
      </c>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361"/>
      <c r="EB31" s="361"/>
      <c r="EC31" s="361"/>
      <c r="ED31" s="361"/>
      <c r="EE31" s="361"/>
      <c r="EF31" s="361"/>
      <c r="EG31" s="361"/>
      <c r="EH31" s="361"/>
      <c r="EI31" s="361"/>
      <c r="EJ31" s="361"/>
      <c r="EK31" s="361"/>
      <c r="EL31" s="361"/>
      <c r="EM31" s="361"/>
      <c r="EN31" s="361"/>
      <c r="EO31" s="361"/>
      <c r="EP31" s="361"/>
      <c r="EQ31" s="361"/>
      <c r="ER31" s="361"/>
      <c r="ES31" s="361"/>
      <c r="ET31" s="361"/>
      <c r="EU31" s="361"/>
      <c r="EV31" s="361"/>
      <c r="EW31" s="361"/>
      <c r="EX31" s="361"/>
      <c r="EY31" s="361"/>
      <c r="EZ31" s="361"/>
      <c r="FA31" s="361"/>
      <c r="FB31" s="361"/>
      <c r="FC31" s="361"/>
      <c r="FD31" s="361"/>
      <c r="FE31" s="361"/>
      <c r="FF31" s="361"/>
      <c r="FG31" s="361"/>
      <c r="FH31" s="361"/>
      <c r="FI31" s="361"/>
      <c r="FJ31" s="361"/>
      <c r="FK31" s="361"/>
      <c r="FL31" s="361"/>
      <c r="FM31" s="361"/>
      <c r="FN31" s="361"/>
      <c r="FO31" s="361"/>
      <c r="FP31" s="361"/>
      <c r="FQ31" s="361"/>
      <c r="FR31" s="361"/>
      <c r="FS31" s="361"/>
      <c r="FT31" s="361"/>
      <c r="FU31" s="361"/>
      <c r="FV31" s="361"/>
      <c r="FW31" s="361"/>
      <c r="FX31" s="361"/>
      <c r="FY31" s="361"/>
      <c r="FZ31" s="361"/>
      <c r="GA31" s="361"/>
      <c r="GB31" s="361"/>
      <c r="GC31" s="361"/>
      <c r="GD31" s="361"/>
      <c r="GE31" s="361"/>
      <c r="GF31" s="361"/>
      <c r="GG31" s="361"/>
      <c r="GH31" s="361"/>
      <c r="GI31" s="361"/>
      <c r="GJ31" s="361"/>
      <c r="GK31" s="361"/>
      <c r="GL31" s="361"/>
      <c r="GM31" s="361"/>
      <c r="GN31" s="361"/>
      <c r="GO31" s="361"/>
      <c r="GP31" s="361"/>
      <c r="GQ31" s="361"/>
      <c r="GR31" s="361"/>
      <c r="GS31" s="361"/>
      <c r="GT31" s="361"/>
      <c r="GU31" s="361"/>
      <c r="GV31" s="361"/>
      <c r="GW31" s="361"/>
      <c r="GX31" s="361"/>
      <c r="GY31" s="361"/>
      <c r="GZ31" s="361"/>
      <c r="HA31" s="361"/>
      <c r="HB31" s="361"/>
      <c r="HC31" s="361"/>
      <c r="HD31" s="361"/>
      <c r="HE31" s="361"/>
      <c r="HF31" s="361"/>
      <c r="HG31" s="361"/>
      <c r="HH31" s="361"/>
      <c r="HI31" s="361"/>
      <c r="HJ31" s="361"/>
      <c r="HK31" s="361"/>
      <c r="HL31" s="361"/>
      <c r="HM31" s="361"/>
      <c r="HN31" s="361"/>
      <c r="HO31" s="361"/>
      <c r="HP31" s="361"/>
      <c r="HQ31" s="361"/>
      <c r="HR31" s="361"/>
      <c r="HS31" s="361"/>
      <c r="HT31" s="361"/>
      <c r="HU31" s="361"/>
      <c r="HV31" s="361"/>
      <c r="HW31" s="361"/>
      <c r="HX31" s="361"/>
      <c r="HY31" s="361"/>
      <c r="HZ31" s="361"/>
      <c r="IA31" s="361"/>
      <c r="IB31" s="361"/>
      <c r="IC31" s="361"/>
      <c r="ID31" s="361"/>
      <c r="IE31" s="361"/>
      <c r="IF31" s="361"/>
      <c r="IG31" s="361"/>
      <c r="IH31" s="361"/>
      <c r="II31" s="361"/>
      <c r="IJ31" s="361"/>
      <c r="IK31" s="361"/>
      <c r="IL31" s="361"/>
      <c r="IM31" s="361"/>
      <c r="IN31" s="361"/>
      <c r="IO31" s="361"/>
      <c r="IP31" s="361"/>
    </row>
    <row r="32" spans="1:250">
      <c r="B32" s="56">
        <f>'USER INPUTS'!J17</f>
        <v>2027</v>
      </c>
      <c r="C32" s="420">
        <f>IF(OR(AND(ClosureCalcYes=TRUE,WasteCapacity=""),AND(ClosureCalcYes=FALSE,ClosureYear="")),0,IF('USER INPUTS'!K17&gt;0,IF('USER INPUTS'!$K$4="Mg/year",'USER INPUTS'!K17,'USER INPUTS'!L17),0))</f>
        <v>287675</v>
      </c>
      <c r="D32" s="420">
        <f t="shared" si="6"/>
        <v>2162744</v>
      </c>
      <c r="E32" s="420">
        <f>IF(ClosureCalcYes=FALSE,IF(AND(B32&lt;ClosureYear,C32=0,SUM(C32:$C$102)=0),$D$13,IF(B32&lt;=ClosureYear,C32,0)),IF(B32=$D$16,($D$14-F32),IF(B32&lt;$D$16,IF(SUM(C32:$C$102)=0,$D$13,C32),0)))</f>
        <v>287675</v>
      </c>
      <c r="F32" s="66">
        <f t="shared" si="7"/>
        <v>2162744</v>
      </c>
      <c r="G32" s="284">
        <f>IF(SUM(C33:$C$101)=0,C32,0)</f>
        <v>0</v>
      </c>
      <c r="H32" s="284">
        <f t="shared" si="0"/>
        <v>0</v>
      </c>
      <c r="I32" s="2">
        <f t="shared" si="8"/>
        <v>2027</v>
      </c>
      <c r="J32" s="379">
        <f t="shared" si="1"/>
        <v>7318066.6103050318</v>
      </c>
      <c r="K32" s="2">
        <v>8</v>
      </c>
      <c r="L32" s="57">
        <f t="shared" si="2"/>
        <v>189082</v>
      </c>
      <c r="M32" s="62">
        <f t="shared" si="3"/>
        <v>539445.16743228189</v>
      </c>
      <c r="N32" s="2">
        <v>7</v>
      </c>
      <c r="O32" s="57">
        <f t="shared" si="4"/>
        <v>293489</v>
      </c>
      <c r="P32" s="62">
        <f t="shared" si="5"/>
        <v>871486.62704976089</v>
      </c>
      <c r="Q32" s="2">
        <v>6</v>
      </c>
      <c r="R32" s="57">
        <f t="shared" si="9"/>
        <v>283523</v>
      </c>
      <c r="S32" s="62">
        <f t="shared" si="10"/>
        <v>876251.90190895996</v>
      </c>
      <c r="T32" s="2">
        <v>5</v>
      </c>
      <c r="U32" s="57">
        <f t="shared" si="11"/>
        <v>143321</v>
      </c>
      <c r="V32" s="62">
        <f t="shared" si="12"/>
        <v>461022.67578316887</v>
      </c>
      <c r="W32" s="2">
        <v>4</v>
      </c>
      <c r="X32" s="57">
        <f t="shared" si="13"/>
        <v>227851</v>
      </c>
      <c r="Y32" s="62">
        <f t="shared" si="14"/>
        <v>762843.01783714595</v>
      </c>
      <c r="Z32" s="2">
        <v>3</v>
      </c>
      <c r="AA32" s="57">
        <f t="shared" si="15"/>
        <v>238727</v>
      </c>
      <c r="AB32" s="62">
        <f t="shared" si="16"/>
        <v>831874.01067121746</v>
      </c>
      <c r="AC32" s="2">
        <v>2</v>
      </c>
      <c r="AD32" s="57">
        <f t="shared" si="17"/>
        <v>250122</v>
      </c>
      <c r="AE32" s="62">
        <f t="shared" si="18"/>
        <v>907151.21761738136</v>
      </c>
      <c r="AF32" s="2">
        <v>1</v>
      </c>
      <c r="AG32" s="57">
        <f t="shared" si="19"/>
        <v>262060</v>
      </c>
      <c r="AH32" s="62">
        <f t="shared" si="20"/>
        <v>989236.90750338079</v>
      </c>
      <c r="AI32" s="2">
        <v>0</v>
      </c>
      <c r="AJ32" s="57">
        <f t="shared" ref="AJ32:AJ63" si="21">$E$31</f>
        <v>274569</v>
      </c>
      <c r="AK32" s="62">
        <f t="shared" ref="AK32:AK63" si="22">SUM($G$10*$G$11*AJ32*(EXP(-($G$10*AI32))),$G$10*$G$11*AJ32*(EXP(-($G$10*(AI32+0.1)))),$G$10*$G$11*AJ32*(EXP(-($G$10*(AI32+0.2)))),$G$10*$G$11*AJ32*(EXP(-($G$10*(AI32+0.3)))),$G$10*$G$11*AJ32*(EXP(-($G$10*(AI32+0.4)))),$G$10*$G$11*AJ32*(EXP(-($G$10*(AI32+0.5)))),$G$10*$G$11*AJ32*(EXP(-($G$10*(AI32+0.6)))),$G$10*$G$11*AJ32*(EXP(-($G$10*(AI32+0.7)))),$G$10*$G$11*AJ32*(EXP(-($G$10*(AI32+0.8)))),$G$10*$G$11*AJ32*(EXP(-($G$10*(AI32+0.9)))))/10</f>
        <v>1078755.0845017354</v>
      </c>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361"/>
      <c r="EB32" s="361"/>
      <c r="EC32" s="361"/>
      <c r="ED32" s="361"/>
      <c r="EE32" s="361"/>
      <c r="EF32" s="361"/>
      <c r="EG32" s="361"/>
      <c r="EH32" s="361"/>
      <c r="EI32" s="361"/>
      <c r="EJ32" s="361"/>
      <c r="EK32" s="361"/>
      <c r="EL32" s="361"/>
      <c r="EM32" s="361"/>
      <c r="EN32" s="361"/>
      <c r="EO32" s="361"/>
      <c r="EP32" s="361"/>
      <c r="EQ32" s="361"/>
      <c r="ER32" s="361"/>
      <c r="ES32" s="361"/>
      <c r="ET32" s="361"/>
      <c r="EU32" s="361"/>
      <c r="EV32" s="361"/>
      <c r="EW32" s="361"/>
      <c r="EX32" s="361"/>
      <c r="EY32" s="361"/>
      <c r="EZ32" s="361"/>
      <c r="FA32" s="361"/>
      <c r="FB32" s="361"/>
      <c r="FC32" s="361"/>
      <c r="FD32" s="361"/>
      <c r="FE32" s="361"/>
      <c r="FF32" s="361"/>
      <c r="FG32" s="361"/>
      <c r="FH32" s="361"/>
      <c r="FI32" s="361"/>
      <c r="FJ32" s="361"/>
      <c r="FK32" s="361"/>
      <c r="FL32" s="361"/>
      <c r="FM32" s="361"/>
      <c r="FN32" s="361"/>
      <c r="FO32" s="361"/>
      <c r="FP32" s="361"/>
      <c r="FQ32" s="361"/>
      <c r="FR32" s="361"/>
      <c r="FS32" s="361"/>
      <c r="FT32" s="361"/>
      <c r="FU32" s="361"/>
      <c r="FV32" s="361"/>
      <c r="FW32" s="361"/>
      <c r="FX32" s="361"/>
      <c r="FY32" s="361"/>
      <c r="FZ32" s="361"/>
      <c r="GA32" s="361"/>
      <c r="GB32" s="361"/>
      <c r="GC32" s="361"/>
      <c r="GD32" s="361"/>
      <c r="GE32" s="361"/>
      <c r="GF32" s="361"/>
      <c r="GG32" s="361"/>
      <c r="GH32" s="361"/>
      <c r="GI32" s="361"/>
      <c r="GJ32" s="361"/>
      <c r="GK32" s="361"/>
      <c r="GL32" s="361"/>
      <c r="GM32" s="361"/>
      <c r="GN32" s="361"/>
      <c r="GO32" s="361"/>
      <c r="GP32" s="361"/>
      <c r="GQ32" s="361"/>
      <c r="GR32" s="361"/>
      <c r="GS32" s="361"/>
      <c r="GT32" s="361"/>
      <c r="GU32" s="361"/>
      <c r="GV32" s="361"/>
      <c r="GW32" s="361"/>
      <c r="GX32" s="361"/>
      <c r="GY32" s="361"/>
      <c r="GZ32" s="361"/>
      <c r="HA32" s="361"/>
      <c r="HB32" s="361"/>
      <c r="HC32" s="361"/>
      <c r="HD32" s="361"/>
      <c r="HE32" s="361"/>
      <c r="HF32" s="361"/>
      <c r="HG32" s="361"/>
      <c r="HH32" s="361"/>
      <c r="HI32" s="361"/>
      <c r="HJ32" s="361"/>
      <c r="HK32" s="361"/>
      <c r="HL32" s="361"/>
      <c r="HM32" s="361"/>
      <c r="HN32" s="361"/>
      <c r="HO32" s="361"/>
      <c r="HP32" s="361"/>
      <c r="HQ32" s="361"/>
      <c r="HR32" s="361"/>
      <c r="HS32" s="361"/>
      <c r="HT32" s="361"/>
      <c r="HU32" s="361"/>
      <c r="HV32" s="361"/>
      <c r="HW32" s="361"/>
      <c r="HX32" s="361"/>
      <c r="HY32" s="361"/>
      <c r="HZ32" s="361"/>
      <c r="IA32" s="361"/>
      <c r="IB32" s="361"/>
      <c r="IC32" s="361"/>
      <c r="ID32" s="361"/>
      <c r="IE32" s="361"/>
      <c r="IF32" s="361"/>
      <c r="IG32" s="361"/>
      <c r="IH32" s="361"/>
      <c r="II32" s="361"/>
      <c r="IJ32" s="361"/>
      <c r="IK32" s="361"/>
      <c r="IL32" s="361"/>
      <c r="IM32" s="361"/>
      <c r="IN32" s="361"/>
      <c r="IO32" s="361"/>
      <c r="IP32" s="361"/>
    </row>
    <row r="33" spans="2:250">
      <c r="B33" s="56">
        <f>'USER INPUTS'!J18</f>
        <v>2028</v>
      </c>
      <c r="C33" s="420">
        <f>IF(OR(AND(ClosureCalcYes=TRUE,WasteCapacity=""),AND(ClosureCalcYes=FALSE,ClosureYear="")),0,IF('USER INPUTS'!K18&gt;0,IF('USER INPUTS'!$K$4="Mg/year",'USER INPUTS'!K18,'USER INPUTS'!L18),0))</f>
        <v>301406</v>
      </c>
      <c r="D33" s="420">
        <f t="shared" si="6"/>
        <v>2450419</v>
      </c>
      <c r="E33" s="420">
        <f>IF(ClosureCalcYes=FALSE,IF(AND(B33&lt;ClosureYear,C33=0,SUM(C33:$C$102)=0),$D$13,IF(B33&lt;=ClosureYear,C33,0)),IF(B33=$D$16,($D$14-F33),IF(B33&lt;$D$16,IF(SUM(C33:$C$102)=0,$D$13,C33),0)))</f>
        <v>301406</v>
      </c>
      <c r="F33" s="66">
        <f t="shared" si="7"/>
        <v>2450419</v>
      </c>
      <c r="G33" s="284">
        <f>IF(SUM(C34:$C$101)=0,C33,0)</f>
        <v>0</v>
      </c>
      <c r="H33" s="284">
        <f t="shared" si="0"/>
        <v>0</v>
      </c>
      <c r="I33" s="2">
        <f t="shared" si="8"/>
        <v>2028</v>
      </c>
      <c r="J33" s="379">
        <f t="shared" si="1"/>
        <v>8161368.4069842398</v>
      </c>
      <c r="K33" s="2">
        <v>9</v>
      </c>
      <c r="L33" s="57">
        <f t="shared" si="2"/>
        <v>189082</v>
      </c>
      <c r="M33" s="62">
        <f t="shared" si="3"/>
        <v>518293.21987069305</v>
      </c>
      <c r="N33" s="2">
        <v>8</v>
      </c>
      <c r="O33" s="57">
        <f t="shared" si="4"/>
        <v>293489</v>
      </c>
      <c r="P33" s="62">
        <f t="shared" si="5"/>
        <v>837315.14763188967</v>
      </c>
      <c r="Q33" s="2">
        <v>7</v>
      </c>
      <c r="R33" s="57">
        <f t="shared" si="9"/>
        <v>283523</v>
      </c>
      <c r="S33" s="62">
        <f t="shared" si="10"/>
        <v>841893.57339126617</v>
      </c>
      <c r="T33" s="2">
        <v>6</v>
      </c>
      <c r="U33" s="57">
        <f t="shared" si="11"/>
        <v>143321</v>
      </c>
      <c r="V33" s="62">
        <f t="shared" si="12"/>
        <v>442945.7181022141</v>
      </c>
      <c r="W33" s="2">
        <v>5</v>
      </c>
      <c r="X33" s="57">
        <f t="shared" si="13"/>
        <v>227851</v>
      </c>
      <c r="Y33" s="62">
        <f t="shared" si="14"/>
        <v>732931.5152690172</v>
      </c>
      <c r="Z33" s="2">
        <v>4</v>
      </c>
      <c r="AA33" s="57">
        <f t="shared" si="15"/>
        <v>238727</v>
      </c>
      <c r="AB33" s="62">
        <f t="shared" si="16"/>
        <v>799255.76415819267</v>
      </c>
      <c r="AC33" s="2">
        <v>3</v>
      </c>
      <c r="AD33" s="57">
        <f t="shared" si="17"/>
        <v>250122</v>
      </c>
      <c r="AE33" s="62">
        <f t="shared" si="18"/>
        <v>871581.30960095092</v>
      </c>
      <c r="AF33" s="2">
        <v>2</v>
      </c>
      <c r="AG33" s="57">
        <f t="shared" si="19"/>
        <v>262060</v>
      </c>
      <c r="AH33" s="62">
        <f t="shared" si="20"/>
        <v>950448.37354895193</v>
      </c>
      <c r="AI33" s="2">
        <v>1</v>
      </c>
      <c r="AJ33" s="57">
        <f t="shared" si="21"/>
        <v>274569</v>
      </c>
      <c r="AK33" s="62">
        <f t="shared" si="22"/>
        <v>1036456.4926211394</v>
      </c>
      <c r="AL33" s="2">
        <v>0</v>
      </c>
      <c r="AM33" s="57">
        <f t="shared" ref="AM33:AM64" si="23">$E$32</f>
        <v>287675</v>
      </c>
      <c r="AN33" s="62">
        <f t="shared" ref="AN33:AN64" si="24">SUM($G$10*$G$11*AM33*(EXP(-($G$10*AL33))),$G$10*$G$11*AM33*(EXP(-($G$10*(AL33+0.1)))),$G$10*$G$11*AM33*(EXP(-($G$10*(AL33+0.2)))),$G$10*$G$11*AM33*(EXP(-($G$10*(AL33+0.3)))),$G$10*$G$11*AM33*(EXP(-($G$10*(AL33+0.4)))),$G$10*$G$11*AM33*(EXP(-($G$10*(AL33+0.5)))),$G$10*$G$11*AM33*(EXP(-($G$10*(AL33+0.6)))),$G$10*$G$11*AM33*(EXP(-($G$10*(AL33+0.7)))),$G$10*$G$11*AM33*(EXP(-($G$10*(AL33+0.8)))),$G$10*$G$11*AM33*(EXP(-($G$10*(AL33+0.9)))))/10</f>
        <v>1130247.2927899244</v>
      </c>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361"/>
      <c r="EB33" s="361"/>
      <c r="EC33" s="361"/>
      <c r="ED33" s="361"/>
      <c r="EE33" s="361"/>
      <c r="EF33" s="361"/>
      <c r="EG33" s="361"/>
      <c r="EH33" s="361"/>
      <c r="EI33" s="361"/>
      <c r="EJ33" s="361"/>
      <c r="EK33" s="361"/>
      <c r="EL33" s="361"/>
      <c r="EM33" s="361"/>
      <c r="EN33" s="361"/>
      <c r="EO33" s="361"/>
      <c r="EP33" s="361"/>
      <c r="EQ33" s="361"/>
      <c r="ER33" s="361"/>
      <c r="ES33" s="361"/>
      <c r="ET33" s="361"/>
      <c r="EU33" s="361"/>
      <c r="EV33" s="361"/>
      <c r="EW33" s="361"/>
      <c r="EX33" s="361"/>
      <c r="EY33" s="361"/>
      <c r="EZ33" s="361"/>
      <c r="FA33" s="361"/>
      <c r="FB33" s="361"/>
      <c r="FC33" s="361"/>
      <c r="FD33" s="361"/>
      <c r="FE33" s="361"/>
      <c r="FF33" s="361"/>
      <c r="FG33" s="361"/>
      <c r="FH33" s="361"/>
      <c r="FI33" s="361"/>
      <c r="FJ33" s="361"/>
      <c r="FK33" s="361"/>
      <c r="FL33" s="361"/>
      <c r="FM33" s="361"/>
      <c r="FN33" s="361"/>
      <c r="FO33" s="361"/>
      <c r="FP33" s="361"/>
      <c r="FQ33" s="361"/>
      <c r="FR33" s="361"/>
      <c r="FS33" s="361"/>
      <c r="FT33" s="361"/>
      <c r="FU33" s="361"/>
      <c r="FV33" s="361"/>
      <c r="FW33" s="361"/>
      <c r="FX33" s="361"/>
      <c r="FY33" s="361"/>
      <c r="FZ33" s="361"/>
      <c r="GA33" s="361"/>
      <c r="GB33" s="361"/>
      <c r="GC33" s="361"/>
      <c r="GD33" s="361"/>
      <c r="GE33" s="361"/>
      <c r="GF33" s="361"/>
      <c r="GG33" s="361"/>
      <c r="GH33" s="361"/>
      <c r="GI33" s="361"/>
      <c r="GJ33" s="361"/>
      <c r="GK33" s="361"/>
      <c r="GL33" s="361"/>
      <c r="GM33" s="361"/>
      <c r="GN33" s="361"/>
      <c r="GO33" s="361"/>
      <c r="GP33" s="361"/>
      <c r="GQ33" s="361"/>
      <c r="GR33" s="361"/>
      <c r="GS33" s="361"/>
      <c r="GT33" s="361"/>
      <c r="GU33" s="361"/>
      <c r="GV33" s="361"/>
      <c r="GW33" s="361"/>
      <c r="GX33" s="361"/>
      <c r="GY33" s="361"/>
      <c r="GZ33" s="361"/>
      <c r="HA33" s="361"/>
      <c r="HB33" s="361"/>
      <c r="HC33" s="361"/>
      <c r="HD33" s="361"/>
      <c r="HE33" s="361"/>
      <c r="HF33" s="361"/>
      <c r="HG33" s="361"/>
      <c r="HH33" s="361"/>
      <c r="HI33" s="361"/>
      <c r="HJ33" s="361"/>
      <c r="HK33" s="361"/>
      <c r="HL33" s="361"/>
      <c r="HM33" s="361"/>
      <c r="HN33" s="361"/>
      <c r="HO33" s="361"/>
      <c r="HP33" s="361"/>
      <c r="HQ33" s="361"/>
      <c r="HR33" s="361"/>
      <c r="HS33" s="361"/>
      <c r="HT33" s="361"/>
      <c r="HU33" s="361"/>
      <c r="HV33" s="361"/>
      <c r="HW33" s="361"/>
      <c r="HX33" s="361"/>
      <c r="HY33" s="361"/>
      <c r="HZ33" s="361"/>
      <c r="IA33" s="361"/>
      <c r="IB33" s="361"/>
      <c r="IC33" s="361"/>
      <c r="ID33" s="361"/>
      <c r="IE33" s="361"/>
      <c r="IF33" s="361"/>
      <c r="IG33" s="361"/>
      <c r="IH33" s="361"/>
      <c r="II33" s="361"/>
      <c r="IJ33" s="361"/>
      <c r="IK33" s="361"/>
      <c r="IL33" s="361"/>
      <c r="IM33" s="361"/>
      <c r="IN33" s="361"/>
      <c r="IO33" s="361"/>
      <c r="IP33" s="361"/>
    </row>
    <row r="34" spans="2:250">
      <c r="B34" s="56">
        <f>'USER INPUTS'!J19</f>
        <v>2029</v>
      </c>
      <c r="C34" s="420">
        <f>IF(OR(AND(ClosureCalcYes=TRUE,WasteCapacity=""),AND(ClosureCalcYes=FALSE,ClosureYear="")),0,IF('USER INPUTS'!K19&gt;0,IF('USER INPUTS'!$K$4="Mg/year",'USER INPUTS'!K19,'USER INPUTS'!L19),0))</f>
        <v>315793</v>
      </c>
      <c r="D34" s="420">
        <f t="shared" si="6"/>
        <v>2751825</v>
      </c>
      <c r="E34" s="420">
        <f>IF(ClosureCalcYes=FALSE,IF(AND(B34&lt;ClosureYear,C34=0,SUM(C34:$C$102)=0),$D$13,IF(B34&lt;=ClosureYear,C34,0)),IF(B34=$D$16,($D$14-F34),IF(B34&lt;$D$16,IF(SUM(C34:$C$102)=0,$D$13,C34),0)))</f>
        <v>315793</v>
      </c>
      <c r="F34" s="66">
        <f t="shared" si="7"/>
        <v>2751825</v>
      </c>
      <c r="G34" s="284">
        <f>IF(SUM(C35:$C$101)=0,C34,0)</f>
        <v>0</v>
      </c>
      <c r="H34" s="284">
        <f t="shared" si="0"/>
        <v>0</v>
      </c>
      <c r="I34" s="2">
        <f t="shared" si="8"/>
        <v>2029</v>
      </c>
      <c r="J34" s="379">
        <f t="shared" si="1"/>
        <v>9025551.6401806232</v>
      </c>
      <c r="K34" s="2">
        <v>10</v>
      </c>
      <c r="L34" s="57">
        <f t="shared" si="2"/>
        <v>189082</v>
      </c>
      <c r="M34" s="62">
        <f t="shared" si="3"/>
        <v>497970.65203601506</v>
      </c>
      <c r="N34" s="2">
        <v>9</v>
      </c>
      <c r="O34" s="57">
        <f t="shared" si="4"/>
        <v>293489</v>
      </c>
      <c r="P34" s="62">
        <f t="shared" si="5"/>
        <v>804483.55108698783</v>
      </c>
      <c r="Q34" s="2">
        <v>8</v>
      </c>
      <c r="R34" s="57">
        <f t="shared" si="9"/>
        <v>283523</v>
      </c>
      <c r="S34" s="62">
        <f t="shared" si="10"/>
        <v>808882.45420454</v>
      </c>
      <c r="T34" s="2">
        <v>7</v>
      </c>
      <c r="U34" s="57">
        <f t="shared" si="11"/>
        <v>143321</v>
      </c>
      <c r="V34" s="62">
        <f t="shared" si="12"/>
        <v>425577.5680703494</v>
      </c>
      <c r="W34" s="2">
        <v>6</v>
      </c>
      <c r="X34" s="57">
        <f t="shared" si="13"/>
        <v>227851</v>
      </c>
      <c r="Y34" s="62">
        <f t="shared" si="14"/>
        <v>704192.85949238134</v>
      </c>
      <c r="Z34" s="2">
        <v>5</v>
      </c>
      <c r="AA34" s="57">
        <f t="shared" si="15"/>
        <v>238727</v>
      </c>
      <c r="AB34" s="62">
        <f t="shared" si="16"/>
        <v>767916.49738481152</v>
      </c>
      <c r="AC34" s="2">
        <v>4</v>
      </c>
      <c r="AD34" s="57">
        <f t="shared" si="17"/>
        <v>250122</v>
      </c>
      <c r="AE34" s="62">
        <f t="shared" si="18"/>
        <v>837406.11762714502</v>
      </c>
      <c r="AF34" s="2">
        <v>3</v>
      </c>
      <c r="AG34" s="57">
        <f t="shared" si="19"/>
        <v>262060</v>
      </c>
      <c r="AH34" s="62">
        <f t="shared" si="20"/>
        <v>913180.75976533536</v>
      </c>
      <c r="AI34" s="2">
        <v>2</v>
      </c>
      <c r="AJ34" s="57">
        <f t="shared" si="21"/>
        <v>274569</v>
      </c>
      <c r="AK34" s="62">
        <f t="shared" si="22"/>
        <v>995816.45225124864</v>
      </c>
      <c r="AL34" s="2">
        <v>1</v>
      </c>
      <c r="AM34" s="57">
        <f t="shared" si="23"/>
        <v>287675</v>
      </c>
      <c r="AN34" s="62">
        <f t="shared" si="24"/>
        <v>1085929.6625430633</v>
      </c>
      <c r="AO34" s="2">
        <v>0</v>
      </c>
      <c r="AP34" s="57">
        <f t="shared" ref="AP34:AP65" si="25">$E$33</f>
        <v>301406</v>
      </c>
      <c r="AQ34" s="62">
        <f t="shared" ref="AQ34:AQ65" si="26">SUM($G$10*$G$11*AP34*(EXP(-($G$10*AO34))),$G$10*$G$11*AP34*(EXP(-($G$10*(AO34+0.1)))),$G$10*$G$11*AP34*(EXP(-($G$10*(AO34+0.2)))),$G$10*$G$11*AP34*(EXP(-($G$10*(AO34+0.3)))),$G$10*$G$11*AP34*(EXP(-($G$10*(AO34+0.4)))),$G$10*$G$11*AP34*(EXP(-($G$10*(AO34+0.5)))),$G$10*$G$11*AP34*(EXP(-($G$10*(AO34+0.6)))),$G$10*$G$11*AP34*(EXP(-($G$10*(AO34+0.7)))),$G$10*$G$11*AP34*(EXP(-($G$10*(AO34+0.8)))),$G$10*$G$11*AP34*(EXP(-($G$10*(AO34+0.9)))))/10</f>
        <v>1184195.0657187451</v>
      </c>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361"/>
      <c r="EB34" s="361"/>
      <c r="EC34" s="361"/>
      <c r="ED34" s="361"/>
      <c r="EE34" s="361"/>
      <c r="EF34" s="361"/>
      <c r="EG34" s="361"/>
      <c r="EH34" s="361"/>
      <c r="EI34" s="361"/>
      <c r="EJ34" s="361"/>
      <c r="EK34" s="361"/>
      <c r="EL34" s="361"/>
      <c r="EM34" s="361"/>
      <c r="EN34" s="361"/>
      <c r="EO34" s="361"/>
      <c r="EP34" s="361"/>
      <c r="EQ34" s="361"/>
      <c r="ER34" s="361"/>
      <c r="ES34" s="361"/>
      <c r="ET34" s="361"/>
      <c r="EU34" s="361"/>
      <c r="EV34" s="361"/>
      <c r="EW34" s="361"/>
      <c r="EX34" s="361"/>
      <c r="EY34" s="361"/>
      <c r="EZ34" s="361"/>
      <c r="FA34" s="361"/>
      <c r="FB34" s="361"/>
      <c r="FC34" s="361"/>
      <c r="FD34" s="361"/>
      <c r="FE34" s="361"/>
      <c r="FF34" s="361"/>
      <c r="FG34" s="361"/>
      <c r="FH34" s="361"/>
      <c r="FI34" s="361"/>
      <c r="FJ34" s="361"/>
      <c r="FK34" s="361"/>
      <c r="FL34" s="361"/>
      <c r="FM34" s="361"/>
      <c r="FN34" s="361"/>
      <c r="FO34" s="361"/>
      <c r="FP34" s="361"/>
      <c r="FQ34" s="361"/>
      <c r="FR34" s="361"/>
      <c r="FS34" s="361"/>
      <c r="FT34" s="361"/>
      <c r="FU34" s="361"/>
      <c r="FV34" s="361"/>
      <c r="FW34" s="361"/>
      <c r="FX34" s="361"/>
      <c r="FY34" s="361"/>
      <c r="FZ34" s="361"/>
      <c r="GA34" s="361"/>
      <c r="GB34" s="361"/>
      <c r="GC34" s="361"/>
      <c r="GD34" s="361"/>
      <c r="GE34" s="361"/>
      <c r="GF34" s="361"/>
      <c r="GG34" s="361"/>
      <c r="GH34" s="361"/>
      <c r="GI34" s="361"/>
      <c r="GJ34" s="361"/>
      <c r="GK34" s="361"/>
      <c r="GL34" s="361"/>
      <c r="GM34" s="361"/>
      <c r="GN34" s="361"/>
      <c r="GO34" s="361"/>
      <c r="GP34" s="361"/>
      <c r="GQ34" s="361"/>
      <c r="GR34" s="361"/>
      <c r="GS34" s="361"/>
      <c r="GT34" s="361"/>
      <c r="GU34" s="361"/>
      <c r="GV34" s="361"/>
      <c r="GW34" s="361"/>
      <c r="GX34" s="361"/>
      <c r="GY34" s="361"/>
      <c r="GZ34" s="361"/>
      <c r="HA34" s="361"/>
      <c r="HB34" s="361"/>
      <c r="HC34" s="361"/>
      <c r="HD34" s="361"/>
      <c r="HE34" s="361"/>
      <c r="HF34" s="361"/>
      <c r="HG34" s="361"/>
      <c r="HH34" s="361"/>
      <c r="HI34" s="361"/>
      <c r="HJ34" s="361"/>
      <c r="HK34" s="361"/>
      <c r="HL34" s="361"/>
      <c r="HM34" s="361"/>
      <c r="HN34" s="361"/>
      <c r="HO34" s="361"/>
      <c r="HP34" s="361"/>
      <c r="HQ34" s="361"/>
      <c r="HR34" s="361"/>
      <c r="HS34" s="361"/>
      <c r="HT34" s="361"/>
      <c r="HU34" s="361"/>
      <c r="HV34" s="361"/>
      <c r="HW34" s="361"/>
      <c r="HX34" s="361"/>
      <c r="HY34" s="361"/>
      <c r="HZ34" s="361"/>
      <c r="IA34" s="361"/>
      <c r="IB34" s="361"/>
      <c r="IC34" s="361"/>
      <c r="ID34" s="361"/>
      <c r="IE34" s="361"/>
      <c r="IF34" s="361"/>
      <c r="IG34" s="361"/>
      <c r="IH34" s="361"/>
      <c r="II34" s="361"/>
      <c r="IJ34" s="361"/>
      <c r="IK34" s="361"/>
      <c r="IL34" s="361"/>
      <c r="IM34" s="361"/>
      <c r="IN34" s="361"/>
      <c r="IO34" s="361"/>
      <c r="IP34" s="361"/>
    </row>
    <row r="35" spans="2:250">
      <c r="B35" s="56">
        <f>'USER INPUTS'!J20</f>
        <v>2030</v>
      </c>
      <c r="C35" s="420">
        <f>IF(OR(AND(ClosureCalcYes=TRUE,WasteCapacity=""),AND(ClosureCalcYes=FALSE,ClosureYear="")),0,IF('USER INPUTS'!K20&gt;0,IF('USER INPUTS'!$K$4="Mg/year",'USER INPUTS'!K20,'USER INPUTS'!L20),0))</f>
        <v>330866</v>
      </c>
      <c r="D35" s="420">
        <f t="shared" si="6"/>
        <v>3067618</v>
      </c>
      <c r="E35" s="420">
        <f>IF(ClosureCalcYes=FALSE,IF(AND(B35&lt;ClosureYear,C35=0,SUM(C35:$C$102)=0),$D$13,IF(B35&lt;=ClosureYear,C35,0)),IF(B35=$D$16,($D$14-F35),IF(B35&lt;$D$16,IF(SUM(C35:$C$102)=0,$D$13,C35),0)))</f>
        <v>330866</v>
      </c>
      <c r="F35" s="66">
        <f t="shared" si="7"/>
        <v>3067618</v>
      </c>
      <c r="G35" s="284">
        <f>IF(SUM(C36:$C$101)=0,C35,0)</f>
        <v>0</v>
      </c>
      <c r="H35" s="284">
        <f t="shared" si="0"/>
        <v>0</v>
      </c>
      <c r="I35" s="2">
        <f t="shared" si="8"/>
        <v>2030</v>
      </c>
      <c r="J35" s="379">
        <f t="shared" si="1"/>
        <v>9912374.8977038451</v>
      </c>
      <c r="K35" s="2">
        <v>11</v>
      </c>
      <c r="L35" s="57">
        <f t="shared" si="2"/>
        <v>189082</v>
      </c>
      <c r="M35" s="62">
        <f t="shared" si="3"/>
        <v>478444.94348399946</v>
      </c>
      <c r="N35" s="2">
        <v>10</v>
      </c>
      <c r="O35" s="57">
        <f t="shared" si="4"/>
        <v>293489</v>
      </c>
      <c r="P35" s="62">
        <f t="shared" si="5"/>
        <v>772939.29985613632</v>
      </c>
      <c r="Q35" s="2">
        <v>9</v>
      </c>
      <c r="R35" s="57">
        <f t="shared" si="9"/>
        <v>283523</v>
      </c>
      <c r="S35" s="62">
        <f t="shared" si="10"/>
        <v>777165.71951533481</v>
      </c>
      <c r="T35" s="2">
        <v>8</v>
      </c>
      <c r="U35" s="57">
        <f t="shared" si="11"/>
        <v>143321</v>
      </c>
      <c r="V35" s="62">
        <f t="shared" si="12"/>
        <v>408890.43294212059</v>
      </c>
      <c r="W35" s="2">
        <v>7</v>
      </c>
      <c r="X35" s="57">
        <f t="shared" si="13"/>
        <v>227851</v>
      </c>
      <c r="Y35" s="62">
        <f t="shared" si="14"/>
        <v>676581.06252675573</v>
      </c>
      <c r="Z35" s="2">
        <v>6</v>
      </c>
      <c r="AA35" s="57">
        <f t="shared" si="15"/>
        <v>238727</v>
      </c>
      <c r="AB35" s="62">
        <f t="shared" si="16"/>
        <v>737806.06083816942</v>
      </c>
      <c r="AC35" s="2">
        <v>5</v>
      </c>
      <c r="AD35" s="57">
        <f t="shared" si="17"/>
        <v>250122</v>
      </c>
      <c r="AE35" s="62">
        <f t="shared" si="18"/>
        <v>804570.95409770927</v>
      </c>
      <c r="AF35" s="2">
        <v>4</v>
      </c>
      <c r="AG35" s="57">
        <f t="shared" si="19"/>
        <v>262060</v>
      </c>
      <c r="AH35" s="62">
        <f t="shared" si="20"/>
        <v>877374.43001962896</v>
      </c>
      <c r="AI35" s="2">
        <v>3</v>
      </c>
      <c r="AJ35" s="57">
        <f t="shared" si="21"/>
        <v>274569</v>
      </c>
      <c r="AK35" s="62">
        <f t="shared" si="22"/>
        <v>956769.93065713323</v>
      </c>
      <c r="AL35" s="2">
        <v>2</v>
      </c>
      <c r="AM35" s="57">
        <f t="shared" si="23"/>
        <v>287675</v>
      </c>
      <c r="AN35" s="62">
        <f t="shared" si="24"/>
        <v>1043349.7514336209</v>
      </c>
      <c r="AO35" s="2">
        <v>1</v>
      </c>
      <c r="AP35" s="57">
        <f t="shared" si="25"/>
        <v>301406</v>
      </c>
      <c r="AQ35" s="62">
        <f t="shared" si="26"/>
        <v>1137762.1130388617</v>
      </c>
      <c r="AR35" s="2">
        <v>0</v>
      </c>
      <c r="AS35" s="57">
        <f t="shared" ref="AS35:AS66" si="27">$E$34</f>
        <v>315793</v>
      </c>
      <c r="AT35" s="62">
        <f t="shared" ref="AT35:AT66" si="28">SUM($G$10*$G$11*AS35*(EXP(-($G$10*AR35))),$G$10*$G$11*AS35*(EXP(-($G$10*(AR35+0.1)))),$G$10*$G$11*AS35*(EXP(-($G$10*(AR35+0.2)))),$G$10*$G$11*AS35*(EXP(-($G$10*(AR35+0.3)))),$G$10*$G$11*AS35*(EXP(-($G$10*(AR35+0.4)))),$G$10*$G$11*AS35*(EXP(-($G$10*(AR35+0.5)))),$G$10*$G$11*AS35*(EXP(-($G$10*(AR35+0.6)))),$G$10*$G$11*AS35*(EXP(-($G$10*(AR35+0.7)))),$G$10*$G$11*AS35*(EXP(-($G$10*(AR35+0.8)))),$G$10*$G$11*AS35*(EXP(-($G$10*(AR35+0.9)))))/10</f>
        <v>1240720.1992943725</v>
      </c>
      <c r="AU35" s="2"/>
      <c r="AV35" s="2"/>
      <c r="AW35" s="2"/>
      <c r="AX35" s="2"/>
      <c r="AY35" s="2"/>
      <c r="AZ35" s="2"/>
      <c r="BA35" s="2"/>
      <c r="BB35" s="2"/>
      <c r="BC35" s="2"/>
      <c r="BD35" s="2"/>
      <c r="BE35" s="2"/>
      <c r="BF35" s="2"/>
      <c r="BG35" s="2"/>
      <c r="BH35" s="2"/>
      <c r="BI35" s="2"/>
      <c r="BJ35" s="2"/>
      <c r="BK35" s="2"/>
      <c r="BL35" s="2"/>
      <c r="BM35" s="2"/>
      <c r="BN35" s="2"/>
      <c r="BO35" s="2"/>
      <c r="BP35" s="2"/>
      <c r="BQ35" s="2"/>
      <c r="BR35" s="2"/>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361"/>
      <c r="EB35" s="361"/>
      <c r="EC35" s="361"/>
      <c r="ED35" s="361"/>
      <c r="EE35" s="361"/>
      <c r="EF35" s="361"/>
      <c r="EG35" s="361"/>
      <c r="EH35" s="361"/>
      <c r="EI35" s="361"/>
      <c r="EJ35" s="361"/>
      <c r="EK35" s="361"/>
      <c r="EL35" s="361"/>
      <c r="EM35" s="361"/>
      <c r="EN35" s="361"/>
      <c r="EO35" s="361"/>
      <c r="EP35" s="361"/>
      <c r="EQ35" s="361"/>
      <c r="ER35" s="361"/>
      <c r="ES35" s="361"/>
      <c r="ET35" s="361"/>
      <c r="EU35" s="361"/>
      <c r="EV35" s="361"/>
      <c r="EW35" s="361"/>
      <c r="EX35" s="361"/>
      <c r="EY35" s="361"/>
      <c r="EZ35" s="361"/>
      <c r="FA35" s="361"/>
      <c r="FB35" s="361"/>
      <c r="FC35" s="361"/>
      <c r="FD35" s="361"/>
      <c r="FE35" s="361"/>
      <c r="FF35" s="361"/>
      <c r="FG35" s="361"/>
      <c r="FH35" s="361"/>
      <c r="FI35" s="361"/>
      <c r="FJ35" s="361"/>
      <c r="FK35" s="361"/>
      <c r="FL35" s="361"/>
      <c r="FM35" s="361"/>
      <c r="FN35" s="361"/>
      <c r="FO35" s="361"/>
      <c r="FP35" s="361"/>
      <c r="FQ35" s="361"/>
      <c r="FR35" s="361"/>
      <c r="FS35" s="361"/>
      <c r="FT35" s="361"/>
      <c r="FU35" s="361"/>
      <c r="FV35" s="361"/>
      <c r="FW35" s="361"/>
      <c r="FX35" s="361"/>
      <c r="FY35" s="361"/>
      <c r="FZ35" s="361"/>
      <c r="GA35" s="361"/>
      <c r="GB35" s="361"/>
      <c r="GC35" s="361"/>
      <c r="GD35" s="361"/>
      <c r="GE35" s="361"/>
      <c r="GF35" s="361"/>
      <c r="GG35" s="361"/>
      <c r="GH35" s="361"/>
      <c r="GI35" s="361"/>
      <c r="GJ35" s="361"/>
      <c r="GK35" s="361"/>
      <c r="GL35" s="361"/>
      <c r="GM35" s="361"/>
      <c r="GN35" s="361"/>
      <c r="GO35" s="361"/>
      <c r="GP35" s="361"/>
      <c r="GQ35" s="361"/>
      <c r="GR35" s="361"/>
      <c r="GS35" s="361"/>
      <c r="GT35" s="361"/>
      <c r="GU35" s="361"/>
      <c r="GV35" s="361"/>
      <c r="GW35" s="361"/>
      <c r="GX35" s="361"/>
      <c r="GY35" s="361"/>
      <c r="GZ35" s="361"/>
      <c r="HA35" s="361"/>
      <c r="HB35" s="361"/>
      <c r="HC35" s="361"/>
      <c r="HD35" s="361"/>
      <c r="HE35" s="361"/>
      <c r="HF35" s="361"/>
      <c r="HG35" s="361"/>
      <c r="HH35" s="361"/>
      <c r="HI35" s="361"/>
      <c r="HJ35" s="361"/>
      <c r="HK35" s="361"/>
      <c r="HL35" s="361"/>
      <c r="HM35" s="361"/>
      <c r="HN35" s="361"/>
      <c r="HO35" s="361"/>
      <c r="HP35" s="361"/>
      <c r="HQ35" s="361"/>
      <c r="HR35" s="361"/>
      <c r="HS35" s="361"/>
      <c r="HT35" s="361"/>
      <c r="HU35" s="361"/>
      <c r="HV35" s="361"/>
      <c r="HW35" s="361"/>
      <c r="HX35" s="361"/>
      <c r="HY35" s="361"/>
      <c r="HZ35" s="361"/>
      <c r="IA35" s="361"/>
      <c r="IB35" s="361"/>
      <c r="IC35" s="361"/>
      <c r="ID35" s="361"/>
      <c r="IE35" s="361"/>
      <c r="IF35" s="361"/>
      <c r="IG35" s="361"/>
      <c r="IH35" s="361"/>
      <c r="II35" s="361"/>
      <c r="IJ35" s="361"/>
      <c r="IK35" s="361"/>
      <c r="IL35" s="361"/>
      <c r="IM35" s="361"/>
      <c r="IN35" s="361"/>
      <c r="IO35" s="361"/>
      <c r="IP35" s="361"/>
    </row>
    <row r="36" spans="2:250">
      <c r="B36" s="56">
        <f>'USER INPUTS'!J21</f>
        <v>2031</v>
      </c>
      <c r="C36" s="420">
        <f>IF(OR(AND(ClosureCalcYes=TRUE,WasteCapacity=""),AND(ClosureCalcYes=FALSE,ClosureYear="")),0,IF('USER INPUTS'!K21&gt;0,IF('USER INPUTS'!$K$4="Mg/year",'USER INPUTS'!K21,'USER INPUTS'!L21),0))</f>
        <v>346659</v>
      </c>
      <c r="D36" s="420">
        <f t="shared" si="6"/>
        <v>3398484</v>
      </c>
      <c r="E36" s="420">
        <f>IF(ClosureCalcYes=FALSE,IF(AND(B36&lt;ClosureYear,C36=0,SUM(C36:$C$102)=0),$D$13,IF(B36&lt;=ClosureYear,C36,0)),IF(B36=$D$16,($D$14-F36),IF(B36&lt;$D$16,IF(SUM(C36:$C$102)=0,$D$13,C36),0)))</f>
        <v>346659</v>
      </c>
      <c r="F36" s="66">
        <f t="shared" si="7"/>
        <v>3398484</v>
      </c>
      <c r="G36" s="284">
        <f>IF(SUM(C37:$C$101)=0,C36,0)</f>
        <v>0</v>
      </c>
      <c r="H36" s="284">
        <f t="shared" si="0"/>
        <v>0</v>
      </c>
      <c r="I36" s="2">
        <f t="shared" si="8"/>
        <v>2031</v>
      </c>
      <c r="J36" s="379">
        <f t="shared" si="1"/>
        <v>10823645.679251999</v>
      </c>
      <c r="K36" s="2">
        <v>12</v>
      </c>
      <c r="L36" s="57">
        <f t="shared" si="2"/>
        <v>189082</v>
      </c>
      <c r="M36" s="62">
        <f t="shared" si="3"/>
        <v>459684.84891525691</v>
      </c>
      <c r="N36" s="2">
        <v>11</v>
      </c>
      <c r="O36" s="57">
        <f t="shared" si="4"/>
        <v>293489</v>
      </c>
      <c r="P36" s="62">
        <f t="shared" si="5"/>
        <v>742631.91640756675</v>
      </c>
      <c r="Q36" s="2">
        <v>10</v>
      </c>
      <c r="R36" s="57">
        <f t="shared" si="9"/>
        <v>283523</v>
      </c>
      <c r="S36" s="62">
        <f t="shared" si="10"/>
        <v>746692.61578155006</v>
      </c>
      <c r="T36" s="2">
        <v>9</v>
      </c>
      <c r="U36" s="57">
        <f t="shared" si="11"/>
        <v>143321</v>
      </c>
      <c r="V36" s="62">
        <f t="shared" si="12"/>
        <v>392857.6097412107</v>
      </c>
      <c r="W36" s="2">
        <v>8</v>
      </c>
      <c r="X36" s="57">
        <f t="shared" si="13"/>
        <v>227851</v>
      </c>
      <c r="Y36" s="62">
        <f t="shared" si="14"/>
        <v>650051.9396061647</v>
      </c>
      <c r="Z36" s="2">
        <v>7</v>
      </c>
      <c r="AA36" s="57">
        <f t="shared" si="15"/>
        <v>238727</v>
      </c>
      <c r="AB36" s="62">
        <f t="shared" si="16"/>
        <v>708876.27139588969</v>
      </c>
      <c r="AC36" s="2">
        <v>6</v>
      </c>
      <c r="AD36" s="57">
        <f t="shared" si="17"/>
        <v>250122</v>
      </c>
      <c r="AE36" s="62">
        <f t="shared" si="18"/>
        <v>773023.27574578754</v>
      </c>
      <c r="AF36" s="2">
        <v>5</v>
      </c>
      <c r="AG36" s="57">
        <f t="shared" si="19"/>
        <v>262060</v>
      </c>
      <c r="AH36" s="62">
        <f t="shared" si="20"/>
        <v>842972.08654514852</v>
      </c>
      <c r="AI36" s="2">
        <v>4</v>
      </c>
      <c r="AJ36" s="57">
        <f t="shared" si="21"/>
        <v>274569</v>
      </c>
      <c r="AK36" s="62">
        <f t="shared" si="22"/>
        <v>919254.44507387409</v>
      </c>
      <c r="AL36" s="2">
        <v>3</v>
      </c>
      <c r="AM36" s="57">
        <f t="shared" si="23"/>
        <v>287675</v>
      </c>
      <c r="AN36" s="62">
        <f t="shared" si="24"/>
        <v>1002439.4225196246</v>
      </c>
      <c r="AO36" s="2">
        <v>2</v>
      </c>
      <c r="AP36" s="57">
        <f t="shared" si="25"/>
        <v>301406</v>
      </c>
      <c r="AQ36" s="62">
        <f t="shared" si="26"/>
        <v>1093149.82247537</v>
      </c>
      <c r="AR36" s="2">
        <v>1</v>
      </c>
      <c r="AS36" s="57">
        <f t="shared" si="27"/>
        <v>315793</v>
      </c>
      <c r="AT36" s="62">
        <f t="shared" si="28"/>
        <v>1192070.8644249989</v>
      </c>
      <c r="AU36" s="2">
        <v>0</v>
      </c>
      <c r="AV36" s="57">
        <f t="shared" ref="AV36:AV67" si="29">$E$35</f>
        <v>330866</v>
      </c>
      <c r="AW36" s="62">
        <f t="shared" ref="AW36:AW67" si="30">SUM($G$10*$G$11*AV36*(EXP(-($G$10*AU36))),$G$10*$G$11*AV36*(EXP(-($G$10*(AU36+0.1)))),$G$10*$G$11*AV36*(EXP(-($G$10*(AU36+0.2)))),$G$10*$G$11*AV36*(EXP(-($G$10*(AU36+0.3)))),$G$10*$G$11*AV36*(EXP(-($G$10*(AU36+0.4)))),$G$10*$G$11*AV36*(EXP(-($G$10*(AU36+0.5)))),$G$10*$G$11*AV36*(EXP(-($G$10*(AU36+0.6)))),$G$10*$G$11*AV36*(EXP(-($G$10*(AU36+0.7)))),$G$10*$G$11*AV36*(EXP(-($G$10*(AU36+0.8)))),$G$10*$G$11*AV36*(EXP(-($G$10*(AU36+0.9)))))/10</f>
        <v>1299940.5606195568</v>
      </c>
      <c r="AX36" s="2"/>
      <c r="AY36" s="2"/>
      <c r="AZ36" s="2"/>
      <c r="BA36" s="2"/>
      <c r="BB36" s="2"/>
      <c r="BC36" s="2"/>
      <c r="BD36" s="2"/>
      <c r="BE36" s="2"/>
      <c r="BF36" s="2"/>
      <c r="BG36" s="2"/>
      <c r="BH36" s="2"/>
      <c r="BI36" s="2"/>
      <c r="BJ36" s="2"/>
      <c r="BK36" s="2"/>
      <c r="BL36" s="2"/>
      <c r="BM36" s="2"/>
      <c r="BN36" s="2"/>
      <c r="BO36" s="2"/>
      <c r="BP36" s="2"/>
      <c r="BQ36" s="2"/>
      <c r="BR36" s="2"/>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361"/>
      <c r="EB36" s="361"/>
      <c r="EC36" s="361"/>
      <c r="ED36" s="361"/>
      <c r="EE36" s="361"/>
      <c r="EF36" s="361"/>
      <c r="EG36" s="361"/>
      <c r="EH36" s="361"/>
      <c r="EI36" s="361"/>
      <c r="EJ36" s="361"/>
      <c r="EK36" s="361"/>
      <c r="EL36" s="361"/>
      <c r="EM36" s="361"/>
      <c r="EN36" s="361"/>
      <c r="EO36" s="361"/>
      <c r="EP36" s="361"/>
      <c r="EQ36" s="361"/>
      <c r="ER36" s="361"/>
      <c r="ES36" s="361"/>
      <c r="ET36" s="361"/>
      <c r="EU36" s="361"/>
      <c r="EV36" s="361"/>
      <c r="EW36" s="361"/>
      <c r="EX36" s="361"/>
      <c r="EY36" s="361"/>
      <c r="EZ36" s="361"/>
      <c r="FA36" s="361"/>
      <c r="FB36" s="361"/>
      <c r="FC36" s="361"/>
      <c r="FD36" s="361"/>
      <c r="FE36" s="361"/>
      <c r="FF36" s="361"/>
      <c r="FG36" s="361"/>
      <c r="FH36" s="361"/>
      <c r="FI36" s="361"/>
      <c r="FJ36" s="361"/>
      <c r="FK36" s="361"/>
      <c r="FL36" s="361"/>
      <c r="FM36" s="361"/>
      <c r="FN36" s="361"/>
      <c r="FO36" s="361"/>
      <c r="FP36" s="361"/>
      <c r="FQ36" s="361"/>
      <c r="FR36" s="361"/>
      <c r="FS36" s="361"/>
      <c r="FT36" s="361"/>
      <c r="FU36" s="361"/>
      <c r="FV36" s="361"/>
      <c r="FW36" s="361"/>
      <c r="FX36" s="361"/>
      <c r="FY36" s="361"/>
      <c r="FZ36" s="361"/>
      <c r="GA36" s="361"/>
      <c r="GB36" s="361"/>
      <c r="GC36" s="361"/>
      <c r="GD36" s="361"/>
      <c r="GE36" s="361"/>
      <c r="GF36" s="361"/>
      <c r="GG36" s="361"/>
      <c r="GH36" s="361"/>
      <c r="GI36" s="361"/>
      <c r="GJ36" s="361"/>
      <c r="GK36" s="361"/>
      <c r="GL36" s="361"/>
      <c r="GM36" s="361"/>
      <c r="GN36" s="361"/>
      <c r="GO36" s="361"/>
      <c r="GP36" s="361"/>
      <c r="GQ36" s="361"/>
      <c r="GR36" s="361"/>
      <c r="GS36" s="361"/>
      <c r="GT36" s="361"/>
      <c r="GU36" s="361"/>
      <c r="GV36" s="361"/>
      <c r="GW36" s="361"/>
      <c r="GX36" s="361"/>
      <c r="GY36" s="361"/>
      <c r="GZ36" s="361"/>
      <c r="HA36" s="361"/>
      <c r="HB36" s="361"/>
      <c r="HC36" s="361"/>
      <c r="HD36" s="361"/>
      <c r="HE36" s="361"/>
      <c r="HF36" s="361"/>
      <c r="HG36" s="361"/>
      <c r="HH36" s="361"/>
      <c r="HI36" s="361"/>
      <c r="HJ36" s="361"/>
      <c r="HK36" s="361"/>
      <c r="HL36" s="361"/>
      <c r="HM36" s="361"/>
      <c r="HN36" s="361"/>
      <c r="HO36" s="361"/>
      <c r="HP36" s="361"/>
      <c r="HQ36" s="361"/>
      <c r="HR36" s="361"/>
      <c r="HS36" s="361"/>
      <c r="HT36" s="361"/>
      <c r="HU36" s="361"/>
      <c r="HV36" s="361"/>
      <c r="HW36" s="361"/>
      <c r="HX36" s="361"/>
      <c r="HY36" s="361"/>
      <c r="HZ36" s="361"/>
      <c r="IA36" s="361"/>
      <c r="IB36" s="361"/>
      <c r="IC36" s="361"/>
      <c r="ID36" s="361"/>
      <c r="IE36" s="361"/>
      <c r="IF36" s="361"/>
      <c r="IG36" s="361"/>
      <c r="IH36" s="361"/>
      <c r="II36" s="361"/>
      <c r="IJ36" s="361"/>
      <c r="IK36" s="361"/>
      <c r="IL36" s="361"/>
      <c r="IM36" s="361"/>
      <c r="IN36" s="361"/>
      <c r="IO36" s="361"/>
      <c r="IP36" s="361"/>
    </row>
    <row r="37" spans="2:250">
      <c r="B37" s="56">
        <f>'USER INPUTS'!J22</f>
        <v>2032</v>
      </c>
      <c r="C37" s="420">
        <f>IF(OR(AND(ClosureCalcYes=TRUE,WasteCapacity=""),AND(ClosureCalcYes=FALSE,ClosureYear="")),0,IF('USER INPUTS'!K22&gt;0,IF('USER INPUTS'!$K$4="Mg/year",'USER INPUTS'!K22,'USER INPUTS'!L22),0))</f>
        <v>363206</v>
      </c>
      <c r="D37" s="420">
        <f t="shared" si="6"/>
        <v>3745143</v>
      </c>
      <c r="E37" s="420">
        <f>IF(ClosureCalcYes=FALSE,IF(AND(B37&lt;ClosureYear,C37=0,SUM(C37:$C$102)=0),$D$13,IF(B37&lt;=ClosureYear,C37,0)),IF(B37=$D$16,($D$14-F37),IF(B37&lt;$D$16,IF(SUM(C37:$C$102)=0,$D$13,C37),0)))</f>
        <v>363206</v>
      </c>
      <c r="F37" s="66">
        <f t="shared" si="7"/>
        <v>3745143</v>
      </c>
      <c r="G37" s="284">
        <f>IF(SUM(C38:$C$101)=0,C37,0)</f>
        <v>0</v>
      </c>
      <c r="H37" s="284">
        <f t="shared" si="0"/>
        <v>0</v>
      </c>
      <c r="I37" s="2">
        <f t="shared" si="8"/>
        <v>2032</v>
      </c>
      <c r="J37" s="379">
        <f t="shared" si="1"/>
        <v>11761234.194162743</v>
      </c>
      <c r="K37" s="2">
        <v>13</v>
      </c>
      <c r="L37" s="57">
        <f t="shared" si="2"/>
        <v>189082</v>
      </c>
      <c r="M37" s="62">
        <f t="shared" si="3"/>
        <v>441660.34817611007</v>
      </c>
      <c r="N37" s="2">
        <v>12</v>
      </c>
      <c r="O37" s="57">
        <f t="shared" si="4"/>
        <v>293489</v>
      </c>
      <c r="P37" s="62">
        <f t="shared" si="5"/>
        <v>713512.902461841</v>
      </c>
      <c r="Q37" s="2">
        <v>11</v>
      </c>
      <c r="R37" s="57">
        <f t="shared" si="9"/>
        <v>283523</v>
      </c>
      <c r="S37" s="62">
        <f t="shared" si="10"/>
        <v>717414.37953593687</v>
      </c>
      <c r="T37" s="2">
        <v>10</v>
      </c>
      <c r="U37" s="57">
        <f t="shared" si="11"/>
        <v>143321</v>
      </c>
      <c r="V37" s="62">
        <f t="shared" si="12"/>
        <v>377453.44252998015</v>
      </c>
      <c r="W37" s="2">
        <v>9</v>
      </c>
      <c r="X37" s="57">
        <f t="shared" si="13"/>
        <v>227851</v>
      </c>
      <c r="Y37" s="62">
        <f t="shared" si="14"/>
        <v>624563.0384740869</v>
      </c>
      <c r="Z37" s="2">
        <v>8</v>
      </c>
      <c r="AA37" s="57">
        <f t="shared" si="15"/>
        <v>238727</v>
      </c>
      <c r="AB37" s="62">
        <f t="shared" si="16"/>
        <v>681080.83522284683</v>
      </c>
      <c r="AC37" s="2">
        <v>7</v>
      </c>
      <c r="AD37" s="57">
        <f t="shared" si="17"/>
        <v>250122</v>
      </c>
      <c r="AE37" s="62">
        <f t="shared" si="18"/>
        <v>742712.5995554867</v>
      </c>
      <c r="AF37" s="2">
        <v>6</v>
      </c>
      <c r="AG37" s="57">
        <f t="shared" si="19"/>
        <v>262060</v>
      </c>
      <c r="AH37" s="62">
        <f t="shared" si="20"/>
        <v>809918.67825277685</v>
      </c>
      <c r="AI37" s="2">
        <v>5</v>
      </c>
      <c r="AJ37" s="57">
        <f t="shared" si="21"/>
        <v>274569</v>
      </c>
      <c r="AK37" s="62">
        <f t="shared" si="22"/>
        <v>883209.96272080787</v>
      </c>
      <c r="AL37" s="2">
        <v>4</v>
      </c>
      <c r="AM37" s="57">
        <f t="shared" si="23"/>
        <v>287675</v>
      </c>
      <c r="AN37" s="62">
        <f t="shared" si="24"/>
        <v>963133.2105468089</v>
      </c>
      <c r="AO37" s="2">
        <v>3</v>
      </c>
      <c r="AP37" s="57">
        <f t="shared" si="25"/>
        <v>301406</v>
      </c>
      <c r="AQ37" s="62">
        <f t="shared" si="26"/>
        <v>1050286.804845572</v>
      </c>
      <c r="AR37" s="2">
        <v>2</v>
      </c>
      <c r="AS37" s="57">
        <f t="shared" si="27"/>
        <v>315793</v>
      </c>
      <c r="AT37" s="62">
        <f t="shared" si="28"/>
        <v>1145329.0972607196</v>
      </c>
      <c r="AU37" s="2">
        <v>1</v>
      </c>
      <c r="AV37" s="57">
        <f t="shared" si="29"/>
        <v>330866</v>
      </c>
      <c r="AW37" s="62">
        <f t="shared" si="30"/>
        <v>1248969.1621690211</v>
      </c>
      <c r="AX37" s="2">
        <v>0</v>
      </c>
      <c r="AY37" s="57">
        <f t="shared" ref="AY37:AY68" si="31">$E$36</f>
        <v>346659</v>
      </c>
      <c r="AZ37" s="62">
        <f t="shared" ref="AZ37:AZ68" si="32">SUM($G$10*$G$11*AY37*(EXP(-($G$10*AX37))),$G$10*$G$11*AY37*(EXP(-($G$10*(AX37+0.1)))),$G$10*$G$11*AY37*(EXP(-($G$10*(AX37+0.2)))),$G$10*$G$11*AY37*(EXP(-($G$10*(AX37+0.3)))),$G$10*$G$11*AY37*(EXP(-($G$10*(AX37+0.4)))),$G$10*$G$11*AY37*(EXP(-($G$10*(AX37+0.5)))),$G$10*$G$11*AY37*(EXP(-($G$10*(AX37+0.6)))),$G$10*$G$11*AY37*(EXP(-($G$10*(AX37+0.7)))),$G$10*$G$11*AY37*(EXP(-($G$10*(AX37+0.8)))),$G$10*$G$11*AY37*(EXP(-($G$10*(AX37+0.9)))))/10</f>
        <v>1361989.7324107494</v>
      </c>
      <c r="BA37" s="2"/>
      <c r="BB37" s="2"/>
      <c r="BC37" s="2"/>
      <c r="BD37" s="2"/>
      <c r="BE37" s="2"/>
      <c r="BF37" s="2"/>
      <c r="BG37" s="2"/>
      <c r="BH37" s="2"/>
      <c r="BI37" s="2"/>
      <c r="BJ37" s="2"/>
      <c r="BK37" s="2"/>
      <c r="BL37" s="2"/>
      <c r="BM37" s="2"/>
      <c r="BN37" s="2"/>
      <c r="BO37" s="2"/>
      <c r="BP37" s="2"/>
      <c r="BQ37" s="2"/>
      <c r="BR37" s="2"/>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361"/>
      <c r="EB37" s="361"/>
      <c r="EC37" s="361"/>
      <c r="ED37" s="361"/>
      <c r="EE37" s="361"/>
      <c r="EF37" s="361"/>
      <c r="EG37" s="361"/>
      <c r="EH37" s="361"/>
      <c r="EI37" s="361"/>
      <c r="EJ37" s="361"/>
      <c r="EK37" s="361"/>
      <c r="EL37" s="361"/>
      <c r="EM37" s="361"/>
      <c r="EN37" s="361"/>
      <c r="EO37" s="361"/>
      <c r="EP37" s="361"/>
      <c r="EQ37" s="361"/>
      <c r="ER37" s="361"/>
      <c r="ES37" s="361"/>
      <c r="ET37" s="361"/>
      <c r="EU37" s="361"/>
      <c r="EV37" s="361"/>
      <c r="EW37" s="361"/>
      <c r="EX37" s="361"/>
      <c r="EY37" s="361"/>
      <c r="EZ37" s="361"/>
      <c r="FA37" s="361"/>
      <c r="FB37" s="361"/>
      <c r="FC37" s="361"/>
      <c r="FD37" s="361"/>
      <c r="FE37" s="361"/>
      <c r="FF37" s="361"/>
      <c r="FG37" s="361"/>
      <c r="FH37" s="361"/>
      <c r="FI37" s="361"/>
      <c r="FJ37" s="361"/>
      <c r="FK37" s="361"/>
      <c r="FL37" s="361"/>
      <c r="FM37" s="361"/>
      <c r="FN37" s="361"/>
      <c r="FO37" s="361"/>
      <c r="FP37" s="361"/>
      <c r="FQ37" s="361"/>
      <c r="FR37" s="361"/>
      <c r="FS37" s="361"/>
      <c r="FT37" s="361"/>
      <c r="FU37" s="361"/>
      <c r="FV37" s="361"/>
      <c r="FW37" s="361"/>
      <c r="FX37" s="361"/>
      <c r="FY37" s="361"/>
      <c r="FZ37" s="361"/>
      <c r="GA37" s="361"/>
      <c r="GB37" s="361"/>
      <c r="GC37" s="361"/>
      <c r="GD37" s="361"/>
      <c r="GE37" s="361"/>
      <c r="GF37" s="361"/>
      <c r="GG37" s="361"/>
      <c r="GH37" s="361"/>
      <c r="GI37" s="361"/>
      <c r="GJ37" s="361"/>
      <c r="GK37" s="361"/>
      <c r="GL37" s="361"/>
      <c r="GM37" s="361"/>
      <c r="GN37" s="361"/>
      <c r="GO37" s="361"/>
      <c r="GP37" s="361"/>
      <c r="GQ37" s="361"/>
      <c r="GR37" s="361"/>
      <c r="GS37" s="361"/>
      <c r="GT37" s="361"/>
      <c r="GU37" s="361"/>
      <c r="GV37" s="361"/>
      <c r="GW37" s="361"/>
      <c r="GX37" s="361"/>
      <c r="GY37" s="361"/>
      <c r="GZ37" s="361"/>
      <c r="HA37" s="361"/>
      <c r="HB37" s="361"/>
      <c r="HC37" s="361"/>
      <c r="HD37" s="361"/>
      <c r="HE37" s="361"/>
      <c r="HF37" s="361"/>
      <c r="HG37" s="361"/>
      <c r="HH37" s="361"/>
      <c r="HI37" s="361"/>
      <c r="HJ37" s="361"/>
      <c r="HK37" s="361"/>
      <c r="HL37" s="361"/>
      <c r="HM37" s="361"/>
      <c r="HN37" s="361"/>
      <c r="HO37" s="361"/>
      <c r="HP37" s="361"/>
      <c r="HQ37" s="361"/>
      <c r="HR37" s="361"/>
      <c r="HS37" s="361"/>
      <c r="HT37" s="361"/>
      <c r="HU37" s="361"/>
      <c r="HV37" s="361"/>
      <c r="HW37" s="361"/>
      <c r="HX37" s="361"/>
      <c r="HY37" s="361"/>
      <c r="HZ37" s="361"/>
      <c r="IA37" s="361"/>
      <c r="IB37" s="361"/>
      <c r="IC37" s="361"/>
      <c r="ID37" s="361"/>
      <c r="IE37" s="361"/>
      <c r="IF37" s="361"/>
      <c r="IG37" s="361"/>
      <c r="IH37" s="361"/>
      <c r="II37" s="361"/>
      <c r="IJ37" s="361"/>
      <c r="IK37" s="361"/>
      <c r="IL37" s="361"/>
      <c r="IM37" s="361"/>
      <c r="IN37" s="361"/>
      <c r="IO37" s="361"/>
      <c r="IP37" s="361"/>
    </row>
    <row r="38" spans="2:250">
      <c r="B38" s="56">
        <f>'USER INPUTS'!J23</f>
        <v>2033</v>
      </c>
      <c r="C38" s="420">
        <f>IF(OR(AND(ClosureCalcYes=TRUE,WasteCapacity=""),AND(ClosureCalcYes=FALSE,ClosureYear="")),0,IF('USER INPUTS'!K23&gt;0,IF('USER INPUTS'!$K$4="Mg/year",'USER INPUTS'!K23,'USER INPUTS'!L23),0))</f>
        <v>380542</v>
      </c>
      <c r="D38" s="420">
        <f t="shared" si="6"/>
        <v>4108349</v>
      </c>
      <c r="E38" s="420">
        <f>IF(ClosureCalcYes=FALSE,IF(AND(B38&lt;ClosureYear,C38=0,SUM(C38:$C$102)=0),$D$13,IF(B38&lt;=ClosureYear,C38,0)),IF(B38=$D$16,($D$14-F38),IF(B38&lt;$D$16,IF(SUM(C38:$C$102)=0,$D$13,C38),0)))</f>
        <v>380542</v>
      </c>
      <c r="F38" s="66">
        <f t="shared" si="7"/>
        <v>4108349</v>
      </c>
      <c r="G38" s="284">
        <f>IF(SUM(C39:$C$101)=0,C38,0)</f>
        <v>0</v>
      </c>
      <c r="H38" s="284">
        <f t="shared" si="0"/>
        <v>0</v>
      </c>
      <c r="I38" s="2">
        <f t="shared" si="8"/>
        <v>2033</v>
      </c>
      <c r="J38" s="379">
        <f t="shared" si="1"/>
        <v>12727070.902533151</v>
      </c>
      <c r="K38" s="2">
        <v>14</v>
      </c>
      <c r="L38" s="57">
        <f t="shared" si="2"/>
        <v>189082</v>
      </c>
      <c r="M38" s="62">
        <f t="shared" si="3"/>
        <v>424342.59821994451</v>
      </c>
      <c r="N38" s="2">
        <v>13</v>
      </c>
      <c r="O38" s="57">
        <f t="shared" si="4"/>
        <v>293489</v>
      </c>
      <c r="P38" s="62">
        <f t="shared" si="5"/>
        <v>685535.66138425842</v>
      </c>
      <c r="Q38" s="2">
        <v>12</v>
      </c>
      <c r="R38" s="57">
        <f t="shared" si="9"/>
        <v>283523</v>
      </c>
      <c r="S38" s="62">
        <f t="shared" si="10"/>
        <v>689284.15935414447</v>
      </c>
      <c r="T38" s="2">
        <v>11</v>
      </c>
      <c r="U38" s="57">
        <f t="shared" si="11"/>
        <v>143321</v>
      </c>
      <c r="V38" s="62">
        <f t="shared" si="12"/>
        <v>362653.28135449329</v>
      </c>
      <c r="W38" s="2">
        <v>10</v>
      </c>
      <c r="X38" s="57">
        <f t="shared" si="13"/>
        <v>227851</v>
      </c>
      <c r="Y38" s="62">
        <f t="shared" si="14"/>
        <v>600073.57145078888</v>
      </c>
      <c r="Z38" s="2">
        <v>9</v>
      </c>
      <c r="AA38" s="57">
        <f t="shared" si="15"/>
        <v>238727</v>
      </c>
      <c r="AB38" s="62">
        <f t="shared" si="16"/>
        <v>654375.2736911549</v>
      </c>
      <c r="AC38" s="2">
        <v>8</v>
      </c>
      <c r="AD38" s="57">
        <f t="shared" si="17"/>
        <v>250122</v>
      </c>
      <c r="AE38" s="62">
        <f t="shared" si="18"/>
        <v>713590.42197828018</v>
      </c>
      <c r="AF38" s="2">
        <v>7</v>
      </c>
      <c r="AG38" s="57">
        <f t="shared" si="19"/>
        <v>262060</v>
      </c>
      <c r="AH38" s="62">
        <f t="shared" si="20"/>
        <v>778161.31263747648</v>
      </c>
      <c r="AI38" s="2">
        <v>6</v>
      </c>
      <c r="AJ38" s="57">
        <f t="shared" si="21"/>
        <v>274569</v>
      </c>
      <c r="AK38" s="62">
        <f t="shared" si="22"/>
        <v>848578.80473626929</v>
      </c>
      <c r="AL38" s="2">
        <v>5</v>
      </c>
      <c r="AM38" s="57">
        <f t="shared" si="23"/>
        <v>287675</v>
      </c>
      <c r="AN38" s="62">
        <f t="shared" si="24"/>
        <v>925368.21719024493</v>
      </c>
      <c r="AO38" s="2">
        <v>4</v>
      </c>
      <c r="AP38" s="57">
        <f t="shared" si="25"/>
        <v>301406</v>
      </c>
      <c r="AQ38" s="62">
        <f t="shared" si="26"/>
        <v>1009104.4701766629</v>
      </c>
      <c r="AR38" s="2">
        <v>3</v>
      </c>
      <c r="AS38" s="57">
        <f t="shared" si="27"/>
        <v>315793</v>
      </c>
      <c r="AT38" s="62">
        <f t="shared" si="28"/>
        <v>1100420.1010019635</v>
      </c>
      <c r="AU38" s="2">
        <v>2</v>
      </c>
      <c r="AV38" s="57">
        <f t="shared" si="29"/>
        <v>330866</v>
      </c>
      <c r="AW38" s="62">
        <f t="shared" si="30"/>
        <v>1199996.3808389206</v>
      </c>
      <c r="AX38" s="2">
        <v>1</v>
      </c>
      <c r="AY38" s="57">
        <f t="shared" si="31"/>
        <v>346659</v>
      </c>
      <c r="AZ38" s="62">
        <f t="shared" si="32"/>
        <v>1308585.3511341468</v>
      </c>
      <c r="BA38" s="2">
        <v>0</v>
      </c>
      <c r="BB38" s="57">
        <f t="shared" ref="BB38:BB69" si="33">$E$37</f>
        <v>363206</v>
      </c>
      <c r="BC38" s="62">
        <f t="shared" ref="BC38:BC69" si="34">SUM($G$10*$G$11*BB38*(EXP(-($G$10*BA38))),$G$10*$G$11*BB38*(EXP(-($G$10*(BA38+0.1)))),$G$10*$G$11*BB38*(EXP(-($G$10*(BA38+0.2)))),$G$10*$G$11*BB38*(EXP(-($G$10*(BA38+0.3)))),$G$10*$G$11*BB38*(EXP(-($G$10*(BA38+0.4)))),$G$10*$G$11*BB38*(EXP(-($G$10*(BA38+0.5)))),$G$10*$G$11*BB38*(EXP(-($G$10*(BA38+0.6)))),$G$10*$G$11*BB38*(EXP(-($G$10*(BA38+0.7)))),$G$10*$G$11*BB38*(EXP(-($G$10*(BA38+0.8)))),$G$10*$G$11*BB38*(EXP(-($G$10*(BA38+0.9)))))/10</f>
        <v>1427001.2973843999</v>
      </c>
      <c r="BD38" s="2"/>
      <c r="BE38" s="2"/>
      <c r="BF38" s="2"/>
      <c r="BG38" s="2"/>
      <c r="BH38" s="2"/>
      <c r="BI38" s="2"/>
      <c r="BJ38" s="2"/>
      <c r="BK38" s="2"/>
      <c r="BL38" s="2"/>
      <c r="BM38" s="2"/>
      <c r="BN38" s="2"/>
      <c r="BO38" s="2"/>
      <c r="BP38" s="2"/>
      <c r="BQ38" s="2"/>
      <c r="BR38" s="2"/>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361"/>
      <c r="EB38" s="361"/>
      <c r="EC38" s="361"/>
      <c r="ED38" s="361"/>
      <c r="EE38" s="361"/>
      <c r="EF38" s="361"/>
      <c r="EG38" s="361"/>
      <c r="EH38" s="361"/>
      <c r="EI38" s="361"/>
      <c r="EJ38" s="361"/>
      <c r="EK38" s="361"/>
      <c r="EL38" s="361"/>
      <c r="EM38" s="361"/>
      <c r="EN38" s="361"/>
      <c r="EO38" s="361"/>
      <c r="EP38" s="361"/>
      <c r="EQ38" s="361"/>
      <c r="ER38" s="361"/>
      <c r="ES38" s="361"/>
      <c r="ET38" s="361"/>
      <c r="EU38" s="361"/>
      <c r="EV38" s="361"/>
      <c r="EW38" s="361"/>
      <c r="EX38" s="361"/>
      <c r="EY38" s="361"/>
      <c r="EZ38" s="361"/>
      <c r="FA38" s="361"/>
      <c r="FB38" s="361"/>
      <c r="FC38" s="361"/>
      <c r="FD38" s="361"/>
      <c r="FE38" s="361"/>
      <c r="FF38" s="361"/>
      <c r="FG38" s="361"/>
      <c r="FH38" s="361"/>
      <c r="FI38" s="361"/>
      <c r="FJ38" s="361"/>
      <c r="FK38" s="361"/>
      <c r="FL38" s="361"/>
      <c r="FM38" s="361"/>
      <c r="FN38" s="361"/>
      <c r="FO38" s="361"/>
      <c r="FP38" s="361"/>
      <c r="FQ38" s="361"/>
      <c r="FR38" s="361"/>
      <c r="FS38" s="361"/>
      <c r="FT38" s="361"/>
      <c r="FU38" s="361"/>
      <c r="FV38" s="361"/>
      <c r="FW38" s="361"/>
      <c r="FX38" s="361"/>
      <c r="FY38" s="361"/>
      <c r="FZ38" s="361"/>
      <c r="GA38" s="361"/>
      <c r="GB38" s="361"/>
      <c r="GC38" s="361"/>
      <c r="GD38" s="361"/>
      <c r="GE38" s="361"/>
      <c r="GF38" s="361"/>
      <c r="GG38" s="361"/>
      <c r="GH38" s="361"/>
      <c r="GI38" s="361"/>
      <c r="GJ38" s="361"/>
      <c r="GK38" s="361"/>
      <c r="GL38" s="361"/>
      <c r="GM38" s="361"/>
      <c r="GN38" s="361"/>
      <c r="GO38" s="361"/>
      <c r="GP38" s="361"/>
      <c r="GQ38" s="361"/>
      <c r="GR38" s="361"/>
      <c r="GS38" s="361"/>
      <c r="GT38" s="361"/>
      <c r="GU38" s="361"/>
      <c r="GV38" s="361"/>
      <c r="GW38" s="361"/>
      <c r="GX38" s="361"/>
      <c r="GY38" s="361"/>
      <c r="GZ38" s="361"/>
      <c r="HA38" s="361"/>
      <c r="HB38" s="361"/>
      <c r="HC38" s="361"/>
      <c r="HD38" s="361"/>
      <c r="HE38" s="361"/>
      <c r="HF38" s="361"/>
      <c r="HG38" s="361"/>
      <c r="HH38" s="361"/>
      <c r="HI38" s="361"/>
      <c r="HJ38" s="361"/>
      <c r="HK38" s="361"/>
      <c r="HL38" s="361"/>
      <c r="HM38" s="361"/>
      <c r="HN38" s="361"/>
      <c r="HO38" s="361"/>
      <c r="HP38" s="361"/>
      <c r="HQ38" s="361"/>
      <c r="HR38" s="361"/>
      <c r="HS38" s="361"/>
      <c r="HT38" s="361"/>
      <c r="HU38" s="361"/>
      <c r="HV38" s="361"/>
      <c r="HW38" s="361"/>
      <c r="HX38" s="361"/>
      <c r="HY38" s="361"/>
      <c r="HZ38" s="361"/>
      <c r="IA38" s="361"/>
      <c r="IB38" s="361"/>
      <c r="IC38" s="361"/>
      <c r="ID38" s="361"/>
      <c r="IE38" s="361"/>
      <c r="IF38" s="361"/>
      <c r="IG38" s="361"/>
      <c r="IH38" s="361"/>
      <c r="II38" s="361"/>
      <c r="IJ38" s="361"/>
      <c r="IK38" s="361"/>
      <c r="IL38" s="361"/>
      <c r="IM38" s="361"/>
      <c r="IN38" s="361"/>
      <c r="IO38" s="361"/>
      <c r="IP38" s="361"/>
    </row>
    <row r="39" spans="2:250">
      <c r="B39" s="56">
        <f>'USER INPUTS'!J24</f>
        <v>2034</v>
      </c>
      <c r="C39" s="420">
        <f>IF(OR(AND(ClosureCalcYes=TRUE,WasteCapacity=""),AND(ClosureCalcYes=FALSE,ClosureYear="")),0,IF('USER INPUTS'!K24&gt;0,IF('USER INPUTS'!$K$4="Mg/year",'USER INPUTS'!K24,'USER INPUTS'!L24),0))</f>
        <v>398706</v>
      </c>
      <c r="D39" s="420">
        <f t="shared" si="6"/>
        <v>4488891</v>
      </c>
      <c r="E39" s="420">
        <f>IF(ClosureCalcYes=FALSE,IF(AND(B39&lt;ClosureYear,C39=0,SUM(C39:$C$102)=0),$D$13,IF(B39&lt;=ClosureYear,C39,0)),IF(B39=$D$16,($D$14-F39),IF(B39&lt;$D$16,IF(SUM(C39:$C$102)=0,$D$13,C39),0)))</f>
        <v>398706</v>
      </c>
      <c r="F39" s="66">
        <f t="shared" si="7"/>
        <v>4488891</v>
      </c>
      <c r="G39" s="284">
        <f>IF(SUM(C40:$C$101)=0,C39,0)</f>
        <v>0</v>
      </c>
      <c r="H39" s="284">
        <f t="shared" si="0"/>
        <v>0</v>
      </c>
      <c r="I39" s="2">
        <f t="shared" si="8"/>
        <v>2034</v>
      </c>
      <c r="J39" s="379">
        <f t="shared" si="1"/>
        <v>13723148.081657063</v>
      </c>
      <c r="K39" s="2">
        <v>15</v>
      </c>
      <c r="L39" s="57">
        <f t="shared" si="2"/>
        <v>189082</v>
      </c>
      <c r="M39" s="62">
        <f t="shared" si="3"/>
        <v>407703.88695218012</v>
      </c>
      <c r="N39" s="2">
        <v>14</v>
      </c>
      <c r="O39" s="57">
        <f t="shared" si="4"/>
        <v>293489</v>
      </c>
      <c r="P39" s="62">
        <f t="shared" si="5"/>
        <v>658655.42362029874</v>
      </c>
      <c r="Q39" s="2">
        <v>13</v>
      </c>
      <c r="R39" s="57">
        <f t="shared" si="9"/>
        <v>283523</v>
      </c>
      <c r="S39" s="62">
        <f t="shared" si="10"/>
        <v>662256.94088244915</v>
      </c>
      <c r="T39" s="2">
        <v>12</v>
      </c>
      <c r="U39" s="57">
        <f t="shared" si="11"/>
        <v>143321</v>
      </c>
      <c r="V39" s="62">
        <f t="shared" si="12"/>
        <v>348433.44279933331</v>
      </c>
      <c r="W39" s="2">
        <v>11</v>
      </c>
      <c r="X39" s="57">
        <f t="shared" si="13"/>
        <v>227851</v>
      </c>
      <c r="Y39" s="62">
        <f t="shared" si="14"/>
        <v>576544.35016433499</v>
      </c>
      <c r="Z39" s="2">
        <v>10</v>
      </c>
      <c r="AA39" s="57">
        <f t="shared" si="15"/>
        <v>238727</v>
      </c>
      <c r="AB39" s="62">
        <f t="shared" si="16"/>
        <v>628716.85220487276</v>
      </c>
      <c r="AC39" s="2">
        <v>9</v>
      </c>
      <c r="AD39" s="57">
        <f t="shared" si="17"/>
        <v>250122</v>
      </c>
      <c r="AE39" s="62">
        <f t="shared" si="18"/>
        <v>685610.1413169814</v>
      </c>
      <c r="AF39" s="2">
        <v>8</v>
      </c>
      <c r="AG39" s="57">
        <f t="shared" si="19"/>
        <v>262060</v>
      </c>
      <c r="AH39" s="62">
        <f t="shared" si="20"/>
        <v>747649.17113899661</v>
      </c>
      <c r="AI39" s="2">
        <v>7</v>
      </c>
      <c r="AJ39" s="57">
        <f t="shared" si="21"/>
        <v>274569</v>
      </c>
      <c r="AK39" s="62">
        <f t="shared" si="22"/>
        <v>815305.55387910886</v>
      </c>
      <c r="AL39" s="2">
        <v>6</v>
      </c>
      <c r="AM39" s="57">
        <f t="shared" si="23"/>
        <v>287675</v>
      </c>
      <c r="AN39" s="62">
        <f t="shared" si="24"/>
        <v>889084.01040360075</v>
      </c>
      <c r="AO39" s="2">
        <v>5</v>
      </c>
      <c r="AP39" s="57">
        <f t="shared" si="25"/>
        <v>301406</v>
      </c>
      <c r="AQ39" s="62">
        <f t="shared" si="26"/>
        <v>969536.91794713831</v>
      </c>
      <c r="AR39" s="2">
        <v>4</v>
      </c>
      <c r="AS39" s="57">
        <f t="shared" si="27"/>
        <v>315793</v>
      </c>
      <c r="AT39" s="62">
        <f t="shared" si="28"/>
        <v>1057272.0116736195</v>
      </c>
      <c r="AU39" s="2">
        <v>3</v>
      </c>
      <c r="AV39" s="57">
        <f t="shared" si="29"/>
        <v>330866</v>
      </c>
      <c r="AW39" s="62">
        <f t="shared" si="30"/>
        <v>1152943.8497310441</v>
      </c>
      <c r="AX39" s="2">
        <v>2</v>
      </c>
      <c r="AY39" s="57">
        <f t="shared" si="31"/>
        <v>346659</v>
      </c>
      <c r="AZ39" s="62">
        <f t="shared" si="32"/>
        <v>1257274.9855991227</v>
      </c>
      <c r="BA39" s="2">
        <v>1</v>
      </c>
      <c r="BB39" s="57">
        <f t="shared" si="33"/>
        <v>363206</v>
      </c>
      <c r="BC39" s="62">
        <f t="shared" si="34"/>
        <v>1371047.7761835952</v>
      </c>
      <c r="BD39" s="2">
        <v>0</v>
      </c>
      <c r="BE39" s="57">
        <f t="shared" ref="BE39:BE70" si="35">$E$38</f>
        <v>380542</v>
      </c>
      <c r="BF39" s="62">
        <f t="shared" ref="BF39:BF70" si="36">SUM($G$10*$G$11*BE39*(EXP(-($G$10*BD39))),$G$10*$G$11*BE39*(EXP(-($G$10*(BD39+0.1)))),$G$10*$G$11*BE39*(EXP(-($G$10*(BD39+0.2)))),$G$10*$G$11*BE39*(EXP(-($G$10*(BD39+0.3)))),$G$10*$G$11*BE39*(EXP(-($G$10*(BD39+0.4)))),$G$10*$G$11*BE39*(EXP(-($G$10*(BD39+0.5)))),$G$10*$G$11*BE39*(EXP(-($G$10*(BD39+0.6)))),$G$10*$G$11*BE39*(EXP(-($G$10*(BD39+0.7)))),$G$10*$G$11*BE39*(EXP(-($G$10*(BD39+0.8)))),$G$10*$G$11*BE39*(EXP(-($G$10*(BD39+0.9)))))/10</f>
        <v>1495112.7671603835</v>
      </c>
      <c r="BG39" s="2"/>
      <c r="BH39" s="2"/>
      <c r="BI39" s="2"/>
      <c r="BJ39" s="2"/>
      <c r="BK39" s="2"/>
      <c r="BL39" s="2"/>
      <c r="BM39" s="2"/>
      <c r="BN39" s="2"/>
      <c r="BO39" s="2"/>
      <c r="BP39" s="2"/>
      <c r="BQ39" s="2"/>
      <c r="BR39" s="2"/>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361"/>
      <c r="EB39" s="361"/>
      <c r="EC39" s="361"/>
      <c r="ED39" s="361"/>
      <c r="EE39" s="361"/>
      <c r="EF39" s="361"/>
      <c r="EG39" s="361"/>
      <c r="EH39" s="361"/>
      <c r="EI39" s="361"/>
      <c r="EJ39" s="361"/>
      <c r="EK39" s="361"/>
      <c r="EL39" s="361"/>
      <c r="EM39" s="361"/>
      <c r="EN39" s="361"/>
      <c r="EO39" s="361"/>
      <c r="EP39" s="361"/>
      <c r="EQ39" s="361"/>
      <c r="ER39" s="361"/>
      <c r="ES39" s="361"/>
      <c r="ET39" s="361"/>
      <c r="EU39" s="361"/>
      <c r="EV39" s="361"/>
      <c r="EW39" s="361"/>
      <c r="EX39" s="361"/>
      <c r="EY39" s="361"/>
      <c r="EZ39" s="361"/>
      <c r="FA39" s="361"/>
      <c r="FB39" s="361"/>
      <c r="FC39" s="361"/>
      <c r="FD39" s="361"/>
      <c r="FE39" s="361"/>
      <c r="FF39" s="361"/>
      <c r="FG39" s="361"/>
      <c r="FH39" s="361"/>
      <c r="FI39" s="361"/>
      <c r="FJ39" s="361"/>
      <c r="FK39" s="361"/>
      <c r="FL39" s="361"/>
      <c r="FM39" s="361"/>
      <c r="FN39" s="361"/>
      <c r="FO39" s="361"/>
      <c r="FP39" s="361"/>
      <c r="FQ39" s="361"/>
      <c r="FR39" s="361"/>
      <c r="FS39" s="361"/>
      <c r="FT39" s="361"/>
      <c r="FU39" s="361"/>
      <c r="FV39" s="361"/>
      <c r="FW39" s="361"/>
      <c r="FX39" s="361"/>
      <c r="FY39" s="361"/>
      <c r="FZ39" s="361"/>
      <c r="GA39" s="361"/>
      <c r="GB39" s="361"/>
      <c r="GC39" s="361"/>
      <c r="GD39" s="361"/>
      <c r="GE39" s="361"/>
      <c r="GF39" s="361"/>
      <c r="GG39" s="361"/>
      <c r="GH39" s="361"/>
      <c r="GI39" s="361"/>
      <c r="GJ39" s="361"/>
      <c r="GK39" s="361"/>
      <c r="GL39" s="361"/>
      <c r="GM39" s="361"/>
      <c r="GN39" s="361"/>
      <c r="GO39" s="361"/>
      <c r="GP39" s="361"/>
      <c r="GQ39" s="361"/>
      <c r="GR39" s="361"/>
      <c r="GS39" s="361"/>
      <c r="GT39" s="361"/>
      <c r="GU39" s="361"/>
      <c r="GV39" s="361"/>
      <c r="GW39" s="361"/>
      <c r="GX39" s="361"/>
      <c r="GY39" s="361"/>
      <c r="GZ39" s="361"/>
      <c r="HA39" s="361"/>
      <c r="HB39" s="361"/>
      <c r="HC39" s="361"/>
      <c r="HD39" s="361"/>
      <c r="HE39" s="361"/>
      <c r="HF39" s="361"/>
      <c r="HG39" s="361"/>
      <c r="HH39" s="361"/>
      <c r="HI39" s="361"/>
      <c r="HJ39" s="361"/>
      <c r="HK39" s="361"/>
      <c r="HL39" s="361"/>
      <c r="HM39" s="361"/>
      <c r="HN39" s="361"/>
      <c r="HO39" s="361"/>
      <c r="HP39" s="361"/>
      <c r="HQ39" s="361"/>
      <c r="HR39" s="361"/>
      <c r="HS39" s="361"/>
      <c r="HT39" s="361"/>
      <c r="HU39" s="361"/>
      <c r="HV39" s="361"/>
      <c r="HW39" s="361"/>
      <c r="HX39" s="361"/>
      <c r="HY39" s="361"/>
      <c r="HZ39" s="361"/>
      <c r="IA39" s="361"/>
      <c r="IB39" s="361"/>
      <c r="IC39" s="361"/>
      <c r="ID39" s="361"/>
      <c r="IE39" s="361"/>
      <c r="IF39" s="361"/>
      <c r="IG39" s="361"/>
      <c r="IH39" s="361"/>
      <c r="II39" s="361"/>
      <c r="IJ39" s="361"/>
      <c r="IK39" s="361"/>
      <c r="IL39" s="361"/>
      <c r="IM39" s="361"/>
      <c r="IN39" s="361"/>
      <c r="IO39" s="361"/>
      <c r="IP39" s="361"/>
    </row>
    <row r="40" spans="2:250">
      <c r="B40" s="56">
        <f>'USER INPUTS'!J25</f>
        <v>2035</v>
      </c>
      <c r="C40" s="420">
        <f>IF(OR(AND(ClosureCalcYes=TRUE,WasteCapacity=""),AND(ClosureCalcYes=FALSE,ClosureYear="")),0,IF('USER INPUTS'!K25&gt;0,IF('USER INPUTS'!$K$4="Mg/year",'USER INPUTS'!K25,'USER INPUTS'!L25),0))</f>
        <v>417737</v>
      </c>
      <c r="D40" s="420">
        <f t="shared" si="6"/>
        <v>4887597</v>
      </c>
      <c r="E40" s="420">
        <f>IF(ClosureCalcYes=FALSE,IF(AND(B40&lt;ClosureYear,C40=0,SUM(C40:$C$102)=0),$D$13,IF(B40&lt;=ClosureYear,C40,0)),IF(B40=$D$16,($D$14-F40),IF(B40&lt;$D$16,IF(SUM(C40:$C$102)=0,$D$13,C40),0)))</f>
        <v>417737</v>
      </c>
      <c r="F40" s="66">
        <f t="shared" si="7"/>
        <v>4887597</v>
      </c>
      <c r="G40" s="284">
        <f>IF(SUM(C41:$C$101)=0,C40,0)</f>
        <v>0</v>
      </c>
      <c r="H40" s="284">
        <f t="shared" si="0"/>
        <v>0</v>
      </c>
      <c r="I40" s="2">
        <f t="shared" si="8"/>
        <v>2035</v>
      </c>
      <c r="J40" s="379">
        <f t="shared" si="1"/>
        <v>14751533.117751844</v>
      </c>
      <c r="K40" s="2">
        <v>16</v>
      </c>
      <c r="L40" s="57">
        <f t="shared" si="2"/>
        <v>189082</v>
      </c>
      <c r="M40" s="62">
        <f t="shared" si="3"/>
        <v>391717.58888500743</v>
      </c>
      <c r="N40" s="2">
        <v>15</v>
      </c>
      <c r="O40" s="57">
        <f t="shared" si="4"/>
        <v>293489</v>
      </c>
      <c r="P40" s="62">
        <f t="shared" si="5"/>
        <v>632829.17505478265</v>
      </c>
      <c r="Q40" s="2">
        <v>14</v>
      </c>
      <c r="R40" s="57">
        <f t="shared" si="9"/>
        <v>283523</v>
      </c>
      <c r="S40" s="62">
        <f t="shared" si="10"/>
        <v>636289.4748051815</v>
      </c>
      <c r="T40" s="2">
        <v>13</v>
      </c>
      <c r="U40" s="57">
        <f t="shared" si="11"/>
        <v>143321</v>
      </c>
      <c r="V40" s="62">
        <f t="shared" si="12"/>
        <v>334771.1720890844</v>
      </c>
      <c r="W40" s="2">
        <v>12</v>
      </c>
      <c r="X40" s="57">
        <f t="shared" si="13"/>
        <v>227851</v>
      </c>
      <c r="Y40" s="62">
        <f t="shared" si="14"/>
        <v>553937.72284083208</v>
      </c>
      <c r="Z40" s="2">
        <v>11</v>
      </c>
      <c r="AA40" s="57">
        <f t="shared" si="15"/>
        <v>238727</v>
      </c>
      <c r="AB40" s="62">
        <f t="shared" si="16"/>
        <v>604064.51181553374</v>
      </c>
      <c r="AC40" s="2">
        <v>10</v>
      </c>
      <c r="AD40" s="57">
        <f t="shared" si="17"/>
        <v>250122</v>
      </c>
      <c r="AE40" s="62">
        <f t="shared" si="18"/>
        <v>658726.98315308779</v>
      </c>
      <c r="AF40" s="2">
        <v>9</v>
      </c>
      <c r="AG40" s="57">
        <f t="shared" si="19"/>
        <v>262060</v>
      </c>
      <c r="AH40" s="62">
        <f t="shared" si="20"/>
        <v>718333.42782133596</v>
      </c>
      <c r="AI40" s="2">
        <v>8</v>
      </c>
      <c r="AJ40" s="57">
        <f t="shared" si="21"/>
        <v>274569</v>
      </c>
      <c r="AK40" s="62">
        <f t="shared" si="22"/>
        <v>783336.96584928327</v>
      </c>
      <c r="AL40" s="2">
        <v>7</v>
      </c>
      <c r="AM40" s="57">
        <f t="shared" si="23"/>
        <v>287675</v>
      </c>
      <c r="AN40" s="62">
        <f t="shared" si="24"/>
        <v>854222.5277149739</v>
      </c>
      <c r="AO40" s="2">
        <v>6</v>
      </c>
      <c r="AP40" s="57">
        <f t="shared" si="25"/>
        <v>301406</v>
      </c>
      <c r="AQ40" s="62">
        <f t="shared" si="26"/>
        <v>931520.83163190295</v>
      </c>
      <c r="AR40" s="2">
        <v>5</v>
      </c>
      <c r="AS40" s="57">
        <f t="shared" si="27"/>
        <v>315793</v>
      </c>
      <c r="AT40" s="62">
        <f t="shared" si="28"/>
        <v>1015815.7831273451</v>
      </c>
      <c r="AU40" s="2">
        <v>4</v>
      </c>
      <c r="AV40" s="57">
        <f t="shared" si="29"/>
        <v>330866</v>
      </c>
      <c r="AW40" s="62">
        <f t="shared" si="30"/>
        <v>1107736.2747572106</v>
      </c>
      <c r="AX40" s="2">
        <v>3</v>
      </c>
      <c r="AY40" s="57">
        <f t="shared" si="31"/>
        <v>346659</v>
      </c>
      <c r="AZ40" s="62">
        <f t="shared" si="32"/>
        <v>1207976.5282740265</v>
      </c>
      <c r="BA40" s="2">
        <v>2</v>
      </c>
      <c r="BB40" s="57">
        <f t="shared" si="33"/>
        <v>363206</v>
      </c>
      <c r="BC40" s="62">
        <f t="shared" si="34"/>
        <v>1317288.2239304765</v>
      </c>
      <c r="BD40" s="2">
        <v>1</v>
      </c>
      <c r="BE40" s="57">
        <f t="shared" si="35"/>
        <v>380542</v>
      </c>
      <c r="BF40" s="62">
        <f t="shared" si="36"/>
        <v>1436488.5570295029</v>
      </c>
      <c r="BG40" s="2">
        <v>0</v>
      </c>
      <c r="BH40" s="57">
        <f t="shared" ref="BH40:BH71" si="37">$E$39</f>
        <v>398706</v>
      </c>
      <c r="BI40" s="62">
        <f t="shared" ref="BI40:BI71" si="38">SUM($G$10*$G$11*BH40*(EXP(-($G$10*BG40))),$G$10*$G$11*BH40*(EXP(-($G$10*(BG40+0.1)))),$G$10*$G$11*BH40*(EXP(-($G$10*(BG40+0.2)))),$G$10*$G$11*BH40*(EXP(-($G$10*(BG40+0.3)))),$G$10*$G$11*BH40*(EXP(-($G$10*(BG40+0.4)))),$G$10*$G$11*BH40*(EXP(-($G$10*(BG40+0.5)))),$G$10*$G$11*BH40*(EXP(-($G$10*(BG40+0.6)))),$G$10*$G$11*BH40*(EXP(-($G$10*(BG40+0.7)))),$G$10*$G$11*BH40*(EXP(-($G$10*(BG40+0.8)))),$G$10*$G$11*BH40*(EXP(-($G$10*(BG40+0.9)))))/10</f>
        <v>1566477.3689722763</v>
      </c>
      <c r="BJ40" s="2"/>
      <c r="BK40" s="2"/>
      <c r="BL40" s="2"/>
      <c r="BM40" s="2"/>
      <c r="BN40" s="2"/>
      <c r="BO40" s="2"/>
      <c r="BP40" s="2"/>
      <c r="BQ40" s="2"/>
      <c r="BR40" s="2"/>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361"/>
      <c r="EB40" s="361"/>
      <c r="EC40" s="361"/>
      <c r="ED40" s="361"/>
      <c r="EE40" s="361"/>
      <c r="EF40" s="361"/>
      <c r="EG40" s="361"/>
      <c r="EH40" s="361"/>
      <c r="EI40" s="361"/>
      <c r="EJ40" s="361"/>
      <c r="EK40" s="361"/>
      <c r="EL40" s="361"/>
      <c r="EM40" s="361"/>
      <c r="EN40" s="361"/>
      <c r="EO40" s="361"/>
      <c r="EP40" s="361"/>
      <c r="EQ40" s="361"/>
      <c r="ER40" s="361"/>
      <c r="ES40" s="361"/>
      <c r="ET40" s="361"/>
      <c r="EU40" s="361"/>
      <c r="EV40" s="361"/>
      <c r="EW40" s="361"/>
      <c r="EX40" s="361"/>
      <c r="EY40" s="361"/>
      <c r="EZ40" s="361"/>
      <c r="FA40" s="361"/>
      <c r="FB40" s="361"/>
      <c r="FC40" s="361"/>
      <c r="FD40" s="361"/>
      <c r="FE40" s="361"/>
      <c r="FF40" s="361"/>
      <c r="FG40" s="361"/>
      <c r="FH40" s="361"/>
      <c r="FI40" s="361"/>
      <c r="FJ40" s="361"/>
      <c r="FK40" s="361"/>
      <c r="FL40" s="361"/>
      <c r="FM40" s="361"/>
      <c r="FN40" s="361"/>
      <c r="FO40" s="361"/>
      <c r="FP40" s="361"/>
      <c r="FQ40" s="361"/>
      <c r="FR40" s="361"/>
      <c r="FS40" s="361"/>
      <c r="FT40" s="361"/>
      <c r="FU40" s="361"/>
      <c r="FV40" s="361"/>
      <c r="FW40" s="361"/>
      <c r="FX40" s="361"/>
      <c r="FY40" s="361"/>
      <c r="FZ40" s="361"/>
      <c r="GA40" s="361"/>
      <c r="GB40" s="361"/>
      <c r="GC40" s="361"/>
      <c r="GD40" s="361"/>
      <c r="GE40" s="361"/>
      <c r="GF40" s="361"/>
      <c r="GG40" s="361"/>
      <c r="GH40" s="361"/>
      <c r="GI40" s="361"/>
      <c r="GJ40" s="361"/>
      <c r="GK40" s="361"/>
      <c r="GL40" s="361"/>
      <c r="GM40" s="361"/>
      <c r="GN40" s="361"/>
      <c r="GO40" s="361"/>
      <c r="GP40" s="361"/>
      <c r="GQ40" s="361"/>
      <c r="GR40" s="361"/>
      <c r="GS40" s="361"/>
      <c r="GT40" s="361"/>
      <c r="GU40" s="361"/>
      <c r="GV40" s="361"/>
      <c r="GW40" s="361"/>
      <c r="GX40" s="361"/>
      <c r="GY40" s="361"/>
      <c r="GZ40" s="361"/>
      <c r="HA40" s="361"/>
      <c r="HB40" s="361"/>
      <c r="HC40" s="361"/>
      <c r="HD40" s="361"/>
      <c r="HE40" s="361"/>
      <c r="HF40" s="361"/>
      <c r="HG40" s="361"/>
      <c r="HH40" s="361"/>
      <c r="HI40" s="361"/>
      <c r="HJ40" s="361"/>
      <c r="HK40" s="361"/>
      <c r="HL40" s="361"/>
      <c r="HM40" s="361"/>
      <c r="HN40" s="361"/>
      <c r="HO40" s="361"/>
      <c r="HP40" s="361"/>
      <c r="HQ40" s="361"/>
      <c r="HR40" s="361"/>
      <c r="HS40" s="361"/>
      <c r="HT40" s="361"/>
      <c r="HU40" s="361"/>
      <c r="HV40" s="361"/>
      <c r="HW40" s="361"/>
      <c r="HX40" s="361"/>
      <c r="HY40" s="361"/>
      <c r="HZ40" s="361"/>
      <c r="IA40" s="361"/>
      <c r="IB40" s="361"/>
      <c r="IC40" s="361"/>
      <c r="ID40" s="361"/>
      <c r="IE40" s="361"/>
      <c r="IF40" s="361"/>
      <c r="IG40" s="361"/>
      <c r="IH40" s="361"/>
      <c r="II40" s="361"/>
      <c r="IJ40" s="361"/>
      <c r="IK40" s="361"/>
      <c r="IL40" s="361"/>
      <c r="IM40" s="361"/>
      <c r="IN40" s="361"/>
      <c r="IO40" s="361"/>
      <c r="IP40" s="361"/>
    </row>
    <row r="41" spans="2:250">
      <c r="B41" s="56">
        <f>'USER INPUTS'!J26</f>
        <v>2036</v>
      </c>
      <c r="C41" s="420">
        <f>IF(OR(AND(ClosureCalcYes=TRUE,WasteCapacity=""),AND(ClosureCalcYes=FALSE,ClosureYear="")),0,IF('USER INPUTS'!K26&gt;0,IF('USER INPUTS'!$K$4="Mg/year",'USER INPUTS'!K26,'USER INPUTS'!L26),0))</f>
        <v>437677</v>
      </c>
      <c r="D41" s="420">
        <f t="shared" si="6"/>
        <v>5305334</v>
      </c>
      <c r="E41" s="420">
        <f>IF(ClosureCalcYes=FALSE,IF(AND(B41&lt;ClosureYear,C41=0,SUM(C41:$C$102)=0),$D$13,IF(B41&lt;=ClosureYear,C41,0)),IF(B41=$D$16,($D$14-F41),IF(B41&lt;$D$16,IF(SUM(C41:$C$102)=0,$D$13,C41),0)))</f>
        <v>437677</v>
      </c>
      <c r="F41" s="66">
        <f t="shared" si="7"/>
        <v>5305334</v>
      </c>
      <c r="G41" s="284">
        <f>IF(SUM(C42:$C$101)=0,C41,0)</f>
        <v>0</v>
      </c>
      <c r="H41" s="284">
        <f t="shared" si="0"/>
        <v>0</v>
      </c>
      <c r="I41" s="2">
        <f t="shared" si="8"/>
        <v>2036</v>
      </c>
      <c r="J41" s="379">
        <f t="shared" si="1"/>
        <v>15814365.560895368</v>
      </c>
      <c r="K41" s="2">
        <v>17</v>
      </c>
      <c r="L41" s="57">
        <f t="shared" si="2"/>
        <v>189082</v>
      </c>
      <c r="M41" s="62">
        <f t="shared" si="3"/>
        <v>376358.1225309266</v>
      </c>
      <c r="N41" s="2">
        <v>16</v>
      </c>
      <c r="O41" s="57">
        <f t="shared" si="4"/>
        <v>293489</v>
      </c>
      <c r="P41" s="62">
        <f t="shared" si="5"/>
        <v>608015.58818011195</v>
      </c>
      <c r="Q41" s="2">
        <v>15</v>
      </c>
      <c r="R41" s="57">
        <f t="shared" si="9"/>
        <v>283523</v>
      </c>
      <c r="S41" s="62">
        <f t="shared" si="10"/>
        <v>611340.20763659687</v>
      </c>
      <c r="T41" s="2">
        <v>14</v>
      </c>
      <c r="U41" s="57">
        <f t="shared" si="11"/>
        <v>143321</v>
      </c>
      <c r="V41" s="62">
        <f t="shared" si="12"/>
        <v>321644.60667583736</v>
      </c>
      <c r="W41" s="2">
        <v>13</v>
      </c>
      <c r="X41" s="57">
        <f t="shared" si="13"/>
        <v>227851</v>
      </c>
      <c r="Y41" s="62">
        <f t="shared" si="14"/>
        <v>532217.514053558</v>
      </c>
      <c r="Z41" s="2">
        <v>12</v>
      </c>
      <c r="AA41" s="57">
        <f t="shared" si="15"/>
        <v>238727</v>
      </c>
      <c r="AB41" s="62">
        <f t="shared" si="16"/>
        <v>580378.80351906852</v>
      </c>
      <c r="AC41" s="2">
        <v>11</v>
      </c>
      <c r="AD41" s="57">
        <f t="shared" si="17"/>
        <v>250122</v>
      </c>
      <c r="AE41" s="62">
        <f t="shared" si="18"/>
        <v>632897.92869815708</v>
      </c>
      <c r="AF41" s="2">
        <v>10</v>
      </c>
      <c r="AG41" s="57">
        <f t="shared" si="19"/>
        <v>262060</v>
      </c>
      <c r="AH41" s="62">
        <f t="shared" si="20"/>
        <v>690167.17124082719</v>
      </c>
      <c r="AI41" s="2">
        <v>9</v>
      </c>
      <c r="AJ41" s="57">
        <f t="shared" si="21"/>
        <v>274569</v>
      </c>
      <c r="AK41" s="62">
        <f t="shared" si="22"/>
        <v>752621.8840856154</v>
      </c>
      <c r="AL41" s="2">
        <v>8</v>
      </c>
      <c r="AM41" s="57">
        <f t="shared" si="23"/>
        <v>287675</v>
      </c>
      <c r="AN41" s="62">
        <f t="shared" si="24"/>
        <v>820727.98331454955</v>
      </c>
      <c r="AO41" s="2">
        <v>7</v>
      </c>
      <c r="AP41" s="57">
        <f t="shared" si="25"/>
        <v>301406</v>
      </c>
      <c r="AQ41" s="62">
        <f t="shared" si="26"/>
        <v>894995.37738232187</v>
      </c>
      <c r="AR41" s="2">
        <v>6</v>
      </c>
      <c r="AS41" s="57">
        <f t="shared" si="27"/>
        <v>315793</v>
      </c>
      <c r="AT41" s="62">
        <f t="shared" si="28"/>
        <v>975985.0765529999</v>
      </c>
      <c r="AU41" s="2">
        <v>5</v>
      </c>
      <c r="AV41" s="57">
        <f t="shared" si="29"/>
        <v>330866</v>
      </c>
      <c r="AW41" s="62">
        <f t="shared" si="30"/>
        <v>1064301.314152664</v>
      </c>
      <c r="AX41" s="2">
        <v>4</v>
      </c>
      <c r="AY41" s="57">
        <f t="shared" si="31"/>
        <v>346659</v>
      </c>
      <c r="AZ41" s="62">
        <f t="shared" si="32"/>
        <v>1160611.0911095724</v>
      </c>
      <c r="BA41" s="2">
        <v>3</v>
      </c>
      <c r="BB41" s="57">
        <f t="shared" si="33"/>
        <v>363206</v>
      </c>
      <c r="BC41" s="62">
        <f t="shared" si="34"/>
        <v>1265636.6138721225</v>
      </c>
      <c r="BD41" s="2">
        <v>2</v>
      </c>
      <c r="BE41" s="57">
        <f t="shared" si="35"/>
        <v>380542</v>
      </c>
      <c r="BF41" s="62">
        <f t="shared" si="36"/>
        <v>1380163.0350571063</v>
      </c>
      <c r="BG41" s="2">
        <v>1</v>
      </c>
      <c r="BH41" s="57">
        <f t="shared" si="37"/>
        <v>398706</v>
      </c>
      <c r="BI41" s="62">
        <f t="shared" si="38"/>
        <v>1505054.91277968</v>
      </c>
      <c r="BJ41" s="2">
        <v>0</v>
      </c>
      <c r="BK41" s="57">
        <f t="shared" ref="BK41:BK72" si="39">$E$40</f>
        <v>417737</v>
      </c>
      <c r="BL41" s="62">
        <f t="shared" ref="BL41:BL72" si="40">SUM($G$10*$G$11*BK41*(EXP(-($G$10*BJ41))),$G$10*$G$11*BK41*(EXP(-($G$10*(BJ41+0.1)))),$G$10*$G$11*BK41*(EXP(-($G$10*(BJ41+0.2)))),$G$10*$G$11*BK41*(EXP(-($G$10*(BJ41+0.3)))),$G$10*$G$11*BK41*(EXP(-($G$10*(BJ41+0.4)))),$G$10*$G$11*BK41*(EXP(-($G$10*(BJ41+0.5)))),$G$10*$G$11*BK41*(EXP(-($G$10*(BJ41+0.6)))),$G$10*$G$11*BK41*(EXP(-($G$10*(BJ41+0.7)))),$G$10*$G$11*BK41*(EXP(-($G$10*(BJ41+0.8)))),$G$10*$G$11*BK41*(EXP(-($G$10*(BJ41+0.9)))))/10</f>
        <v>1641248.3300536531</v>
      </c>
      <c r="BM41" s="2"/>
      <c r="BN41" s="2"/>
      <c r="BO41" s="2"/>
      <c r="BP41" s="2"/>
      <c r="BQ41" s="2"/>
      <c r="BR41" s="2"/>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361"/>
      <c r="EB41" s="361"/>
      <c r="EC41" s="361"/>
      <c r="ED41" s="361"/>
      <c r="EE41" s="361"/>
      <c r="EF41" s="361"/>
      <c r="EG41" s="361"/>
      <c r="EH41" s="361"/>
      <c r="EI41" s="361"/>
      <c r="EJ41" s="361"/>
      <c r="EK41" s="361"/>
      <c r="EL41" s="361"/>
      <c r="EM41" s="361"/>
      <c r="EN41" s="361"/>
      <c r="EO41" s="361"/>
      <c r="EP41" s="361"/>
      <c r="EQ41" s="361"/>
      <c r="ER41" s="361"/>
      <c r="ES41" s="361"/>
      <c r="ET41" s="361"/>
      <c r="EU41" s="361"/>
      <c r="EV41" s="361"/>
      <c r="EW41" s="361"/>
      <c r="EX41" s="361"/>
      <c r="EY41" s="361"/>
      <c r="EZ41" s="361"/>
      <c r="FA41" s="361"/>
      <c r="FB41" s="361"/>
      <c r="FC41" s="361"/>
      <c r="FD41" s="361"/>
      <c r="FE41" s="361"/>
      <c r="FF41" s="361"/>
      <c r="FG41" s="361"/>
      <c r="FH41" s="361"/>
      <c r="FI41" s="361"/>
      <c r="FJ41" s="361"/>
      <c r="FK41" s="361"/>
      <c r="FL41" s="361"/>
      <c r="FM41" s="361"/>
      <c r="FN41" s="361"/>
      <c r="FO41" s="361"/>
      <c r="FP41" s="361"/>
      <c r="FQ41" s="361"/>
      <c r="FR41" s="361"/>
      <c r="FS41" s="361"/>
      <c r="FT41" s="361"/>
      <c r="FU41" s="361"/>
      <c r="FV41" s="361"/>
      <c r="FW41" s="361"/>
      <c r="FX41" s="361"/>
      <c r="FY41" s="361"/>
      <c r="FZ41" s="361"/>
      <c r="GA41" s="361"/>
      <c r="GB41" s="361"/>
      <c r="GC41" s="361"/>
      <c r="GD41" s="361"/>
      <c r="GE41" s="361"/>
      <c r="GF41" s="361"/>
      <c r="GG41" s="361"/>
      <c r="GH41" s="361"/>
      <c r="GI41" s="361"/>
      <c r="GJ41" s="361"/>
      <c r="GK41" s="361"/>
      <c r="GL41" s="361"/>
      <c r="GM41" s="361"/>
      <c r="GN41" s="361"/>
      <c r="GO41" s="361"/>
      <c r="GP41" s="361"/>
      <c r="GQ41" s="361"/>
      <c r="GR41" s="361"/>
      <c r="GS41" s="361"/>
      <c r="GT41" s="361"/>
      <c r="GU41" s="361"/>
      <c r="GV41" s="361"/>
      <c r="GW41" s="361"/>
      <c r="GX41" s="361"/>
      <c r="GY41" s="361"/>
      <c r="GZ41" s="361"/>
      <c r="HA41" s="361"/>
      <c r="HB41" s="361"/>
      <c r="HC41" s="361"/>
      <c r="HD41" s="361"/>
      <c r="HE41" s="361"/>
      <c r="HF41" s="361"/>
      <c r="HG41" s="361"/>
      <c r="HH41" s="361"/>
      <c r="HI41" s="361"/>
      <c r="HJ41" s="361"/>
      <c r="HK41" s="361"/>
      <c r="HL41" s="361"/>
      <c r="HM41" s="361"/>
      <c r="HN41" s="361"/>
      <c r="HO41" s="361"/>
      <c r="HP41" s="361"/>
      <c r="HQ41" s="361"/>
      <c r="HR41" s="361"/>
      <c r="HS41" s="361"/>
      <c r="HT41" s="361"/>
      <c r="HU41" s="361"/>
      <c r="HV41" s="361"/>
      <c r="HW41" s="361"/>
      <c r="HX41" s="361"/>
      <c r="HY41" s="361"/>
      <c r="HZ41" s="361"/>
      <c r="IA41" s="361"/>
      <c r="IB41" s="361"/>
      <c r="IC41" s="361"/>
      <c r="ID41" s="361"/>
      <c r="IE41" s="361"/>
      <c r="IF41" s="361"/>
      <c r="IG41" s="361"/>
      <c r="IH41" s="361"/>
      <c r="II41" s="361"/>
      <c r="IJ41" s="361"/>
      <c r="IK41" s="361"/>
      <c r="IL41" s="361"/>
      <c r="IM41" s="361"/>
      <c r="IN41" s="361"/>
      <c r="IO41" s="361"/>
      <c r="IP41" s="361"/>
    </row>
    <row r="42" spans="2:250">
      <c r="B42" s="56">
        <f>'USER INPUTS'!J27</f>
        <v>2037</v>
      </c>
      <c r="C42" s="420">
        <f>IF(OR(AND(ClosureCalcYes=TRUE,WasteCapacity=""),AND(ClosureCalcYes=FALSE,ClosureYear="")),0,IF('USER INPUTS'!K27&gt;0,IF('USER INPUTS'!$K$4="Mg/year",'USER INPUTS'!K27,'USER INPUTS'!L27),0))</f>
        <v>458568</v>
      </c>
      <c r="D42" s="420">
        <f t="shared" si="6"/>
        <v>5743011</v>
      </c>
      <c r="E42" s="420">
        <f>IF(ClosureCalcYes=FALSE,IF(AND(B42&lt;ClosureYear,C42=0,SUM(C42:$C$102)=0),$D$13,IF(B42&lt;=ClosureYear,C42,0)),IF(B42=$D$16,($D$14-F42),IF(B42&lt;$D$16,IF(SUM(C42:$C$102)=0,$D$13,C42),0)))</f>
        <v>458568</v>
      </c>
      <c r="F42" s="66">
        <f t="shared" si="7"/>
        <v>5743011</v>
      </c>
      <c r="G42" s="284">
        <f>IF(SUM(C43:$C$101)=0,C42,0)</f>
        <v>0</v>
      </c>
      <c r="H42" s="284">
        <f t="shared" si="0"/>
        <v>0</v>
      </c>
      <c r="I42" s="2">
        <f t="shared" si="8"/>
        <v>2037</v>
      </c>
      <c r="J42" s="379">
        <f t="shared" si="1"/>
        <v>16913866.082150843</v>
      </c>
      <c r="K42" s="2">
        <v>18</v>
      </c>
      <c r="L42" s="57">
        <f t="shared" si="2"/>
        <v>189082</v>
      </c>
      <c r="M42" s="62">
        <f t="shared" si="3"/>
        <v>361600.90946691029</v>
      </c>
      <c r="N42" s="2">
        <v>17</v>
      </c>
      <c r="O42" s="57">
        <f t="shared" si="4"/>
        <v>293489</v>
      </c>
      <c r="P42" s="62">
        <f t="shared" si="5"/>
        <v>584174.95596343966</v>
      </c>
      <c r="Q42" s="2">
        <v>16</v>
      </c>
      <c r="R42" s="57">
        <f t="shared" si="9"/>
        <v>283523</v>
      </c>
      <c r="S42" s="62">
        <f t="shared" si="10"/>
        <v>587369.21522643068</v>
      </c>
      <c r="T42" s="2">
        <v>15</v>
      </c>
      <c r="U42" s="57">
        <f t="shared" si="11"/>
        <v>143321</v>
      </c>
      <c r="V42" s="62">
        <f t="shared" si="12"/>
        <v>309032.74125444738</v>
      </c>
      <c r="W42" s="2">
        <v>14</v>
      </c>
      <c r="X42" s="57">
        <f t="shared" si="13"/>
        <v>227851</v>
      </c>
      <c r="Y42" s="62">
        <f t="shared" si="14"/>
        <v>511348.96683456172</v>
      </c>
      <c r="Z42" s="2">
        <v>13</v>
      </c>
      <c r="AA42" s="57">
        <f t="shared" si="15"/>
        <v>238727</v>
      </c>
      <c r="AB42" s="62">
        <f t="shared" si="16"/>
        <v>557621.82512898243</v>
      </c>
      <c r="AC42" s="2">
        <v>12</v>
      </c>
      <c r="AD42" s="57">
        <f t="shared" si="17"/>
        <v>250122</v>
      </c>
      <c r="AE42" s="62">
        <f t="shared" si="18"/>
        <v>608081.64595456934</v>
      </c>
      <c r="AF42" s="2">
        <v>11</v>
      </c>
      <c r="AG42" s="57">
        <f t="shared" si="19"/>
        <v>262060</v>
      </c>
      <c r="AH42" s="62">
        <f t="shared" si="20"/>
        <v>663105.32937781978</v>
      </c>
      <c r="AI42" s="2">
        <v>10</v>
      </c>
      <c r="AJ42" s="57">
        <f t="shared" si="21"/>
        <v>274569</v>
      </c>
      <c r="AK42" s="62">
        <f t="shared" si="22"/>
        <v>723111.15790438326</v>
      </c>
      <c r="AL42" s="2">
        <v>9</v>
      </c>
      <c r="AM42" s="57">
        <f t="shared" si="23"/>
        <v>287675</v>
      </c>
      <c r="AN42" s="62">
        <f t="shared" si="24"/>
        <v>788546.77878540335</v>
      </c>
      <c r="AO42" s="2">
        <v>8</v>
      </c>
      <c r="AP42" s="57">
        <f t="shared" si="25"/>
        <v>301406</v>
      </c>
      <c r="AQ42" s="62">
        <f t="shared" si="26"/>
        <v>859902.10667908262</v>
      </c>
      <c r="AR42" s="2">
        <v>7</v>
      </c>
      <c r="AS42" s="57">
        <f t="shared" si="27"/>
        <v>315793</v>
      </c>
      <c r="AT42" s="62">
        <f t="shared" si="28"/>
        <v>937716.15432239394</v>
      </c>
      <c r="AU42" s="2">
        <v>6</v>
      </c>
      <c r="AV42" s="57">
        <f t="shared" si="29"/>
        <v>330866</v>
      </c>
      <c r="AW42" s="62">
        <f t="shared" si="30"/>
        <v>1022569.4627138186</v>
      </c>
      <c r="AX42" s="2">
        <v>5</v>
      </c>
      <c r="AY42" s="57">
        <f t="shared" si="31"/>
        <v>346659</v>
      </c>
      <c r="AZ42" s="62">
        <f t="shared" si="32"/>
        <v>1115102.8793011319</v>
      </c>
      <c r="BA42" s="2">
        <v>4</v>
      </c>
      <c r="BB42" s="57">
        <f t="shared" si="33"/>
        <v>363206</v>
      </c>
      <c r="BC42" s="62">
        <f t="shared" si="34"/>
        <v>1216010.2924128419</v>
      </c>
      <c r="BD42" s="2">
        <v>3</v>
      </c>
      <c r="BE42" s="57">
        <f t="shared" si="35"/>
        <v>380542</v>
      </c>
      <c r="BF42" s="62">
        <f t="shared" si="36"/>
        <v>1326046.0683912854</v>
      </c>
      <c r="BG42" s="2">
        <v>2</v>
      </c>
      <c r="BH42" s="57">
        <f t="shared" si="37"/>
        <v>398706</v>
      </c>
      <c r="BI42" s="62">
        <f t="shared" si="38"/>
        <v>1446040.8655430377</v>
      </c>
      <c r="BJ42" s="2">
        <v>1</v>
      </c>
      <c r="BK42" s="57">
        <f t="shared" si="39"/>
        <v>417737</v>
      </c>
      <c r="BL42" s="62">
        <f t="shared" si="40"/>
        <v>1576894.0625419363</v>
      </c>
      <c r="BM42" s="2">
        <v>0</v>
      </c>
      <c r="BN42" s="57">
        <f t="shared" ref="BN42:BN73" si="41">$E$41</f>
        <v>437677</v>
      </c>
      <c r="BO42" s="62">
        <f t="shared" ref="BO42:BO73" si="42">SUM($G$10*$G$11*BN42*(EXP(-($G$10*BM42))),$G$10*$G$11*BN42*(EXP(-($G$10*(BM42+0.1)))),$G$10*$G$11*BN42*(EXP(-($G$10*(BM42+0.2)))),$G$10*$G$11*BN42*(EXP(-($G$10*(BM42+0.3)))),$G$10*$G$11*BN42*(EXP(-($G$10*(BM42+0.4)))),$G$10*$G$11*BN42*(EXP(-($G$10*(BM42+0.5)))),$G$10*$G$11*BN42*(EXP(-($G$10*(BM42+0.6)))),$G$10*$G$11*BN42*(EXP(-($G$10*(BM42+0.7)))),$G$10*$G$11*BN42*(EXP(-($G$10*(BM42+0.8)))),$G$10*$G$11*BN42*(EXP(-($G$10*(BM42+0.9)))))/10</f>
        <v>1719590.6643483643</v>
      </c>
      <c r="BP42" s="2"/>
      <c r="BQ42" s="2"/>
      <c r="BR42" s="2"/>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361"/>
      <c r="EB42" s="361"/>
      <c r="EC42" s="361"/>
      <c r="ED42" s="361"/>
      <c r="EE42" s="361"/>
      <c r="EF42" s="361"/>
      <c r="EG42" s="361"/>
      <c r="EH42" s="361"/>
      <c r="EI42" s="361"/>
      <c r="EJ42" s="361"/>
      <c r="EK42" s="361"/>
      <c r="EL42" s="361"/>
      <c r="EM42" s="361"/>
      <c r="EN42" s="361"/>
      <c r="EO42" s="361"/>
      <c r="EP42" s="361"/>
      <c r="EQ42" s="361"/>
      <c r="ER42" s="361"/>
      <c r="ES42" s="361"/>
      <c r="ET42" s="361"/>
      <c r="EU42" s="361"/>
      <c r="EV42" s="361"/>
      <c r="EW42" s="361"/>
      <c r="EX42" s="361"/>
      <c r="EY42" s="361"/>
      <c r="EZ42" s="361"/>
      <c r="FA42" s="361"/>
      <c r="FB42" s="361"/>
      <c r="FC42" s="361"/>
      <c r="FD42" s="361"/>
      <c r="FE42" s="361"/>
      <c r="FF42" s="361"/>
      <c r="FG42" s="361"/>
      <c r="FH42" s="361"/>
      <c r="FI42" s="361"/>
      <c r="FJ42" s="361"/>
      <c r="FK42" s="361"/>
      <c r="FL42" s="361"/>
      <c r="FM42" s="361"/>
      <c r="FN42" s="361"/>
      <c r="FO42" s="361"/>
      <c r="FP42" s="361"/>
      <c r="FQ42" s="361"/>
      <c r="FR42" s="361"/>
      <c r="FS42" s="361"/>
      <c r="FT42" s="361"/>
      <c r="FU42" s="361"/>
      <c r="FV42" s="361"/>
      <c r="FW42" s="361"/>
      <c r="FX42" s="361"/>
      <c r="FY42" s="361"/>
      <c r="FZ42" s="361"/>
      <c r="GA42" s="361"/>
      <c r="GB42" s="361"/>
      <c r="GC42" s="361"/>
      <c r="GD42" s="361"/>
      <c r="GE42" s="361"/>
      <c r="GF42" s="361"/>
      <c r="GG42" s="361"/>
      <c r="GH42" s="361"/>
      <c r="GI42" s="361"/>
      <c r="GJ42" s="361"/>
      <c r="GK42" s="361"/>
      <c r="GL42" s="361"/>
      <c r="GM42" s="361"/>
      <c r="GN42" s="361"/>
      <c r="GO42" s="361"/>
      <c r="GP42" s="361"/>
      <c r="GQ42" s="361"/>
      <c r="GR42" s="361"/>
      <c r="GS42" s="361"/>
      <c r="GT42" s="361"/>
      <c r="GU42" s="361"/>
      <c r="GV42" s="361"/>
      <c r="GW42" s="361"/>
      <c r="GX42" s="361"/>
      <c r="GY42" s="361"/>
      <c r="GZ42" s="361"/>
      <c r="HA42" s="361"/>
      <c r="HB42" s="361"/>
      <c r="HC42" s="361"/>
      <c r="HD42" s="361"/>
      <c r="HE42" s="361"/>
      <c r="HF42" s="361"/>
      <c r="HG42" s="361"/>
      <c r="HH42" s="361"/>
      <c r="HI42" s="361"/>
      <c r="HJ42" s="361"/>
      <c r="HK42" s="361"/>
      <c r="HL42" s="361"/>
      <c r="HM42" s="361"/>
      <c r="HN42" s="361"/>
      <c r="HO42" s="361"/>
      <c r="HP42" s="361"/>
      <c r="HQ42" s="361"/>
      <c r="HR42" s="361"/>
      <c r="HS42" s="361"/>
      <c r="HT42" s="361"/>
      <c r="HU42" s="361"/>
      <c r="HV42" s="361"/>
      <c r="HW42" s="361"/>
      <c r="HX42" s="361"/>
      <c r="HY42" s="361"/>
      <c r="HZ42" s="361"/>
      <c r="IA42" s="361"/>
      <c r="IB42" s="361"/>
      <c r="IC42" s="361"/>
      <c r="ID42" s="361"/>
      <c r="IE42" s="361"/>
      <c r="IF42" s="361"/>
      <c r="IG42" s="361"/>
      <c r="IH42" s="361"/>
      <c r="II42" s="361"/>
      <c r="IJ42" s="361"/>
      <c r="IK42" s="361"/>
      <c r="IL42" s="361"/>
      <c r="IM42" s="361"/>
      <c r="IN42" s="361"/>
      <c r="IO42" s="361"/>
      <c r="IP42" s="361"/>
    </row>
    <row r="43" spans="2:250">
      <c r="B43" s="56">
        <f>'USER INPUTS'!J28</f>
        <v>2038</v>
      </c>
      <c r="C43" s="420">
        <f>IF(OR(AND(ClosureCalcYes=TRUE,WasteCapacity=""),AND(ClosureCalcYes=FALSE,ClosureYear="")),0,IF('USER INPUTS'!K28&gt;0,IF('USER INPUTS'!$K$4="Mg/year",'USER INPUTS'!K28,'USER INPUTS'!L28),0))</f>
        <v>480456</v>
      </c>
      <c r="D43" s="420">
        <f t="shared" si="6"/>
        <v>6201579</v>
      </c>
      <c r="E43" s="420">
        <f>IF(ClosureCalcYes=FALSE,IF(AND(B43&lt;ClosureYear,C43=0,SUM(C43:$C$102)=0),$D$13,IF(B43&lt;=ClosureYear,C43,0)),IF(B43=$D$16,($D$14-F43),IF(B43&lt;$D$16,IF(SUM(C43:$C$102)=0,$D$13,C43),0)))</f>
        <v>480456</v>
      </c>
      <c r="F43" s="66">
        <f t="shared" si="7"/>
        <v>6201579</v>
      </c>
      <c r="G43" s="284">
        <f>IF(SUM(C44:$C$101)=0,C43,0)</f>
        <v>0</v>
      </c>
      <c r="H43" s="284">
        <f t="shared" si="0"/>
        <v>0</v>
      </c>
      <c r="I43" s="2">
        <f t="shared" si="8"/>
        <v>2038</v>
      </c>
      <c r="J43" s="379">
        <f t="shared" si="1"/>
        <v>18052333.292767469</v>
      </c>
      <c r="K43" s="2">
        <v>19</v>
      </c>
      <c r="L43" s="57">
        <f t="shared" si="2"/>
        <v>189082</v>
      </c>
      <c r="M43" s="62">
        <f t="shared" si="3"/>
        <v>347422.33500368276</v>
      </c>
      <c r="N43" s="2">
        <v>18</v>
      </c>
      <c r="O43" s="57">
        <f t="shared" si="4"/>
        <v>293489</v>
      </c>
      <c r="P43" s="62">
        <f t="shared" si="5"/>
        <v>561269.12830694648</v>
      </c>
      <c r="Q43" s="2">
        <v>17</v>
      </c>
      <c r="R43" s="57">
        <f t="shared" si="9"/>
        <v>283523</v>
      </c>
      <c r="S43" s="62">
        <f t="shared" si="10"/>
        <v>564338.13887274242</v>
      </c>
      <c r="T43" s="2">
        <v>16</v>
      </c>
      <c r="U43" s="57">
        <f t="shared" si="11"/>
        <v>143321</v>
      </c>
      <c r="V43" s="62">
        <f t="shared" si="12"/>
        <v>296915.39414956555</v>
      </c>
      <c r="W43" s="2">
        <v>15</v>
      </c>
      <c r="X43" s="57">
        <f t="shared" si="13"/>
        <v>227851</v>
      </c>
      <c r="Y43" s="62">
        <f t="shared" si="14"/>
        <v>491298.68705609842</v>
      </c>
      <c r="Z43" s="2">
        <v>14</v>
      </c>
      <c r="AA43" s="57">
        <f t="shared" si="15"/>
        <v>238727</v>
      </c>
      <c r="AB43" s="62">
        <f t="shared" si="16"/>
        <v>535757.16062476975</v>
      </c>
      <c r="AC43" s="2">
        <v>13</v>
      </c>
      <c r="AD43" s="57">
        <f t="shared" si="17"/>
        <v>250122</v>
      </c>
      <c r="AE43" s="62">
        <f t="shared" si="18"/>
        <v>584238.42357551225</v>
      </c>
      <c r="AF43" s="2">
        <v>12</v>
      </c>
      <c r="AG43" s="57">
        <f t="shared" si="19"/>
        <v>262060</v>
      </c>
      <c r="AH43" s="62">
        <f t="shared" si="20"/>
        <v>637104.59751183202</v>
      </c>
      <c r="AI43" s="2">
        <v>11</v>
      </c>
      <c r="AJ43" s="57">
        <f t="shared" si="21"/>
        <v>274569</v>
      </c>
      <c r="AK43" s="62">
        <f t="shared" si="22"/>
        <v>694757.56384773937</v>
      </c>
      <c r="AL43" s="2">
        <v>10</v>
      </c>
      <c r="AM43" s="57">
        <f t="shared" si="23"/>
        <v>287675</v>
      </c>
      <c r="AN43" s="62">
        <f t="shared" si="24"/>
        <v>757627.41733459872</v>
      </c>
      <c r="AO43" s="2">
        <v>9</v>
      </c>
      <c r="AP43" s="57">
        <f t="shared" si="25"/>
        <v>301406</v>
      </c>
      <c r="AQ43" s="62">
        <f t="shared" si="26"/>
        <v>826184.86280209699</v>
      </c>
      <c r="AR43" s="2">
        <v>8</v>
      </c>
      <c r="AS43" s="57">
        <f t="shared" si="27"/>
        <v>315793</v>
      </c>
      <c r="AT43" s="62">
        <f t="shared" si="28"/>
        <v>900947.77799548639</v>
      </c>
      <c r="AU43" s="2">
        <v>7</v>
      </c>
      <c r="AV43" s="57">
        <f t="shared" si="29"/>
        <v>330866</v>
      </c>
      <c r="AW43" s="62">
        <f t="shared" si="30"/>
        <v>982473.94057510211</v>
      </c>
      <c r="AX43" s="2">
        <v>6</v>
      </c>
      <c r="AY43" s="57">
        <f t="shared" si="31"/>
        <v>346659</v>
      </c>
      <c r="AZ43" s="62">
        <f t="shared" si="32"/>
        <v>1071379.0700008753</v>
      </c>
      <c r="BA43" s="2">
        <v>5</v>
      </c>
      <c r="BB43" s="57">
        <f t="shared" si="33"/>
        <v>363206</v>
      </c>
      <c r="BC43" s="62">
        <f t="shared" si="34"/>
        <v>1168329.8468507868</v>
      </c>
      <c r="BD43" s="2">
        <v>4</v>
      </c>
      <c r="BE43" s="57">
        <f t="shared" si="35"/>
        <v>380542</v>
      </c>
      <c r="BF43" s="62">
        <f t="shared" si="36"/>
        <v>1274051.0583398063</v>
      </c>
      <c r="BG43" s="2">
        <v>3</v>
      </c>
      <c r="BH43" s="57">
        <f t="shared" si="37"/>
        <v>398706</v>
      </c>
      <c r="BI43" s="62">
        <f t="shared" si="38"/>
        <v>1389340.7921964354</v>
      </c>
      <c r="BJ43" s="2">
        <v>2</v>
      </c>
      <c r="BK43" s="57">
        <f t="shared" si="39"/>
        <v>417737</v>
      </c>
      <c r="BL43" s="62">
        <f t="shared" si="40"/>
        <v>1515063.1619522956</v>
      </c>
      <c r="BM43" s="2">
        <v>1</v>
      </c>
      <c r="BN43" s="57">
        <f t="shared" si="41"/>
        <v>437677</v>
      </c>
      <c r="BO43" s="62">
        <f t="shared" si="42"/>
        <v>1652164.5499708359</v>
      </c>
      <c r="BP43" s="2">
        <v>0</v>
      </c>
      <c r="BQ43" s="57">
        <f t="shared" ref="BQ43:BQ74" si="43">$E$42</f>
        <v>458568</v>
      </c>
      <c r="BR43" s="62">
        <f t="shared" ref="BR43:BR74" si="44">SUM($G$10*$G$11*BQ43*(EXP(-($G$10*BP43))),$G$10*$G$11*BQ43*(EXP(-($G$10*(BP43+0.1)))),$G$10*$G$11*BQ43*(EXP(-($G$10*(BP43+0.2)))),$G$10*$G$11*BQ43*(EXP(-($G$10*(BP43+0.3)))),$G$10*$G$11*BQ43*(EXP(-($G$10*(BP43+0.4)))),$G$10*$G$11*BQ43*(EXP(-($G$10*(BP43+0.5)))),$G$10*$G$11*BQ43*(EXP(-($G$10*(BP43+0.6)))),$G$10*$G$11*BQ43*(EXP(-($G$10*(BP43+0.7)))),$G$10*$G$11*BQ43*(EXP(-($G$10*(BP43+0.8)))),$G$10*$G$11*BQ43*(EXP(-($G$10*(BP43+0.9)))))/10</f>
        <v>1801669.3858002606</v>
      </c>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361"/>
      <c r="EB43" s="361"/>
      <c r="EC43" s="361"/>
      <c r="ED43" s="361"/>
      <c r="EE43" s="361"/>
      <c r="EF43" s="361"/>
      <c r="EG43" s="361"/>
      <c r="EH43" s="361"/>
      <c r="EI43" s="361"/>
      <c r="EJ43" s="361"/>
      <c r="EK43" s="361"/>
      <c r="EL43" s="361"/>
      <c r="EM43" s="361"/>
      <c r="EN43" s="361"/>
      <c r="EO43" s="361"/>
      <c r="EP43" s="361"/>
      <c r="EQ43" s="361"/>
      <c r="ER43" s="361"/>
      <c r="ES43" s="361"/>
      <c r="ET43" s="361"/>
      <c r="EU43" s="361"/>
      <c r="EV43" s="361"/>
      <c r="EW43" s="361"/>
      <c r="EX43" s="361"/>
      <c r="EY43" s="361"/>
      <c r="EZ43" s="361"/>
      <c r="FA43" s="361"/>
      <c r="FB43" s="361"/>
      <c r="FC43" s="361"/>
      <c r="FD43" s="361"/>
      <c r="FE43" s="361"/>
      <c r="FF43" s="361"/>
      <c r="FG43" s="361"/>
      <c r="FH43" s="361"/>
      <c r="FI43" s="361"/>
      <c r="FJ43" s="361"/>
      <c r="FK43" s="361"/>
      <c r="FL43" s="361"/>
      <c r="FM43" s="361"/>
      <c r="FN43" s="361"/>
      <c r="FO43" s="361"/>
      <c r="FP43" s="361"/>
      <c r="FQ43" s="361"/>
      <c r="FR43" s="361"/>
      <c r="FS43" s="361"/>
      <c r="FT43" s="361"/>
      <c r="FU43" s="361"/>
      <c r="FV43" s="361"/>
      <c r="FW43" s="361"/>
      <c r="FX43" s="361"/>
      <c r="FY43" s="361"/>
      <c r="FZ43" s="361"/>
      <c r="GA43" s="361"/>
      <c r="GB43" s="361"/>
      <c r="GC43" s="361"/>
      <c r="GD43" s="361"/>
      <c r="GE43" s="361"/>
      <c r="GF43" s="361"/>
      <c r="GG43" s="361"/>
      <c r="GH43" s="361"/>
      <c r="GI43" s="361"/>
      <c r="GJ43" s="361"/>
      <c r="GK43" s="361"/>
      <c r="GL43" s="361"/>
      <c r="GM43" s="361"/>
      <c r="GN43" s="361"/>
      <c r="GO43" s="361"/>
      <c r="GP43" s="361"/>
      <c r="GQ43" s="361"/>
      <c r="GR43" s="361"/>
      <c r="GS43" s="361"/>
      <c r="GT43" s="361"/>
      <c r="GU43" s="361"/>
      <c r="GV43" s="361"/>
      <c r="GW43" s="361"/>
      <c r="GX43" s="361"/>
      <c r="GY43" s="361"/>
      <c r="GZ43" s="361"/>
      <c r="HA43" s="361"/>
      <c r="HB43" s="361"/>
      <c r="HC43" s="361"/>
      <c r="HD43" s="361"/>
      <c r="HE43" s="361"/>
      <c r="HF43" s="361"/>
      <c r="HG43" s="361"/>
      <c r="HH43" s="361"/>
      <c r="HI43" s="361"/>
      <c r="HJ43" s="361"/>
      <c r="HK43" s="361"/>
      <c r="HL43" s="361"/>
      <c r="HM43" s="361"/>
      <c r="HN43" s="361"/>
      <c r="HO43" s="361"/>
      <c r="HP43" s="361"/>
      <c r="HQ43" s="361"/>
      <c r="HR43" s="361"/>
      <c r="HS43" s="361"/>
      <c r="HT43" s="361"/>
      <c r="HU43" s="361"/>
      <c r="HV43" s="361"/>
      <c r="HW43" s="361"/>
      <c r="HX43" s="361"/>
      <c r="HY43" s="361"/>
      <c r="HZ43" s="361"/>
      <c r="IA43" s="361"/>
      <c r="IB43" s="361"/>
      <c r="IC43" s="361"/>
      <c r="ID43" s="361"/>
      <c r="IE43" s="361"/>
      <c r="IF43" s="361"/>
      <c r="IG43" s="361"/>
      <c r="IH43" s="361"/>
      <c r="II43" s="361"/>
      <c r="IJ43" s="361"/>
      <c r="IK43" s="361"/>
      <c r="IL43" s="361"/>
      <c r="IM43" s="361"/>
      <c r="IN43" s="361"/>
      <c r="IO43" s="361"/>
      <c r="IP43" s="361"/>
    </row>
    <row r="44" spans="2:250">
      <c r="B44" s="56">
        <f>'USER INPUTS'!J29</f>
        <v>2039</v>
      </c>
      <c r="C44" s="420">
        <f>IF(OR(AND(ClosureCalcYes=TRUE,WasteCapacity=""),AND(ClosureCalcYes=FALSE,ClosureYear="")),0,IF('USER INPUTS'!K29&gt;0,IF('USER INPUTS'!$K$4="Mg/year",'USER INPUTS'!K29,'USER INPUTS'!L29),0))</f>
        <v>503389</v>
      </c>
      <c r="D44" s="420">
        <f t="shared" si="6"/>
        <v>6682035</v>
      </c>
      <c r="E44" s="420">
        <f>IF(ClosureCalcYes=FALSE,IF(AND(B44&lt;ClosureYear,C44=0,SUM(C44:$C$102)=0),$D$13,IF(B44&lt;=ClosureYear,C44,0)),IF(B44=$D$16,($D$14-F44),IF(B44&lt;$D$16,IF(SUM(C44:$C$102)=0,$D$13,C44),0)))</f>
        <v>503389</v>
      </c>
      <c r="F44" s="66">
        <f t="shared" si="7"/>
        <v>6682035</v>
      </c>
      <c r="G44" s="284">
        <f>IF(SUM(C45:$C$101)=0,C44,0)</f>
        <v>0</v>
      </c>
      <c r="H44" s="284">
        <f t="shared" si="0"/>
        <v>0</v>
      </c>
      <c r="I44" s="2">
        <f t="shared" si="8"/>
        <v>2039</v>
      </c>
      <c r="J44" s="379">
        <f t="shared" si="1"/>
        <v>19232156.40371576</v>
      </c>
      <c r="K44" s="2">
        <v>20</v>
      </c>
      <c r="L44" s="57">
        <f t="shared" si="2"/>
        <v>189082</v>
      </c>
      <c r="M44" s="62">
        <f t="shared" si="3"/>
        <v>333799.71039717889</v>
      </c>
      <c r="N44" s="2">
        <v>19</v>
      </c>
      <c r="O44" s="57">
        <f t="shared" si="4"/>
        <v>293489</v>
      </c>
      <c r="P44" s="62">
        <f t="shared" si="5"/>
        <v>539261.45099954423</v>
      </c>
      <c r="Q44" s="2">
        <v>18</v>
      </c>
      <c r="R44" s="57">
        <f t="shared" si="9"/>
        <v>283523</v>
      </c>
      <c r="S44" s="62">
        <f t="shared" si="10"/>
        <v>542210.12393980811</v>
      </c>
      <c r="T44" s="2">
        <v>17</v>
      </c>
      <c r="U44" s="57">
        <f t="shared" si="11"/>
        <v>143321</v>
      </c>
      <c r="V44" s="62">
        <f t="shared" si="12"/>
        <v>285273.17502065201</v>
      </c>
      <c r="W44" s="2">
        <v>16</v>
      </c>
      <c r="X44" s="57">
        <f t="shared" si="13"/>
        <v>227851</v>
      </c>
      <c r="Y44" s="62">
        <f t="shared" si="14"/>
        <v>472034.5899929016</v>
      </c>
      <c r="Z44" s="2">
        <v>15</v>
      </c>
      <c r="AA44" s="57">
        <f t="shared" si="15"/>
        <v>238727</v>
      </c>
      <c r="AB44" s="62">
        <f t="shared" si="16"/>
        <v>514749.82187851361</v>
      </c>
      <c r="AC44" s="2">
        <v>14</v>
      </c>
      <c r="AD44" s="57">
        <f t="shared" si="17"/>
        <v>250122</v>
      </c>
      <c r="AE44" s="62">
        <f t="shared" si="18"/>
        <v>561330.10731835384</v>
      </c>
      <c r="AF44" s="2">
        <v>13</v>
      </c>
      <c r="AG44" s="57">
        <f t="shared" si="19"/>
        <v>262060</v>
      </c>
      <c r="AH44" s="62">
        <f t="shared" si="20"/>
        <v>612123.36892475968</v>
      </c>
      <c r="AI44" s="2">
        <v>12</v>
      </c>
      <c r="AJ44" s="57">
        <f t="shared" si="21"/>
        <v>274569</v>
      </c>
      <c r="AK44" s="62">
        <f t="shared" si="22"/>
        <v>667515.73011610401</v>
      </c>
      <c r="AL44" s="2">
        <v>11</v>
      </c>
      <c r="AM44" s="57">
        <f t="shared" si="23"/>
        <v>287675</v>
      </c>
      <c r="AN44" s="62">
        <f t="shared" si="24"/>
        <v>727920.42138733226</v>
      </c>
      <c r="AO44" s="2">
        <v>10</v>
      </c>
      <c r="AP44" s="57">
        <f t="shared" si="25"/>
        <v>301406</v>
      </c>
      <c r="AQ44" s="62">
        <f t="shared" si="26"/>
        <v>793789.69096776599</v>
      </c>
      <c r="AR44" s="2">
        <v>9</v>
      </c>
      <c r="AS44" s="57">
        <f t="shared" si="27"/>
        <v>315793</v>
      </c>
      <c r="AT44" s="62">
        <f t="shared" si="28"/>
        <v>865621.11032581516</v>
      </c>
      <c r="AU44" s="2">
        <v>8</v>
      </c>
      <c r="AV44" s="57">
        <f t="shared" si="29"/>
        <v>330866</v>
      </c>
      <c r="AW44" s="62">
        <f t="shared" si="30"/>
        <v>943950.58634692524</v>
      </c>
      <c r="AX44" s="2">
        <v>7</v>
      </c>
      <c r="AY44" s="57">
        <f t="shared" si="31"/>
        <v>346659</v>
      </c>
      <c r="AZ44" s="62">
        <f t="shared" si="32"/>
        <v>1029369.6957856786</v>
      </c>
      <c r="BA44" s="2">
        <v>6</v>
      </c>
      <c r="BB44" s="57">
        <f t="shared" si="33"/>
        <v>363206</v>
      </c>
      <c r="BC44" s="62">
        <f t="shared" si="34"/>
        <v>1122518.9783006872</v>
      </c>
      <c r="BD44" s="2">
        <v>5</v>
      </c>
      <c r="BE44" s="57">
        <f t="shared" si="35"/>
        <v>380542</v>
      </c>
      <c r="BF44" s="62">
        <f t="shared" si="36"/>
        <v>1224094.8017937262</v>
      </c>
      <c r="BG44" s="2">
        <v>4</v>
      </c>
      <c r="BH44" s="57">
        <f t="shared" si="37"/>
        <v>398706</v>
      </c>
      <c r="BI44" s="62">
        <f t="shared" si="38"/>
        <v>1334863.9605258573</v>
      </c>
      <c r="BJ44" s="2">
        <v>3</v>
      </c>
      <c r="BK44" s="57">
        <f t="shared" si="39"/>
        <v>417737</v>
      </c>
      <c r="BL44" s="62">
        <f t="shared" si="40"/>
        <v>1455656.6856524912</v>
      </c>
      <c r="BM44" s="2">
        <v>2</v>
      </c>
      <c r="BN44" s="57">
        <f t="shared" si="41"/>
        <v>437677</v>
      </c>
      <c r="BO44" s="62">
        <f t="shared" si="42"/>
        <v>1587382.2513538296</v>
      </c>
      <c r="BP44" s="2">
        <v>1</v>
      </c>
      <c r="BQ44" s="57">
        <f t="shared" si="43"/>
        <v>458568</v>
      </c>
      <c r="BR44" s="62">
        <f t="shared" si="44"/>
        <v>1731024.9187209432</v>
      </c>
      <c r="BS44" s="2">
        <v>0</v>
      </c>
      <c r="BT44" s="57">
        <f t="shared" ref="BT44:BT75" si="45">$E$43</f>
        <v>480456</v>
      </c>
      <c r="BU44" s="62">
        <f t="shared" ref="BU44:BU75" si="46">SUM($G$10*$G$11*BT44*(EXP(-($G$10*BS44))),$G$10*$G$11*BT44*(EXP(-($G$10*(BS44+0.1)))),$G$10*$G$11*BT44*(EXP(-($G$10*(BS44+0.2)))),$G$10*$G$11*BT44*(EXP(-($G$10*(BS44+0.3)))),$G$10*$G$11*BT44*(EXP(-($G$10*(BS44+0.4)))),$G$10*$G$11*BT44*(EXP(-($G$10*(BS44+0.5)))),$G$10*$G$11*BT44*(EXP(-($G$10*(BS44+0.6)))),$G$10*$G$11*BT44*(EXP(-($G$10*(BS44+0.7)))),$G$10*$G$11*BT44*(EXP(-($G$10*(BS44+0.8)))),$G$10*$G$11*BT44*(EXP(-($G$10*(BS44+0.9)))))/10</f>
        <v>1887665.2239668928</v>
      </c>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361"/>
      <c r="EB44" s="361"/>
      <c r="EC44" s="361"/>
      <c r="ED44" s="361"/>
      <c r="EE44" s="361"/>
      <c r="EF44" s="361"/>
      <c r="EG44" s="361"/>
      <c r="EH44" s="361"/>
      <c r="EI44" s="361"/>
      <c r="EJ44" s="361"/>
      <c r="EK44" s="361"/>
      <c r="EL44" s="361"/>
      <c r="EM44" s="361"/>
      <c r="EN44" s="361"/>
      <c r="EO44" s="361"/>
      <c r="EP44" s="361"/>
      <c r="EQ44" s="361"/>
      <c r="ER44" s="361"/>
      <c r="ES44" s="361"/>
      <c r="ET44" s="361"/>
      <c r="EU44" s="361"/>
      <c r="EV44" s="361"/>
      <c r="EW44" s="361"/>
      <c r="EX44" s="361"/>
      <c r="EY44" s="361"/>
      <c r="EZ44" s="361"/>
      <c r="FA44" s="361"/>
      <c r="FB44" s="361"/>
      <c r="FC44" s="361"/>
      <c r="FD44" s="361"/>
      <c r="FE44" s="361"/>
      <c r="FF44" s="361"/>
      <c r="FG44" s="361"/>
      <c r="FH44" s="361"/>
      <c r="FI44" s="361"/>
      <c r="FJ44" s="361"/>
      <c r="FK44" s="361"/>
      <c r="FL44" s="361"/>
      <c r="FM44" s="361"/>
      <c r="FN44" s="361"/>
      <c r="FO44" s="361"/>
      <c r="FP44" s="361"/>
      <c r="FQ44" s="361"/>
      <c r="FR44" s="361"/>
      <c r="FS44" s="361"/>
      <c r="FT44" s="361"/>
      <c r="FU44" s="361"/>
      <c r="FV44" s="361"/>
      <c r="FW44" s="361"/>
      <c r="FX44" s="361"/>
      <c r="FY44" s="361"/>
      <c r="FZ44" s="361"/>
      <c r="GA44" s="361"/>
      <c r="GB44" s="361"/>
      <c r="GC44" s="361"/>
      <c r="GD44" s="361"/>
      <c r="GE44" s="361"/>
      <c r="GF44" s="361"/>
      <c r="GG44" s="361"/>
      <c r="GH44" s="361"/>
      <c r="GI44" s="361"/>
      <c r="GJ44" s="361"/>
      <c r="GK44" s="361"/>
      <c r="GL44" s="361"/>
      <c r="GM44" s="361"/>
      <c r="GN44" s="361"/>
      <c r="GO44" s="361"/>
      <c r="GP44" s="361"/>
      <c r="GQ44" s="361"/>
      <c r="GR44" s="361"/>
      <c r="GS44" s="361"/>
      <c r="GT44" s="361"/>
      <c r="GU44" s="361"/>
      <c r="GV44" s="361"/>
      <c r="GW44" s="361"/>
      <c r="GX44" s="361"/>
      <c r="GY44" s="361"/>
      <c r="GZ44" s="361"/>
      <c r="HA44" s="361"/>
      <c r="HB44" s="361"/>
      <c r="HC44" s="361"/>
      <c r="HD44" s="361"/>
      <c r="HE44" s="361"/>
      <c r="HF44" s="361"/>
      <c r="HG44" s="361"/>
      <c r="HH44" s="361"/>
      <c r="HI44" s="361"/>
      <c r="HJ44" s="361"/>
      <c r="HK44" s="361"/>
      <c r="HL44" s="361"/>
      <c r="HM44" s="361"/>
      <c r="HN44" s="361"/>
      <c r="HO44" s="361"/>
      <c r="HP44" s="361"/>
      <c r="HQ44" s="361"/>
      <c r="HR44" s="361"/>
      <c r="HS44" s="361"/>
      <c r="HT44" s="361"/>
      <c r="HU44" s="361"/>
      <c r="HV44" s="361"/>
      <c r="HW44" s="361"/>
      <c r="HX44" s="361"/>
      <c r="HY44" s="361"/>
      <c r="HZ44" s="361"/>
      <c r="IA44" s="361"/>
      <c r="IB44" s="361"/>
      <c r="IC44" s="361"/>
      <c r="ID44" s="361"/>
      <c r="IE44" s="361"/>
      <c r="IF44" s="361"/>
      <c r="IG44" s="361"/>
      <c r="IH44" s="361"/>
      <c r="II44" s="361"/>
      <c r="IJ44" s="361"/>
      <c r="IK44" s="361"/>
      <c r="IL44" s="361"/>
      <c r="IM44" s="361"/>
      <c r="IN44" s="361"/>
      <c r="IO44" s="361"/>
      <c r="IP44" s="361"/>
    </row>
    <row r="45" spans="2:250">
      <c r="B45" s="56">
        <f>'USER INPUTS'!J30</f>
        <v>2040</v>
      </c>
      <c r="C45" s="420">
        <f>IF(OR(AND(ClosureCalcYes=TRUE,WasteCapacity=""),AND(ClosureCalcYes=FALSE,ClosureYear="")),0,IF('USER INPUTS'!K30&gt;0,IF('USER INPUTS'!$K$4="Mg/year",'USER INPUTS'!K30,'USER INPUTS'!L30),0))</f>
        <v>527417</v>
      </c>
      <c r="D45" s="420">
        <f t="shared" si="6"/>
        <v>7185424</v>
      </c>
      <c r="E45" s="420">
        <f>IF(ClosureCalcYes=FALSE,IF(AND(B45&lt;ClosureYear,C45=0,SUM(C45:$C$102)=0),$D$13,IF(B45&lt;=ClosureYear,C45,0)),IF(B45=$D$16,($D$14-F45),IF(B45&lt;$D$16,IF(SUM(C45:$C$102)=0,$D$13,C45),0)))</f>
        <v>527417</v>
      </c>
      <c r="F45" s="66">
        <f t="shared" si="7"/>
        <v>7185424</v>
      </c>
      <c r="G45" s="284">
        <f>IF(SUM(C46:$C$101)=0,C45,0)</f>
        <v>0</v>
      </c>
      <c r="H45" s="284">
        <f t="shared" si="0"/>
        <v>0</v>
      </c>
      <c r="I45" s="2">
        <f t="shared" si="8"/>
        <v>2040</v>
      </c>
      <c r="J45" s="379">
        <f t="shared" si="1"/>
        <v>20455819.531028491</v>
      </c>
      <c r="K45" s="2">
        <v>21</v>
      </c>
      <c r="L45" s="57">
        <f t="shared" si="2"/>
        <v>189082</v>
      </c>
      <c r="M45" s="62">
        <f t="shared" si="3"/>
        <v>320711.23654171347</v>
      </c>
      <c r="N45" s="2">
        <v>20</v>
      </c>
      <c r="O45" s="57">
        <f t="shared" si="4"/>
        <v>293489</v>
      </c>
      <c r="P45" s="62">
        <f t="shared" si="5"/>
        <v>518116.7070623202</v>
      </c>
      <c r="Q45" s="2">
        <v>19</v>
      </c>
      <c r="R45" s="57">
        <f t="shared" si="9"/>
        <v>283523</v>
      </c>
      <c r="S45" s="62">
        <f t="shared" si="10"/>
        <v>520949.76088283985</v>
      </c>
      <c r="T45" s="2">
        <v>18</v>
      </c>
      <c r="U45" s="57">
        <f t="shared" si="11"/>
        <v>143321</v>
      </c>
      <c r="V45" s="62">
        <f t="shared" si="12"/>
        <v>274087.45383329474</v>
      </c>
      <c r="W45" s="2">
        <v>17</v>
      </c>
      <c r="X45" s="57">
        <f t="shared" si="13"/>
        <v>227851</v>
      </c>
      <c r="Y45" s="62">
        <f t="shared" si="14"/>
        <v>453525.84897977684</v>
      </c>
      <c r="Z45" s="2">
        <v>16</v>
      </c>
      <c r="AA45" s="57">
        <f t="shared" si="15"/>
        <v>238727</v>
      </c>
      <c r="AB45" s="62">
        <f t="shared" si="16"/>
        <v>494566.19266641547</v>
      </c>
      <c r="AC45" s="2">
        <v>15</v>
      </c>
      <c r="AD45" s="57">
        <f t="shared" si="17"/>
        <v>250122</v>
      </c>
      <c r="AE45" s="62">
        <f t="shared" si="18"/>
        <v>539320.03898971458</v>
      </c>
      <c r="AF45" s="2">
        <v>14</v>
      </c>
      <c r="AG45" s="57">
        <f t="shared" si="19"/>
        <v>262060</v>
      </c>
      <c r="AH45" s="62">
        <f t="shared" si="20"/>
        <v>588121.66832125047</v>
      </c>
      <c r="AI45" s="2">
        <v>13</v>
      </c>
      <c r="AJ45" s="57">
        <f t="shared" si="21"/>
        <v>274569</v>
      </c>
      <c r="AK45" s="62">
        <f t="shared" si="22"/>
        <v>641342.06396360497</v>
      </c>
      <c r="AL45" s="2">
        <v>12</v>
      </c>
      <c r="AM45" s="57">
        <f t="shared" si="23"/>
        <v>287675</v>
      </c>
      <c r="AN45" s="62">
        <f t="shared" si="24"/>
        <v>699378.25341225776</v>
      </c>
      <c r="AO45" s="2">
        <v>11</v>
      </c>
      <c r="AP45" s="57">
        <f t="shared" si="25"/>
        <v>301406</v>
      </c>
      <c r="AQ45" s="62">
        <f t="shared" si="26"/>
        <v>762664.75198981597</v>
      </c>
      <c r="AR45" s="2">
        <v>10</v>
      </c>
      <c r="AS45" s="57">
        <f t="shared" si="27"/>
        <v>315793</v>
      </c>
      <c r="AT45" s="62">
        <f t="shared" si="28"/>
        <v>831679.62110835128</v>
      </c>
      <c r="AU45" s="2">
        <v>9</v>
      </c>
      <c r="AV45" s="57">
        <f t="shared" si="29"/>
        <v>330866</v>
      </c>
      <c r="AW45" s="62">
        <f t="shared" si="30"/>
        <v>906937.75444376911</v>
      </c>
      <c r="AX45" s="2">
        <v>8</v>
      </c>
      <c r="AY45" s="57">
        <f t="shared" si="31"/>
        <v>346659</v>
      </c>
      <c r="AZ45" s="62">
        <f t="shared" si="32"/>
        <v>989007.53269431985</v>
      </c>
      <c r="BA45" s="2">
        <v>7</v>
      </c>
      <c r="BB45" s="57">
        <f t="shared" si="33"/>
        <v>363206</v>
      </c>
      <c r="BC45" s="62">
        <f t="shared" si="34"/>
        <v>1078504.3795993561</v>
      </c>
      <c r="BD45" s="2">
        <v>6</v>
      </c>
      <c r="BE45" s="57">
        <f t="shared" si="35"/>
        <v>380542</v>
      </c>
      <c r="BF45" s="62">
        <f t="shared" si="36"/>
        <v>1176097.3580846686</v>
      </c>
      <c r="BG45" s="2">
        <v>5</v>
      </c>
      <c r="BH45" s="57">
        <f t="shared" si="37"/>
        <v>398706</v>
      </c>
      <c r="BI45" s="62">
        <f t="shared" si="38"/>
        <v>1282523.1959782874</v>
      </c>
      <c r="BJ45" s="2">
        <v>4</v>
      </c>
      <c r="BK45" s="57">
        <f t="shared" si="39"/>
        <v>417737</v>
      </c>
      <c r="BL45" s="62">
        <f t="shared" si="40"/>
        <v>1398579.5706063868</v>
      </c>
      <c r="BM45" s="2">
        <v>3</v>
      </c>
      <c r="BN45" s="57">
        <f t="shared" si="41"/>
        <v>437677</v>
      </c>
      <c r="BO45" s="62">
        <f t="shared" si="42"/>
        <v>1525140.1029985982</v>
      </c>
      <c r="BP45" s="2">
        <v>2</v>
      </c>
      <c r="BQ45" s="57">
        <f t="shared" si="43"/>
        <v>458568</v>
      </c>
      <c r="BR45" s="62">
        <f t="shared" si="44"/>
        <v>1663150.4608165908</v>
      </c>
      <c r="BS45" s="2">
        <v>1</v>
      </c>
      <c r="BT45" s="57">
        <f t="shared" si="45"/>
        <v>480456</v>
      </c>
      <c r="BU45" s="62">
        <f t="shared" si="46"/>
        <v>1813648.8118424956</v>
      </c>
      <c r="BV45" s="2">
        <v>0</v>
      </c>
      <c r="BW45" s="57">
        <f t="shared" ref="BW45:BW76" si="47">$E$44</f>
        <v>503389</v>
      </c>
      <c r="BX45" s="62">
        <f t="shared" ref="BX45:BX76" si="48">SUM($G$10*$G$11*BW45*(EXP(-($G$10*BV45))),$G$10*$G$11*BW45*(EXP(-($G$10*(BV45+0.1)))),$G$10*$G$11*BW45*(EXP(-($G$10*(BV45+0.2)))),$G$10*$G$11*BW45*(EXP(-($G$10*(BV45+0.3)))),$G$10*$G$11*BW45*(EXP(-($G$10*(BV45+0.4)))),$G$10*$G$11*BW45*(EXP(-($G$10*(BV45+0.5)))),$G$10*$G$11*BW45*(EXP(-($G$10*(BV45+0.6)))),$G$10*$G$11*BW45*(EXP(-($G$10*(BV45+0.7)))),$G$10*$G$11*BW45*(EXP(-($G$10*(BV45+0.8)))),$G$10*$G$11*BW45*(EXP(-($G$10*(BV45+0.9)))))/10</f>
        <v>1977766.7662126608</v>
      </c>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361"/>
      <c r="EB45" s="361"/>
      <c r="EC45" s="361"/>
      <c r="ED45" s="361"/>
      <c r="EE45" s="361"/>
      <c r="EF45" s="361"/>
      <c r="EG45" s="361"/>
      <c r="EH45" s="361"/>
      <c r="EI45" s="361"/>
      <c r="EJ45" s="361"/>
      <c r="EK45" s="361"/>
      <c r="EL45" s="361"/>
      <c r="EM45" s="361"/>
      <c r="EN45" s="361"/>
      <c r="EO45" s="361"/>
      <c r="EP45" s="361"/>
      <c r="EQ45" s="361"/>
      <c r="ER45" s="361"/>
      <c r="ES45" s="361"/>
      <c r="ET45" s="361"/>
      <c r="EU45" s="361"/>
      <c r="EV45" s="361"/>
      <c r="EW45" s="361"/>
      <c r="EX45" s="361"/>
      <c r="EY45" s="361"/>
      <c r="EZ45" s="361"/>
      <c r="FA45" s="361"/>
      <c r="FB45" s="361"/>
      <c r="FC45" s="361"/>
      <c r="FD45" s="361"/>
      <c r="FE45" s="361"/>
      <c r="FF45" s="361"/>
      <c r="FG45" s="361"/>
      <c r="FH45" s="361"/>
      <c r="FI45" s="361"/>
      <c r="FJ45" s="361"/>
      <c r="FK45" s="361"/>
      <c r="FL45" s="361"/>
      <c r="FM45" s="361"/>
      <c r="FN45" s="361"/>
      <c r="FO45" s="361"/>
      <c r="FP45" s="361"/>
      <c r="FQ45" s="361"/>
      <c r="FR45" s="361"/>
      <c r="FS45" s="361"/>
      <c r="FT45" s="361"/>
      <c r="FU45" s="361"/>
      <c r="FV45" s="361"/>
      <c r="FW45" s="361"/>
      <c r="FX45" s="361"/>
      <c r="FY45" s="361"/>
      <c r="FZ45" s="361"/>
      <c r="GA45" s="361"/>
      <c r="GB45" s="361"/>
      <c r="GC45" s="361"/>
      <c r="GD45" s="361"/>
      <c r="GE45" s="361"/>
      <c r="GF45" s="361"/>
      <c r="GG45" s="361"/>
      <c r="GH45" s="361"/>
      <c r="GI45" s="361"/>
      <c r="GJ45" s="361"/>
      <c r="GK45" s="361"/>
      <c r="GL45" s="361"/>
      <c r="GM45" s="361"/>
      <c r="GN45" s="361"/>
      <c r="GO45" s="361"/>
      <c r="GP45" s="361"/>
      <c r="GQ45" s="361"/>
      <c r="GR45" s="361"/>
      <c r="GS45" s="361"/>
      <c r="GT45" s="361"/>
      <c r="GU45" s="361"/>
      <c r="GV45" s="361"/>
      <c r="GW45" s="361"/>
      <c r="GX45" s="361"/>
      <c r="GY45" s="361"/>
      <c r="GZ45" s="361"/>
      <c r="HA45" s="361"/>
      <c r="HB45" s="361"/>
      <c r="HC45" s="361"/>
      <c r="HD45" s="361"/>
      <c r="HE45" s="361"/>
      <c r="HF45" s="361"/>
      <c r="HG45" s="361"/>
      <c r="HH45" s="361"/>
      <c r="HI45" s="361"/>
      <c r="HJ45" s="361"/>
      <c r="HK45" s="361"/>
      <c r="HL45" s="361"/>
      <c r="HM45" s="361"/>
      <c r="HN45" s="361"/>
      <c r="HO45" s="361"/>
      <c r="HP45" s="361"/>
      <c r="HQ45" s="361"/>
      <c r="HR45" s="361"/>
      <c r="HS45" s="361"/>
      <c r="HT45" s="361"/>
      <c r="HU45" s="361"/>
      <c r="HV45" s="361"/>
      <c r="HW45" s="361"/>
      <c r="HX45" s="361"/>
      <c r="HY45" s="361"/>
      <c r="HZ45" s="361"/>
      <c r="IA45" s="361"/>
      <c r="IB45" s="361"/>
      <c r="IC45" s="361"/>
      <c r="ID45" s="361"/>
      <c r="IE45" s="361"/>
      <c r="IF45" s="361"/>
      <c r="IG45" s="361"/>
      <c r="IH45" s="361"/>
      <c r="II45" s="361"/>
      <c r="IJ45" s="361"/>
      <c r="IK45" s="361"/>
      <c r="IL45" s="361"/>
      <c r="IM45" s="361"/>
      <c r="IN45" s="361"/>
      <c r="IO45" s="361"/>
      <c r="IP45" s="361"/>
    </row>
    <row r="46" spans="2:250">
      <c r="B46" s="56">
        <f>'USER INPUTS'!J31</f>
        <v>2041</v>
      </c>
      <c r="C46" s="420">
        <f>IF(OR(AND(ClosureCalcYes=TRUE,WasteCapacity=""),AND(ClosureCalcYes=FALSE,ClosureYear="")),0,IF('USER INPUTS'!K31&gt;0,IF('USER INPUTS'!$K$4="Mg/year",'USER INPUTS'!K31,'USER INPUTS'!L31),0))</f>
        <v>552592</v>
      </c>
      <c r="D46" s="420">
        <f t="shared" si="6"/>
        <v>7712841</v>
      </c>
      <c r="E46" s="420">
        <f>IF(ClosureCalcYes=FALSE,IF(AND(B46&lt;ClosureYear,C46=0,SUM(C46:$C$102)=0),$D$13,IF(B46&lt;=ClosureYear,C46,0)),IF(B46=$D$16,($D$14-F46),IF(B46&lt;$D$16,IF(SUM(C46:$C$102)=0,$D$13,C46),0)))</f>
        <v>552592</v>
      </c>
      <c r="F46" s="66">
        <f t="shared" si="7"/>
        <v>7712841</v>
      </c>
      <c r="G46" s="284">
        <f>IF(SUM(C47:$C$101)=0,C46,0)</f>
        <v>0</v>
      </c>
      <c r="H46" s="284">
        <f t="shared" si="0"/>
        <v>0</v>
      </c>
      <c r="I46" s="2">
        <f t="shared" si="8"/>
        <v>2041</v>
      </c>
      <c r="J46" s="379">
        <f t="shared" si="1"/>
        <v>21725905.832326822</v>
      </c>
      <c r="K46" s="2">
        <v>22</v>
      </c>
      <c r="L46" s="57">
        <f t="shared" si="2"/>
        <v>189082</v>
      </c>
      <c r="M46" s="62">
        <f t="shared" si="3"/>
        <v>308135.96908676089</v>
      </c>
      <c r="N46" s="2">
        <v>21</v>
      </c>
      <c r="O46" s="57">
        <f t="shared" si="4"/>
        <v>293489</v>
      </c>
      <c r="P46" s="62">
        <f t="shared" si="5"/>
        <v>497801.06039385515</v>
      </c>
      <c r="Q46" s="2">
        <v>20</v>
      </c>
      <c r="R46" s="57">
        <f t="shared" si="9"/>
        <v>283523</v>
      </c>
      <c r="S46" s="62">
        <f t="shared" si="10"/>
        <v>500523.02858516073</v>
      </c>
      <c r="T46" s="2">
        <v>19</v>
      </c>
      <c r="U46" s="57">
        <f t="shared" si="11"/>
        <v>143321</v>
      </c>
      <c r="V46" s="62">
        <f t="shared" si="12"/>
        <v>263340.33104717958</v>
      </c>
      <c r="W46" s="2">
        <v>18</v>
      </c>
      <c r="X46" s="57">
        <f t="shared" si="13"/>
        <v>227851</v>
      </c>
      <c r="Y46" s="62">
        <f t="shared" si="14"/>
        <v>435742.84608236095</v>
      </c>
      <c r="Z46" s="2">
        <v>17</v>
      </c>
      <c r="AA46" s="57">
        <f t="shared" si="15"/>
        <v>238727</v>
      </c>
      <c r="AB46" s="62">
        <f t="shared" si="16"/>
        <v>475173.9748756651</v>
      </c>
      <c r="AC46" s="2">
        <v>16</v>
      </c>
      <c r="AD46" s="57">
        <f t="shared" si="17"/>
        <v>250122</v>
      </c>
      <c r="AE46" s="62">
        <f t="shared" si="18"/>
        <v>518172.99778453697</v>
      </c>
      <c r="AF46" s="2">
        <v>15</v>
      </c>
      <c r="AG46" s="57">
        <f t="shared" si="19"/>
        <v>262060</v>
      </c>
      <c r="AH46" s="62">
        <f t="shared" si="20"/>
        <v>565061.08785970288</v>
      </c>
      <c r="AI46" s="2">
        <v>14</v>
      </c>
      <c r="AJ46" s="57">
        <f t="shared" si="21"/>
        <v>274569</v>
      </c>
      <c r="AK46" s="62">
        <f t="shared" si="22"/>
        <v>616194.68194038549</v>
      </c>
      <c r="AL46" s="2">
        <v>13</v>
      </c>
      <c r="AM46" s="57">
        <f t="shared" si="23"/>
        <v>287675</v>
      </c>
      <c r="AN46" s="62">
        <f t="shared" si="24"/>
        <v>671955.23985129443</v>
      </c>
      <c r="AO46" s="2">
        <v>12</v>
      </c>
      <c r="AP46" s="57">
        <f t="shared" si="25"/>
        <v>301406</v>
      </c>
      <c r="AQ46" s="62">
        <f t="shared" si="26"/>
        <v>732760.23932554072</v>
      </c>
      <c r="AR46" s="2">
        <v>11</v>
      </c>
      <c r="AS46" s="57">
        <f t="shared" si="27"/>
        <v>315793</v>
      </c>
      <c r="AT46" s="62">
        <f t="shared" si="28"/>
        <v>799068.99671910948</v>
      </c>
      <c r="AU46" s="2">
        <v>10</v>
      </c>
      <c r="AV46" s="57">
        <f t="shared" si="29"/>
        <v>330866</v>
      </c>
      <c r="AW46" s="62">
        <f t="shared" si="30"/>
        <v>871376.21643809637</v>
      </c>
      <c r="AX46" s="2">
        <v>9</v>
      </c>
      <c r="AY46" s="57">
        <f t="shared" si="31"/>
        <v>346659</v>
      </c>
      <c r="AZ46" s="62">
        <f t="shared" si="32"/>
        <v>950227.99265479855</v>
      </c>
      <c r="BA46" s="2">
        <v>8</v>
      </c>
      <c r="BB46" s="57">
        <f t="shared" si="33"/>
        <v>363206</v>
      </c>
      <c r="BC46" s="62">
        <f t="shared" si="34"/>
        <v>1036215.6179985895</v>
      </c>
      <c r="BD46" s="2">
        <v>7</v>
      </c>
      <c r="BE46" s="57">
        <f t="shared" si="35"/>
        <v>380542</v>
      </c>
      <c r="BF46" s="62">
        <f t="shared" si="36"/>
        <v>1129981.9210626979</v>
      </c>
      <c r="BG46" s="2">
        <v>6</v>
      </c>
      <c r="BH46" s="57">
        <f t="shared" si="37"/>
        <v>398706</v>
      </c>
      <c r="BI46" s="62">
        <f t="shared" si="38"/>
        <v>1232234.7421638239</v>
      </c>
      <c r="BJ46" s="2">
        <v>5</v>
      </c>
      <c r="BK46" s="57">
        <f t="shared" si="39"/>
        <v>417737</v>
      </c>
      <c r="BL46" s="62">
        <f t="shared" si="40"/>
        <v>1343740.4812528074</v>
      </c>
      <c r="BM46" s="2">
        <v>4</v>
      </c>
      <c r="BN46" s="57">
        <f t="shared" si="41"/>
        <v>437677</v>
      </c>
      <c r="BO46" s="62">
        <f t="shared" si="42"/>
        <v>1465338.5041887399</v>
      </c>
      <c r="BP46" s="2">
        <v>3</v>
      </c>
      <c r="BQ46" s="57">
        <f t="shared" si="43"/>
        <v>458568</v>
      </c>
      <c r="BR46" s="62">
        <f t="shared" si="44"/>
        <v>1597937.3984739</v>
      </c>
      <c r="BS46" s="2">
        <v>2</v>
      </c>
      <c r="BT46" s="57">
        <f t="shared" si="45"/>
        <v>480456</v>
      </c>
      <c r="BU46" s="62">
        <f t="shared" si="46"/>
        <v>1742534.6247494284</v>
      </c>
      <c r="BV46" s="2">
        <v>1</v>
      </c>
      <c r="BW46" s="57">
        <f t="shared" si="47"/>
        <v>503389</v>
      </c>
      <c r="BX46" s="62">
        <f t="shared" si="48"/>
        <v>1900217.4220835664</v>
      </c>
      <c r="BY46" s="2">
        <v>0</v>
      </c>
      <c r="BZ46" s="57">
        <f t="shared" ref="BZ46:BZ77" si="49">$E$45</f>
        <v>527417</v>
      </c>
      <c r="CA46" s="62">
        <f t="shared" ref="CA46:CA77" si="50">SUM($G$10*$G$11*BZ46*(EXP(-($G$10*BY46))),$G$10*$G$11*BZ46*(EXP(-($G$10*(BY46+0.1)))),$G$10*$G$11*BZ46*(EXP(-($G$10*(BY46+0.2)))),$G$10*$G$11*BZ46*(EXP(-($G$10*(BY46+0.3)))),$G$10*$G$11*BZ46*(EXP(-($G$10*(BY46+0.4)))),$G$10*$G$11*BZ46*(EXP(-($G$10*(BY46+0.5)))),$G$10*$G$11*BZ46*(EXP(-($G$10*(BY46+0.6)))),$G$10*$G$11*BZ46*(EXP(-($G$10*(BY46+0.7)))),$G$10*$G$11*BZ46*(EXP(-($G$10*(BY46+0.8)))),$G$10*$G$11*BZ46*(EXP(-($G$10*(BY46+0.9)))))/10</f>
        <v>2072170.4577088158</v>
      </c>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361"/>
      <c r="EB46" s="361"/>
      <c r="EC46" s="361"/>
      <c r="ED46" s="361"/>
      <c r="EE46" s="361"/>
      <c r="EF46" s="361"/>
      <c r="EG46" s="361"/>
      <c r="EH46" s="361"/>
      <c r="EI46" s="361"/>
      <c r="EJ46" s="361"/>
      <c r="EK46" s="361"/>
      <c r="EL46" s="361"/>
      <c r="EM46" s="361"/>
      <c r="EN46" s="361"/>
      <c r="EO46" s="361"/>
      <c r="EP46" s="361"/>
      <c r="EQ46" s="361"/>
      <c r="ER46" s="361"/>
      <c r="ES46" s="361"/>
      <c r="ET46" s="361"/>
      <c r="EU46" s="361"/>
      <c r="EV46" s="361"/>
      <c r="EW46" s="361"/>
      <c r="EX46" s="361"/>
      <c r="EY46" s="361"/>
      <c r="EZ46" s="361"/>
      <c r="FA46" s="361"/>
      <c r="FB46" s="361"/>
      <c r="FC46" s="361"/>
      <c r="FD46" s="361"/>
      <c r="FE46" s="361"/>
      <c r="FF46" s="361"/>
      <c r="FG46" s="361"/>
      <c r="FH46" s="361"/>
      <c r="FI46" s="361"/>
      <c r="FJ46" s="361"/>
      <c r="FK46" s="361"/>
      <c r="FL46" s="361"/>
      <c r="FM46" s="361"/>
      <c r="FN46" s="361"/>
      <c r="FO46" s="361"/>
      <c r="FP46" s="361"/>
      <c r="FQ46" s="361"/>
      <c r="FR46" s="361"/>
      <c r="FS46" s="361"/>
      <c r="FT46" s="361"/>
      <c r="FU46" s="361"/>
      <c r="FV46" s="361"/>
      <c r="FW46" s="361"/>
      <c r="FX46" s="361"/>
      <c r="FY46" s="361"/>
      <c r="FZ46" s="361"/>
      <c r="GA46" s="361"/>
      <c r="GB46" s="361"/>
      <c r="GC46" s="361"/>
      <c r="GD46" s="361"/>
      <c r="GE46" s="361"/>
      <c r="GF46" s="361"/>
      <c r="GG46" s="361"/>
      <c r="GH46" s="361"/>
      <c r="GI46" s="361"/>
      <c r="GJ46" s="361"/>
      <c r="GK46" s="361"/>
      <c r="GL46" s="361"/>
      <c r="GM46" s="361"/>
      <c r="GN46" s="361"/>
      <c r="GO46" s="361"/>
      <c r="GP46" s="361"/>
      <c r="GQ46" s="361"/>
      <c r="GR46" s="361"/>
      <c r="GS46" s="361"/>
      <c r="GT46" s="361"/>
      <c r="GU46" s="361"/>
      <c r="GV46" s="361"/>
      <c r="GW46" s="361"/>
      <c r="GX46" s="361"/>
      <c r="GY46" s="361"/>
      <c r="GZ46" s="361"/>
      <c r="HA46" s="361"/>
      <c r="HB46" s="361"/>
      <c r="HC46" s="361"/>
      <c r="HD46" s="361"/>
      <c r="HE46" s="361"/>
      <c r="HF46" s="361"/>
      <c r="HG46" s="361"/>
      <c r="HH46" s="361"/>
      <c r="HI46" s="361"/>
      <c r="HJ46" s="361"/>
      <c r="HK46" s="361"/>
      <c r="HL46" s="361"/>
      <c r="HM46" s="361"/>
      <c r="HN46" s="361"/>
      <c r="HO46" s="361"/>
      <c r="HP46" s="361"/>
      <c r="HQ46" s="361"/>
      <c r="HR46" s="361"/>
      <c r="HS46" s="361"/>
      <c r="HT46" s="361"/>
      <c r="HU46" s="361"/>
      <c r="HV46" s="361"/>
      <c r="HW46" s="361"/>
      <c r="HX46" s="361"/>
      <c r="HY46" s="361"/>
      <c r="HZ46" s="361"/>
      <c r="IA46" s="361"/>
      <c r="IB46" s="361"/>
      <c r="IC46" s="361"/>
      <c r="ID46" s="361"/>
      <c r="IE46" s="361"/>
      <c r="IF46" s="361"/>
      <c r="IG46" s="361"/>
      <c r="IH46" s="361"/>
      <c r="II46" s="361"/>
      <c r="IJ46" s="361"/>
      <c r="IK46" s="361"/>
      <c r="IL46" s="361"/>
      <c r="IM46" s="361"/>
      <c r="IN46" s="361"/>
      <c r="IO46" s="361"/>
      <c r="IP46" s="361"/>
    </row>
    <row r="47" spans="2:250">
      <c r="B47" s="56">
        <f>'USER INPUTS'!J32</f>
        <v>2042</v>
      </c>
      <c r="C47" s="420">
        <f>IF(OR(AND(ClosureCalcYes=TRUE,WasteCapacity=""),AND(ClosureCalcYes=FALSE,ClosureYear="")),0,IF('USER INPUTS'!K32&gt;0,IF('USER INPUTS'!$K$4="Mg/year",'USER INPUTS'!K32,'USER INPUTS'!L32),0))</f>
        <v>578968</v>
      </c>
      <c r="D47" s="420">
        <f t="shared" si="6"/>
        <v>8265433</v>
      </c>
      <c r="E47" s="420">
        <f>IF(ClosureCalcYes=FALSE,IF(AND(B47&lt;ClosureYear,C47=0,SUM(C47:$C$102)=0),$D$13,IF(B47&lt;=ClosureYear,C47,0)),IF(B47=$D$16,($D$14-F47),IF(B47&lt;$D$16,IF(SUM(C47:$C$102)=0,$D$13,C47),0)))</f>
        <v>578968</v>
      </c>
      <c r="F47" s="66">
        <f t="shared" si="7"/>
        <v>8265433</v>
      </c>
      <c r="G47" s="284">
        <f>IF(SUM(C48:$C$101)=0,C47,0)</f>
        <v>0</v>
      </c>
      <c r="H47" s="284">
        <f t="shared" si="0"/>
        <v>0</v>
      </c>
      <c r="I47" s="2">
        <f t="shared" si="8"/>
        <v>2042</v>
      </c>
      <c r="J47" s="379">
        <f t="shared" si="1"/>
        <v>23045101.481150925</v>
      </c>
      <c r="K47" s="2">
        <v>23</v>
      </c>
      <c r="L47" s="57">
        <f t="shared" si="2"/>
        <v>189082</v>
      </c>
      <c r="M47" s="62">
        <f t="shared" si="3"/>
        <v>296053.78492152662</v>
      </c>
      <c r="N47" s="2">
        <v>22</v>
      </c>
      <c r="O47" s="57">
        <f t="shared" si="4"/>
        <v>293489</v>
      </c>
      <c r="P47" s="62">
        <f t="shared" si="5"/>
        <v>478282.00162524392</v>
      </c>
      <c r="Q47" s="2">
        <v>21</v>
      </c>
      <c r="R47" s="57">
        <f t="shared" si="9"/>
        <v>283523</v>
      </c>
      <c r="S47" s="62">
        <f t="shared" si="10"/>
        <v>480897.23991715861</v>
      </c>
      <c r="T47" s="2">
        <v>20</v>
      </c>
      <c r="U47" s="57">
        <f t="shared" si="11"/>
        <v>143321</v>
      </c>
      <c r="V47" s="62">
        <f t="shared" si="12"/>
        <v>253014.60897300681</v>
      </c>
      <c r="W47" s="2">
        <v>19</v>
      </c>
      <c r="X47" s="57">
        <f t="shared" si="13"/>
        <v>227851</v>
      </c>
      <c r="Y47" s="62">
        <f t="shared" si="14"/>
        <v>418657.12470210867</v>
      </c>
      <c r="Z47" s="2">
        <v>18</v>
      </c>
      <c r="AA47" s="57">
        <f t="shared" si="15"/>
        <v>238727</v>
      </c>
      <c r="AB47" s="62">
        <f t="shared" si="16"/>
        <v>456542.13682057027</v>
      </c>
      <c r="AC47" s="2">
        <v>17</v>
      </c>
      <c r="AD47" s="57">
        <f t="shared" si="17"/>
        <v>250122</v>
      </c>
      <c r="AE47" s="62">
        <f t="shared" si="18"/>
        <v>497855.14392528322</v>
      </c>
      <c r="AF47" s="2">
        <v>16</v>
      </c>
      <c r="AG47" s="57">
        <f t="shared" si="19"/>
        <v>262060</v>
      </c>
      <c r="AH47" s="62">
        <f t="shared" si="20"/>
        <v>542904.72569152561</v>
      </c>
      <c r="AI47" s="2">
        <v>15</v>
      </c>
      <c r="AJ47" s="57">
        <f t="shared" si="21"/>
        <v>274569</v>
      </c>
      <c r="AK47" s="62">
        <f t="shared" si="22"/>
        <v>592033.3428701472</v>
      </c>
      <c r="AL47" s="2">
        <v>14</v>
      </c>
      <c r="AM47" s="57">
        <f t="shared" si="23"/>
        <v>287675</v>
      </c>
      <c r="AN47" s="62">
        <f t="shared" si="24"/>
        <v>645607.49803219014</v>
      </c>
      <c r="AO47" s="2">
        <v>13</v>
      </c>
      <c r="AP47" s="57">
        <f t="shared" si="25"/>
        <v>301406</v>
      </c>
      <c r="AQ47" s="62">
        <f t="shared" si="26"/>
        <v>704028.29937470867</v>
      </c>
      <c r="AR47" s="2">
        <v>12</v>
      </c>
      <c r="AS47" s="57">
        <f t="shared" si="27"/>
        <v>315793</v>
      </c>
      <c r="AT47" s="62">
        <f t="shared" si="28"/>
        <v>767737.05320176273</v>
      </c>
      <c r="AU47" s="2">
        <v>11</v>
      </c>
      <c r="AV47" s="57">
        <f t="shared" si="29"/>
        <v>330866</v>
      </c>
      <c r="AW47" s="62">
        <f t="shared" si="30"/>
        <v>837209.06628223183</v>
      </c>
      <c r="AX47" s="2">
        <v>10</v>
      </c>
      <c r="AY47" s="57">
        <f t="shared" si="31"/>
        <v>346659</v>
      </c>
      <c r="AZ47" s="62">
        <f t="shared" si="32"/>
        <v>912969.02012964175</v>
      </c>
      <c r="BA47" s="2">
        <v>9</v>
      </c>
      <c r="BB47" s="57">
        <f t="shared" si="33"/>
        <v>363206</v>
      </c>
      <c r="BC47" s="62">
        <f t="shared" si="34"/>
        <v>995585.02245774306</v>
      </c>
      <c r="BD47" s="2">
        <v>8</v>
      </c>
      <c r="BE47" s="57">
        <f t="shared" si="35"/>
        <v>380542</v>
      </c>
      <c r="BF47" s="62">
        <f t="shared" si="36"/>
        <v>1085674.6961900941</v>
      </c>
      <c r="BG47" s="2">
        <v>7</v>
      </c>
      <c r="BH47" s="57">
        <f t="shared" si="37"/>
        <v>398706</v>
      </c>
      <c r="BI47" s="62">
        <f t="shared" si="38"/>
        <v>1183918.1268275881</v>
      </c>
      <c r="BJ47" s="2">
        <v>6</v>
      </c>
      <c r="BK47" s="57">
        <f t="shared" si="39"/>
        <v>417737</v>
      </c>
      <c r="BL47" s="62">
        <f t="shared" si="40"/>
        <v>1291051.6633491577</v>
      </c>
      <c r="BM47" s="2">
        <v>5</v>
      </c>
      <c r="BN47" s="57">
        <f t="shared" si="41"/>
        <v>437677</v>
      </c>
      <c r="BO47" s="62">
        <f t="shared" si="42"/>
        <v>1407881.7596078035</v>
      </c>
      <c r="BP47" s="2">
        <v>4</v>
      </c>
      <c r="BQ47" s="57">
        <f t="shared" si="43"/>
        <v>458568</v>
      </c>
      <c r="BR47" s="62">
        <f t="shared" si="44"/>
        <v>1535281.3768802609</v>
      </c>
      <c r="BS47" s="2">
        <v>3</v>
      </c>
      <c r="BT47" s="57">
        <f t="shared" si="45"/>
        <v>480456</v>
      </c>
      <c r="BU47" s="62">
        <f t="shared" si="46"/>
        <v>1674208.8648165076</v>
      </c>
      <c r="BV47" s="2">
        <v>2</v>
      </c>
      <c r="BW47" s="57">
        <f t="shared" si="47"/>
        <v>503389</v>
      </c>
      <c r="BX47" s="62">
        <f t="shared" si="48"/>
        <v>1825708.8312311433</v>
      </c>
      <c r="BY47" s="2">
        <v>1</v>
      </c>
      <c r="BZ47" s="57">
        <f t="shared" si="49"/>
        <v>527417</v>
      </c>
      <c r="CA47" s="62">
        <f t="shared" si="50"/>
        <v>1990919.4918900658</v>
      </c>
      <c r="CB47" s="2">
        <v>0</v>
      </c>
      <c r="CC47" s="57">
        <f t="shared" ref="CC47:CC78" si="51">$E$46</f>
        <v>552592</v>
      </c>
      <c r="CD47" s="62">
        <f t="shared" ref="CD47:CD78" si="52">SUM($G$10*$G$11*CC47*(EXP(-($G$10*CB47))),$G$10*$G$11*CC47*(EXP(-($G$10*(CB47+0.1)))),$G$10*$G$11*CC47*(EXP(-($G$10*(CB47+0.2)))),$G$10*$G$11*CC47*(EXP(-($G$10*(CB47+0.3)))),$G$10*$G$11*CC47*(EXP(-($G$10*(CB47+0.4)))),$G$10*$G$11*CC47*(EXP(-($G$10*(CB47+0.5)))),$G$10*$G$11*CC47*(EXP(-($G$10*(CB47+0.6)))),$G$10*$G$11*CC47*(EXP(-($G$10*(CB47+0.7)))),$G$10*$G$11*CC47*(EXP(-($G$10*(CB47+0.8)))),$G$10*$G$11*CC47*(EXP(-($G$10*(CB47+0.9)))))/10</f>
        <v>2171080.6014334569</v>
      </c>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361"/>
      <c r="EB47" s="361"/>
      <c r="EC47" s="361"/>
      <c r="ED47" s="361"/>
      <c r="EE47" s="361"/>
      <c r="EF47" s="361"/>
      <c r="EG47" s="361"/>
      <c r="EH47" s="361"/>
      <c r="EI47" s="361"/>
      <c r="EJ47" s="361"/>
      <c r="EK47" s="361"/>
      <c r="EL47" s="361"/>
      <c r="EM47" s="361"/>
      <c r="EN47" s="361"/>
      <c r="EO47" s="361"/>
      <c r="EP47" s="361"/>
      <c r="EQ47" s="361"/>
      <c r="ER47" s="361"/>
      <c r="ES47" s="361"/>
      <c r="ET47" s="361"/>
      <c r="EU47" s="361"/>
      <c r="EV47" s="361"/>
      <c r="EW47" s="361"/>
      <c r="EX47" s="361"/>
      <c r="EY47" s="361"/>
      <c r="EZ47" s="361"/>
      <c r="FA47" s="361"/>
      <c r="FB47" s="361"/>
      <c r="FC47" s="361"/>
      <c r="FD47" s="361"/>
      <c r="FE47" s="361"/>
      <c r="FF47" s="361"/>
      <c r="FG47" s="361"/>
      <c r="FH47" s="361"/>
      <c r="FI47" s="361"/>
      <c r="FJ47" s="361"/>
      <c r="FK47" s="361"/>
      <c r="FL47" s="361"/>
      <c r="FM47" s="361"/>
      <c r="FN47" s="361"/>
      <c r="FO47" s="361"/>
      <c r="FP47" s="361"/>
      <c r="FQ47" s="361"/>
      <c r="FR47" s="361"/>
      <c r="FS47" s="361"/>
      <c r="FT47" s="361"/>
      <c r="FU47" s="361"/>
      <c r="FV47" s="361"/>
      <c r="FW47" s="361"/>
      <c r="FX47" s="361"/>
      <c r="FY47" s="361"/>
      <c r="FZ47" s="361"/>
      <c r="GA47" s="361"/>
      <c r="GB47" s="361"/>
      <c r="GC47" s="361"/>
      <c r="GD47" s="361"/>
      <c r="GE47" s="361"/>
      <c r="GF47" s="361"/>
      <c r="GG47" s="361"/>
      <c r="GH47" s="361"/>
      <c r="GI47" s="361"/>
      <c r="GJ47" s="361"/>
      <c r="GK47" s="361"/>
      <c r="GL47" s="361"/>
      <c r="GM47" s="361"/>
      <c r="GN47" s="361"/>
      <c r="GO47" s="361"/>
      <c r="GP47" s="361"/>
      <c r="GQ47" s="361"/>
      <c r="GR47" s="361"/>
      <c r="GS47" s="361"/>
      <c r="GT47" s="361"/>
      <c r="GU47" s="361"/>
      <c r="GV47" s="361"/>
      <c r="GW47" s="361"/>
      <c r="GX47" s="361"/>
      <c r="GY47" s="361"/>
      <c r="GZ47" s="361"/>
      <c r="HA47" s="361"/>
      <c r="HB47" s="361"/>
      <c r="HC47" s="361"/>
      <c r="HD47" s="361"/>
      <c r="HE47" s="361"/>
      <c r="HF47" s="361"/>
      <c r="HG47" s="361"/>
      <c r="HH47" s="361"/>
      <c r="HI47" s="361"/>
      <c r="HJ47" s="361"/>
      <c r="HK47" s="361"/>
      <c r="HL47" s="361"/>
      <c r="HM47" s="361"/>
      <c r="HN47" s="361"/>
      <c r="HO47" s="361"/>
      <c r="HP47" s="361"/>
      <c r="HQ47" s="361"/>
      <c r="HR47" s="361"/>
      <c r="HS47" s="361"/>
      <c r="HT47" s="361"/>
      <c r="HU47" s="361"/>
      <c r="HV47" s="361"/>
      <c r="HW47" s="361"/>
      <c r="HX47" s="361"/>
      <c r="HY47" s="361"/>
      <c r="HZ47" s="361"/>
      <c r="IA47" s="361"/>
      <c r="IB47" s="361"/>
      <c r="IC47" s="361"/>
      <c r="ID47" s="361"/>
      <c r="IE47" s="361"/>
      <c r="IF47" s="361"/>
      <c r="IG47" s="361"/>
      <c r="IH47" s="361"/>
      <c r="II47" s="361"/>
      <c r="IJ47" s="361"/>
      <c r="IK47" s="361"/>
      <c r="IL47" s="361"/>
      <c r="IM47" s="361"/>
      <c r="IN47" s="361"/>
      <c r="IO47" s="361"/>
      <c r="IP47" s="361"/>
    </row>
    <row r="48" spans="2:250">
      <c r="B48" s="56">
        <f>'USER INPUTS'!J33</f>
        <v>2043</v>
      </c>
      <c r="C48" s="420">
        <f>IF(OR(AND(ClosureCalcYes=TRUE,WasteCapacity=""),AND(ClosureCalcYes=FALSE,ClosureYear="")),0,IF('USER INPUTS'!K33&gt;0,IF('USER INPUTS'!$K$4="Mg/year",'USER INPUTS'!K33,'USER INPUTS'!L33),0))</f>
        <v>606603</v>
      </c>
      <c r="D48" s="420">
        <f t="shared" si="6"/>
        <v>8844401</v>
      </c>
      <c r="E48" s="420">
        <f>IF(ClosureCalcYes=FALSE,IF(AND(B48&lt;ClosureYear,C48=0,SUM(C48:$C$102)=0),$D$13,IF(B48&lt;=ClosureYear,C48,0)),IF(B48=$D$16,($D$14-F48),IF(B48&lt;$D$16,IF(SUM(C48:$C$102)=0,$D$13,C48),0)))</f>
        <v>606603</v>
      </c>
      <c r="F48" s="66">
        <f t="shared" si="7"/>
        <v>8844401</v>
      </c>
      <c r="G48" s="284">
        <f>IF(SUM(C49:$C$101)=0,C48,0)</f>
        <v>0</v>
      </c>
      <c r="H48" s="284">
        <f t="shared" si="0"/>
        <v>0</v>
      </c>
      <c r="I48" s="2">
        <f t="shared" si="8"/>
        <v>2043</v>
      </c>
      <c r="J48" s="379">
        <f t="shared" si="1"/>
        <v>24416199.485454913</v>
      </c>
      <c r="K48" s="2">
        <v>24</v>
      </c>
      <c r="L48" s="57">
        <f t="shared" si="2"/>
        <v>189082</v>
      </c>
      <c r="M48" s="62">
        <f t="shared" si="3"/>
        <v>284445.34997367597</v>
      </c>
      <c r="N48" s="2">
        <v>23</v>
      </c>
      <c r="O48" s="57">
        <f t="shared" si="4"/>
        <v>293489</v>
      </c>
      <c r="P48" s="62">
        <f t="shared" si="5"/>
        <v>459528.29609816859</v>
      </c>
      <c r="Q48" s="2">
        <v>22</v>
      </c>
      <c r="R48" s="57">
        <f t="shared" si="9"/>
        <v>283523</v>
      </c>
      <c r="S48" s="62">
        <f t="shared" si="10"/>
        <v>462040.98942990723</v>
      </c>
      <c r="T48" s="2">
        <v>21</v>
      </c>
      <c r="U48" s="57">
        <f t="shared" si="11"/>
        <v>143321</v>
      </c>
      <c r="V48" s="62">
        <f t="shared" si="12"/>
        <v>243093.76425251961</v>
      </c>
      <c r="W48" s="2">
        <v>20</v>
      </c>
      <c r="X48" s="57">
        <f t="shared" si="13"/>
        <v>227851</v>
      </c>
      <c r="Y48" s="62">
        <f t="shared" si="14"/>
        <v>402241.34403966326</v>
      </c>
      <c r="Z48" s="2">
        <v>19</v>
      </c>
      <c r="AA48" s="57">
        <f t="shared" si="15"/>
        <v>238727</v>
      </c>
      <c r="AB48" s="62">
        <f t="shared" si="16"/>
        <v>438640.8635852391</v>
      </c>
      <c r="AC48" s="2">
        <v>18</v>
      </c>
      <c r="AD48" s="57">
        <f t="shared" si="17"/>
        <v>250122</v>
      </c>
      <c r="AE48" s="62">
        <f t="shared" si="18"/>
        <v>478333.96451107209</v>
      </c>
      <c r="AF48" s="2">
        <v>17</v>
      </c>
      <c r="AG48" s="57">
        <f t="shared" si="19"/>
        <v>262060</v>
      </c>
      <c r="AH48" s="62">
        <f t="shared" si="20"/>
        <v>521617.12691030669</v>
      </c>
      <c r="AI48" s="2">
        <v>16</v>
      </c>
      <c r="AJ48" s="57">
        <f t="shared" si="21"/>
        <v>274569</v>
      </c>
      <c r="AK48" s="62">
        <f t="shared" si="22"/>
        <v>568819.38345568371</v>
      </c>
      <c r="AL48" s="2">
        <v>15</v>
      </c>
      <c r="AM48" s="57">
        <f t="shared" si="23"/>
        <v>287675</v>
      </c>
      <c r="AN48" s="62">
        <f t="shared" si="24"/>
        <v>620292.86594688264</v>
      </c>
      <c r="AO48" s="2">
        <v>14</v>
      </c>
      <c r="AP48" s="57">
        <f t="shared" si="25"/>
        <v>301406</v>
      </c>
      <c r="AQ48" s="62">
        <f t="shared" si="26"/>
        <v>676422.95490359014</v>
      </c>
      <c r="AR48" s="2">
        <v>13</v>
      </c>
      <c r="AS48" s="57">
        <f t="shared" si="27"/>
        <v>315793</v>
      </c>
      <c r="AT48" s="62">
        <f t="shared" si="28"/>
        <v>737633.65276217903</v>
      </c>
      <c r="AU48" s="2">
        <v>12</v>
      </c>
      <c r="AV48" s="57">
        <f t="shared" si="29"/>
        <v>330866</v>
      </c>
      <c r="AW48" s="62">
        <f t="shared" si="30"/>
        <v>804381.62924654584</v>
      </c>
      <c r="AX48" s="2">
        <v>11</v>
      </c>
      <c r="AY48" s="57">
        <f t="shared" si="31"/>
        <v>346659</v>
      </c>
      <c r="AZ48" s="62">
        <f t="shared" si="32"/>
        <v>877170.99281380442</v>
      </c>
      <c r="BA48" s="2">
        <v>10</v>
      </c>
      <c r="BB48" s="57">
        <f t="shared" si="33"/>
        <v>363206</v>
      </c>
      <c r="BC48" s="62">
        <f t="shared" si="34"/>
        <v>956547.57535562792</v>
      </c>
      <c r="BD48" s="2">
        <v>9</v>
      </c>
      <c r="BE48" s="57">
        <f t="shared" si="35"/>
        <v>380542</v>
      </c>
      <c r="BF48" s="62">
        <f t="shared" si="36"/>
        <v>1043104.7824543493</v>
      </c>
      <c r="BG48" s="2">
        <v>8</v>
      </c>
      <c r="BH48" s="57">
        <f t="shared" si="37"/>
        <v>398706</v>
      </c>
      <c r="BI48" s="62">
        <f t="shared" si="38"/>
        <v>1137496.0330769471</v>
      </c>
      <c r="BJ48" s="2">
        <v>7</v>
      </c>
      <c r="BK48" s="57">
        <f t="shared" si="39"/>
        <v>417737</v>
      </c>
      <c r="BL48" s="62">
        <f t="shared" si="40"/>
        <v>1240428.8035459113</v>
      </c>
      <c r="BM48" s="2">
        <v>6</v>
      </c>
      <c r="BN48" s="57">
        <f t="shared" si="41"/>
        <v>437677</v>
      </c>
      <c r="BO48" s="62">
        <f t="shared" si="42"/>
        <v>1352677.9262063676</v>
      </c>
      <c r="BP48" s="2">
        <v>5</v>
      </c>
      <c r="BQ48" s="57">
        <f t="shared" si="43"/>
        <v>458568</v>
      </c>
      <c r="BR48" s="62">
        <f t="shared" si="44"/>
        <v>1475082.1330337927</v>
      </c>
      <c r="BS48" s="2">
        <v>4</v>
      </c>
      <c r="BT48" s="57">
        <f t="shared" si="45"/>
        <v>480456</v>
      </c>
      <c r="BU48" s="62">
        <f t="shared" si="46"/>
        <v>1608562.1962508999</v>
      </c>
      <c r="BV48" s="2">
        <v>3</v>
      </c>
      <c r="BW48" s="57">
        <f t="shared" si="47"/>
        <v>503389</v>
      </c>
      <c r="BX48" s="62">
        <f t="shared" si="48"/>
        <v>1754121.7640140136</v>
      </c>
      <c r="BY48" s="2">
        <v>2</v>
      </c>
      <c r="BZ48" s="57">
        <f t="shared" si="49"/>
        <v>527417</v>
      </c>
      <c r="CA48" s="62">
        <f t="shared" si="50"/>
        <v>1912854.4220104846</v>
      </c>
      <c r="CB48" s="2">
        <v>1</v>
      </c>
      <c r="CC48" s="57">
        <f t="shared" si="51"/>
        <v>552592</v>
      </c>
      <c r="CD48" s="62">
        <f t="shared" si="52"/>
        <v>2085951.3134057398</v>
      </c>
      <c r="CE48" s="2">
        <v>0</v>
      </c>
      <c r="CF48" s="57">
        <f t="shared" ref="CF48:CF79" si="53">$E$47</f>
        <v>578968</v>
      </c>
      <c r="CG48" s="62">
        <f t="shared" ref="CG48:CG79" si="54">SUM($G$10*$G$11*CF48*(EXP(-($G$10*CE48))),$G$10*$G$11*CF48*(EXP(-($G$10*(CE48+0.1)))),$G$10*$G$11*CF48*(EXP(-($G$10*(CE48+0.2)))),$G$10*$G$11*CF48*(EXP(-($G$10*(CE48+0.3)))),$G$10*$G$11*CF48*(EXP(-($G$10*(CE48+0.4)))),$G$10*$G$11*CF48*(EXP(-($G$10*(CE48+0.5)))),$G$10*$G$11*CF48*(EXP(-($G$10*(CE48+0.6)))),$G$10*$G$11*CF48*(EXP(-($G$10*(CE48+0.7)))),$G$10*$G$11*CF48*(EXP(-($G$10*(CE48+0.8)))),$G$10*$G$11*CF48*(EXP(-($G$10*(CE48+0.9)))))/10</f>
        <v>2274709.3581715371</v>
      </c>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361"/>
      <c r="EB48" s="361"/>
      <c r="EC48" s="361"/>
      <c r="ED48" s="361"/>
      <c r="EE48" s="361"/>
      <c r="EF48" s="361"/>
      <c r="EG48" s="361"/>
      <c r="EH48" s="361"/>
      <c r="EI48" s="361"/>
      <c r="EJ48" s="361"/>
      <c r="EK48" s="361"/>
      <c r="EL48" s="361"/>
      <c r="EM48" s="361"/>
      <c r="EN48" s="361"/>
      <c r="EO48" s="361"/>
      <c r="EP48" s="361"/>
      <c r="EQ48" s="361"/>
      <c r="ER48" s="361"/>
      <c r="ES48" s="361"/>
      <c r="ET48" s="361"/>
      <c r="EU48" s="361"/>
      <c r="EV48" s="361"/>
      <c r="EW48" s="361"/>
      <c r="EX48" s="361"/>
      <c r="EY48" s="361"/>
      <c r="EZ48" s="361"/>
      <c r="FA48" s="361"/>
      <c r="FB48" s="361"/>
      <c r="FC48" s="361"/>
      <c r="FD48" s="361"/>
      <c r="FE48" s="361"/>
      <c r="FF48" s="361"/>
      <c r="FG48" s="361"/>
      <c r="FH48" s="361"/>
      <c r="FI48" s="361"/>
      <c r="FJ48" s="361"/>
      <c r="FK48" s="361"/>
      <c r="FL48" s="361"/>
      <c r="FM48" s="361"/>
      <c r="FN48" s="361"/>
      <c r="FO48" s="361"/>
      <c r="FP48" s="361"/>
      <c r="FQ48" s="361"/>
      <c r="FR48" s="361"/>
      <c r="FS48" s="361"/>
      <c r="FT48" s="361"/>
      <c r="FU48" s="361"/>
      <c r="FV48" s="361"/>
      <c r="FW48" s="361"/>
      <c r="FX48" s="361"/>
      <c r="FY48" s="361"/>
      <c r="FZ48" s="361"/>
      <c r="GA48" s="361"/>
      <c r="GB48" s="361"/>
      <c r="GC48" s="361"/>
      <c r="GD48" s="361"/>
      <c r="GE48" s="361"/>
      <c r="GF48" s="361"/>
      <c r="GG48" s="361"/>
      <c r="GH48" s="361"/>
      <c r="GI48" s="361"/>
      <c r="GJ48" s="361"/>
      <c r="GK48" s="361"/>
      <c r="GL48" s="361"/>
      <c r="GM48" s="361"/>
      <c r="GN48" s="361"/>
      <c r="GO48" s="361"/>
      <c r="GP48" s="361"/>
      <c r="GQ48" s="361"/>
      <c r="GR48" s="361"/>
      <c r="GS48" s="361"/>
      <c r="GT48" s="361"/>
      <c r="GU48" s="361"/>
      <c r="GV48" s="361"/>
      <c r="GW48" s="361"/>
      <c r="GX48" s="361"/>
      <c r="GY48" s="361"/>
      <c r="GZ48" s="361"/>
      <c r="HA48" s="361"/>
      <c r="HB48" s="361"/>
      <c r="HC48" s="361"/>
      <c r="HD48" s="361"/>
      <c r="HE48" s="361"/>
      <c r="HF48" s="361"/>
      <c r="HG48" s="361"/>
      <c r="HH48" s="361"/>
      <c r="HI48" s="361"/>
      <c r="HJ48" s="361"/>
      <c r="HK48" s="361"/>
      <c r="HL48" s="361"/>
      <c r="HM48" s="361"/>
      <c r="HN48" s="361"/>
      <c r="HO48" s="361"/>
      <c r="HP48" s="361"/>
      <c r="HQ48" s="361"/>
      <c r="HR48" s="361"/>
      <c r="HS48" s="361"/>
      <c r="HT48" s="361"/>
      <c r="HU48" s="361"/>
      <c r="HV48" s="361"/>
      <c r="HW48" s="361"/>
      <c r="HX48" s="361"/>
      <c r="HY48" s="361"/>
      <c r="HZ48" s="361"/>
      <c r="IA48" s="361"/>
      <c r="IB48" s="361"/>
      <c r="IC48" s="361"/>
      <c r="ID48" s="361"/>
      <c r="IE48" s="361"/>
      <c r="IF48" s="361"/>
      <c r="IG48" s="361"/>
      <c r="IH48" s="361"/>
      <c r="II48" s="361"/>
      <c r="IJ48" s="361"/>
      <c r="IK48" s="361"/>
      <c r="IL48" s="361"/>
      <c r="IM48" s="361"/>
      <c r="IN48" s="361"/>
      <c r="IO48" s="361"/>
      <c r="IP48" s="361"/>
    </row>
    <row r="49" spans="2:250">
      <c r="B49" s="56">
        <f>'USER INPUTS'!J34</f>
        <v>2044</v>
      </c>
      <c r="C49" s="420">
        <f>IF(OR(AND(ClosureCalcYes=TRUE,WasteCapacity=""),AND(ClosureCalcYes=FALSE,ClosureYear="")),0,IF('USER INPUTS'!K34&gt;0,IF('USER INPUTS'!$K$4="Mg/year",'USER INPUTS'!K34,'USER INPUTS'!L34),0))</f>
        <v>635558</v>
      </c>
      <c r="D49" s="420">
        <f t="shared" si="6"/>
        <v>9451004</v>
      </c>
      <c r="E49" s="420">
        <f>IF(ClosureCalcYes=FALSE,IF(AND(B49&lt;ClosureYear,C49=0,SUM(C49:$C$102)=0),$D$13,IF(B49&lt;=ClosureYear,C49,0)),IF(B49=$D$16,($D$14-F49),IF(B49&lt;$D$16,IF(SUM(C49:$C$102)=0,$D$13,C49),0)))</f>
        <v>635558</v>
      </c>
      <c r="F49" s="66">
        <f t="shared" si="7"/>
        <v>9451004</v>
      </c>
      <c r="G49" s="284">
        <f>IF(SUM(C50:$C$101)=0,C49,0)</f>
        <v>0</v>
      </c>
      <c r="H49" s="284">
        <f t="shared" si="0"/>
        <v>0</v>
      </c>
      <c r="I49" s="2">
        <f t="shared" si="8"/>
        <v>2044</v>
      </c>
      <c r="J49" s="379">
        <f t="shared" si="1"/>
        <v>25842111.21418317</v>
      </c>
      <c r="K49" s="2">
        <v>25</v>
      </c>
      <c r="L49" s="57">
        <f t="shared" si="2"/>
        <v>189082</v>
      </c>
      <c r="M49" s="62">
        <f t="shared" si="3"/>
        <v>273292.08827069454</v>
      </c>
      <c r="N49" s="2">
        <v>24</v>
      </c>
      <c r="O49" s="57">
        <f t="shared" si="4"/>
        <v>293489</v>
      </c>
      <c r="P49" s="62">
        <f t="shared" si="5"/>
        <v>441509.93388278212</v>
      </c>
      <c r="Q49" s="2">
        <v>23</v>
      </c>
      <c r="R49" s="57">
        <f t="shared" si="9"/>
        <v>283523</v>
      </c>
      <c r="S49" s="62">
        <f t="shared" si="10"/>
        <v>443924.10309974494</v>
      </c>
      <c r="T49" s="2">
        <v>22</v>
      </c>
      <c r="U49" s="57">
        <f t="shared" si="11"/>
        <v>143321</v>
      </c>
      <c r="V49" s="62">
        <f t="shared" si="12"/>
        <v>233561.92141760536</v>
      </c>
      <c r="W49" s="2">
        <v>21</v>
      </c>
      <c r="X49" s="57">
        <f t="shared" si="13"/>
        <v>227851</v>
      </c>
      <c r="Y49" s="62">
        <f t="shared" si="14"/>
        <v>386469.23534374469</v>
      </c>
      <c r="Z49" s="2">
        <v>20</v>
      </c>
      <c r="AA49" s="57">
        <f t="shared" si="15"/>
        <v>238727</v>
      </c>
      <c r="AB49" s="62">
        <f t="shared" si="16"/>
        <v>421441.50931335252</v>
      </c>
      <c r="AC49" s="2">
        <v>19</v>
      </c>
      <c r="AD49" s="57">
        <f t="shared" si="17"/>
        <v>250122</v>
      </c>
      <c r="AE49" s="62">
        <f t="shared" si="18"/>
        <v>459578.2214901002</v>
      </c>
      <c r="AF49" s="2">
        <v>18</v>
      </c>
      <c r="AG49" s="57">
        <f t="shared" si="19"/>
        <v>262060</v>
      </c>
      <c r="AH49" s="62">
        <f t="shared" si="20"/>
        <v>501164.22681639978</v>
      </c>
      <c r="AI49" s="2">
        <v>17</v>
      </c>
      <c r="AJ49" s="57">
        <f t="shared" si="21"/>
        <v>274569</v>
      </c>
      <c r="AK49" s="62">
        <f t="shared" si="22"/>
        <v>546515.65640935663</v>
      </c>
      <c r="AL49" s="2">
        <v>16</v>
      </c>
      <c r="AM49" s="57">
        <f t="shared" si="23"/>
        <v>287675</v>
      </c>
      <c r="AN49" s="62">
        <f t="shared" si="24"/>
        <v>595970.83478329238</v>
      </c>
      <c r="AO49" s="2">
        <v>15</v>
      </c>
      <c r="AP49" s="57">
        <f t="shared" si="25"/>
        <v>301406</v>
      </c>
      <c r="AQ49" s="62">
        <f t="shared" si="26"/>
        <v>649900.03147157759</v>
      </c>
      <c r="AR49" s="2">
        <v>14</v>
      </c>
      <c r="AS49" s="57">
        <f t="shared" si="27"/>
        <v>315793</v>
      </c>
      <c r="AT49" s="62">
        <f t="shared" si="28"/>
        <v>708710.62353725336</v>
      </c>
      <c r="AU49" s="2">
        <v>13</v>
      </c>
      <c r="AV49" s="57">
        <f t="shared" si="29"/>
        <v>330866</v>
      </c>
      <c r="AW49" s="62">
        <f t="shared" si="30"/>
        <v>772841.37442822068</v>
      </c>
      <c r="AX49" s="2">
        <v>12</v>
      </c>
      <c r="AY49" s="57">
        <f t="shared" si="31"/>
        <v>346659</v>
      </c>
      <c r="AZ49" s="62">
        <f t="shared" si="32"/>
        <v>842776.62622626161</v>
      </c>
      <c r="BA49" s="2">
        <v>11</v>
      </c>
      <c r="BB49" s="57">
        <f t="shared" si="33"/>
        <v>363206</v>
      </c>
      <c r="BC49" s="62">
        <f t="shared" si="34"/>
        <v>919040.80844844843</v>
      </c>
      <c r="BD49" s="2">
        <v>10</v>
      </c>
      <c r="BE49" s="57">
        <f t="shared" si="35"/>
        <v>380542</v>
      </c>
      <c r="BF49" s="62">
        <f t="shared" si="36"/>
        <v>1002204.0589114204</v>
      </c>
      <c r="BG49" s="2">
        <v>9</v>
      </c>
      <c r="BH49" s="57">
        <f t="shared" si="37"/>
        <v>398706</v>
      </c>
      <c r="BI49" s="62">
        <f t="shared" si="38"/>
        <v>1092894.1756579925</v>
      </c>
      <c r="BJ49" s="2">
        <v>8</v>
      </c>
      <c r="BK49" s="57">
        <f t="shared" si="39"/>
        <v>417737</v>
      </c>
      <c r="BL49" s="62">
        <f t="shared" si="40"/>
        <v>1191790.894467263</v>
      </c>
      <c r="BM49" s="2">
        <v>7</v>
      </c>
      <c r="BN49" s="57">
        <f t="shared" si="41"/>
        <v>437677</v>
      </c>
      <c r="BO49" s="62">
        <f t="shared" si="42"/>
        <v>1299638.6660735435</v>
      </c>
      <c r="BP49" s="2">
        <v>6</v>
      </c>
      <c r="BQ49" s="57">
        <f t="shared" si="43"/>
        <v>458568</v>
      </c>
      <c r="BR49" s="62">
        <f t="shared" si="44"/>
        <v>1417243.3353011501</v>
      </c>
      <c r="BS49" s="2">
        <v>5</v>
      </c>
      <c r="BT49" s="57">
        <f t="shared" si="45"/>
        <v>480456</v>
      </c>
      <c r="BU49" s="62">
        <f t="shared" si="46"/>
        <v>1545489.5703775317</v>
      </c>
      <c r="BV49" s="2">
        <v>4</v>
      </c>
      <c r="BW49" s="57">
        <f t="shared" si="47"/>
        <v>503389</v>
      </c>
      <c r="BX49" s="62">
        <f t="shared" si="48"/>
        <v>1685341.6658519083</v>
      </c>
      <c r="BY49" s="2">
        <v>3</v>
      </c>
      <c r="BZ49" s="57">
        <f t="shared" si="49"/>
        <v>527417</v>
      </c>
      <c r="CA49" s="62">
        <f t="shared" si="50"/>
        <v>1837850.3273034948</v>
      </c>
      <c r="CB49" s="2">
        <v>2</v>
      </c>
      <c r="CC49" s="57">
        <f t="shared" si="51"/>
        <v>552592</v>
      </c>
      <c r="CD49" s="62">
        <f t="shared" si="52"/>
        <v>2004159.9925061527</v>
      </c>
      <c r="CE49" s="2">
        <v>1</v>
      </c>
      <c r="CF49" s="57">
        <f t="shared" si="53"/>
        <v>578968</v>
      </c>
      <c r="CG49" s="62">
        <f t="shared" si="54"/>
        <v>2185516.7284721723</v>
      </c>
      <c r="CH49" s="2">
        <v>0</v>
      </c>
      <c r="CI49" s="57">
        <f t="shared" ref="CI49:CI80" si="55">$E$48</f>
        <v>606603</v>
      </c>
      <c r="CJ49" s="62">
        <f t="shared" ref="CJ49:CJ80" si="56">SUM($G$10*$G$11*CI49*(EXP(-($G$10*CH49))),$G$10*$G$11*CI49*(EXP(-($G$10*(CH49+0.1)))),$G$10*$G$11*CI49*(EXP(-($G$10*(CH49+0.2)))),$G$10*$G$11*CI49*(EXP(-($G$10*(CH49+0.3)))),$G$10*$G$11*CI49*(EXP(-($G$10*(CH49+0.4)))),$G$10*$G$11*CI49*(EXP(-($G$10*(CH49+0.5)))),$G$10*$G$11*CI49*(EXP(-($G$10*(CH49+0.6)))),$G$10*$G$11*CI49*(EXP(-($G$10*(CH49+0.7)))),$G$10*$G$11*CI49*(EXP(-($G$10*(CH49+0.8)))),$G$10*$G$11*CI49*(EXP(-($G$10*(CH49+0.9)))))/10</f>
        <v>2383284.6043217047</v>
      </c>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361"/>
      <c r="EB49" s="361"/>
      <c r="EC49" s="361"/>
      <c r="ED49" s="361"/>
      <c r="EE49" s="361"/>
      <c r="EF49" s="361"/>
      <c r="EG49" s="361"/>
      <c r="EH49" s="361"/>
      <c r="EI49" s="361"/>
      <c r="EJ49" s="361"/>
      <c r="EK49" s="361"/>
      <c r="EL49" s="361"/>
      <c r="EM49" s="361"/>
      <c r="EN49" s="361"/>
      <c r="EO49" s="361"/>
      <c r="EP49" s="361"/>
      <c r="EQ49" s="361"/>
      <c r="ER49" s="361"/>
      <c r="ES49" s="361"/>
      <c r="ET49" s="361"/>
      <c r="EU49" s="361"/>
      <c r="EV49" s="361"/>
      <c r="EW49" s="361"/>
      <c r="EX49" s="361"/>
      <c r="EY49" s="361"/>
      <c r="EZ49" s="361"/>
      <c r="FA49" s="361"/>
      <c r="FB49" s="361"/>
      <c r="FC49" s="361"/>
      <c r="FD49" s="361"/>
      <c r="FE49" s="361"/>
      <c r="FF49" s="361"/>
      <c r="FG49" s="361"/>
      <c r="FH49" s="361"/>
      <c r="FI49" s="361"/>
      <c r="FJ49" s="361"/>
      <c r="FK49" s="361"/>
      <c r="FL49" s="361"/>
      <c r="FM49" s="361"/>
      <c r="FN49" s="361"/>
      <c r="FO49" s="361"/>
      <c r="FP49" s="361"/>
      <c r="FQ49" s="361"/>
      <c r="FR49" s="361"/>
      <c r="FS49" s="361"/>
      <c r="FT49" s="361"/>
      <c r="FU49" s="361"/>
      <c r="FV49" s="361"/>
      <c r="FW49" s="361"/>
      <c r="FX49" s="361"/>
      <c r="FY49" s="361"/>
      <c r="FZ49" s="361"/>
      <c r="GA49" s="361"/>
      <c r="GB49" s="361"/>
      <c r="GC49" s="361"/>
      <c r="GD49" s="361"/>
      <c r="GE49" s="361"/>
      <c r="GF49" s="361"/>
      <c r="GG49" s="361"/>
      <c r="GH49" s="361"/>
      <c r="GI49" s="361"/>
      <c r="GJ49" s="361"/>
      <c r="GK49" s="361"/>
      <c r="GL49" s="361"/>
      <c r="GM49" s="361"/>
      <c r="GN49" s="361"/>
      <c r="GO49" s="361"/>
      <c r="GP49" s="361"/>
      <c r="GQ49" s="361"/>
      <c r="GR49" s="361"/>
      <c r="GS49" s="361"/>
      <c r="GT49" s="361"/>
      <c r="GU49" s="361"/>
      <c r="GV49" s="361"/>
      <c r="GW49" s="361"/>
      <c r="GX49" s="361"/>
      <c r="GY49" s="361"/>
      <c r="GZ49" s="361"/>
      <c r="HA49" s="361"/>
      <c r="HB49" s="361"/>
      <c r="HC49" s="361"/>
      <c r="HD49" s="361"/>
      <c r="HE49" s="361"/>
      <c r="HF49" s="361"/>
      <c r="HG49" s="361"/>
      <c r="HH49" s="361"/>
      <c r="HI49" s="361"/>
      <c r="HJ49" s="361"/>
      <c r="HK49" s="361"/>
      <c r="HL49" s="361"/>
      <c r="HM49" s="361"/>
      <c r="HN49" s="361"/>
      <c r="HO49" s="361"/>
      <c r="HP49" s="361"/>
      <c r="HQ49" s="361"/>
      <c r="HR49" s="361"/>
      <c r="HS49" s="361"/>
      <c r="HT49" s="361"/>
      <c r="HU49" s="361"/>
      <c r="HV49" s="361"/>
      <c r="HW49" s="361"/>
      <c r="HX49" s="361"/>
      <c r="HY49" s="361"/>
      <c r="HZ49" s="361"/>
      <c r="IA49" s="361"/>
      <c r="IB49" s="361"/>
      <c r="IC49" s="361"/>
      <c r="ID49" s="361"/>
      <c r="IE49" s="361"/>
      <c r="IF49" s="361"/>
      <c r="IG49" s="361"/>
      <c r="IH49" s="361"/>
      <c r="II49" s="361"/>
      <c r="IJ49" s="361"/>
      <c r="IK49" s="361"/>
      <c r="IL49" s="361"/>
      <c r="IM49" s="361"/>
      <c r="IN49" s="361"/>
      <c r="IO49" s="361"/>
      <c r="IP49" s="361"/>
    </row>
    <row r="50" spans="2:250">
      <c r="B50" s="56">
        <f>'USER INPUTS'!J35</f>
        <v>2045</v>
      </c>
      <c r="C50" s="420">
        <f>IF(OR(AND(ClosureCalcYes=TRUE,WasteCapacity=""),AND(ClosureCalcYes=FALSE,ClosureYear="")),0,IF('USER INPUTS'!K35&gt;0,IF('USER INPUTS'!$K$4="Mg/year",'USER INPUTS'!K35,'USER INPUTS'!L35),0))</f>
        <v>665894</v>
      </c>
      <c r="D50" s="420">
        <f t="shared" si="6"/>
        <v>10086562</v>
      </c>
      <c r="E50" s="420">
        <f>IF(ClosureCalcYes=FALSE,IF(AND(B50&lt;ClosureYear,C50=0,SUM(C50:$C$102)=0),$D$13,IF(B50&lt;=ClosureYear,C50,0)),IF(B50=$D$16,($D$14-F50),IF(B50&lt;$D$16,IF(SUM(C50:$C$102)=0,$D$13,C50),0)))</f>
        <v>665894</v>
      </c>
      <c r="F50" s="66">
        <f t="shared" si="7"/>
        <v>10086562</v>
      </c>
      <c r="G50" s="284">
        <f>IF(SUM(C51:$C$101)=0,C50,0)</f>
        <v>0</v>
      </c>
      <c r="H50" s="284">
        <f t="shared" si="0"/>
        <v>0</v>
      </c>
      <c r="I50" s="2">
        <f t="shared" si="8"/>
        <v>2045</v>
      </c>
      <c r="J50" s="379">
        <f t="shared" si="1"/>
        <v>27325873.5429799</v>
      </c>
      <c r="K50" s="2">
        <v>26</v>
      </c>
      <c r="L50" s="57">
        <f t="shared" si="2"/>
        <v>189082</v>
      </c>
      <c r="M50" s="62">
        <f t="shared" si="3"/>
        <v>262576.15221436776</v>
      </c>
      <c r="N50" s="2">
        <v>25</v>
      </c>
      <c r="O50" s="57">
        <f t="shared" si="4"/>
        <v>293489</v>
      </c>
      <c r="P50" s="62">
        <f t="shared" si="5"/>
        <v>424198.08175541752</v>
      </c>
      <c r="Q50" s="2">
        <v>24</v>
      </c>
      <c r="R50" s="57">
        <f t="shared" si="9"/>
        <v>283523</v>
      </c>
      <c r="S50" s="62">
        <f t="shared" si="10"/>
        <v>426517.5900434021</v>
      </c>
      <c r="T50" s="2">
        <v>23</v>
      </c>
      <c r="U50" s="57">
        <f t="shared" si="11"/>
        <v>143321</v>
      </c>
      <c r="V50" s="62">
        <f t="shared" si="12"/>
        <v>224403.82748615998</v>
      </c>
      <c r="W50" s="2">
        <v>22</v>
      </c>
      <c r="X50" s="57">
        <f t="shared" si="13"/>
        <v>227851</v>
      </c>
      <c r="Y50" s="62">
        <f t="shared" si="14"/>
        <v>371315.55987554369</v>
      </c>
      <c r="Z50" s="2">
        <v>21</v>
      </c>
      <c r="AA50" s="57">
        <f t="shared" si="15"/>
        <v>238727</v>
      </c>
      <c r="AB50" s="62">
        <f t="shared" si="16"/>
        <v>404916.55136868457</v>
      </c>
      <c r="AC50" s="2">
        <v>20</v>
      </c>
      <c r="AD50" s="57">
        <f t="shared" si="17"/>
        <v>250122</v>
      </c>
      <c r="AE50" s="62">
        <f t="shared" si="18"/>
        <v>441557.90167209564</v>
      </c>
      <c r="AF50" s="2">
        <v>19</v>
      </c>
      <c r="AG50" s="57">
        <f t="shared" si="19"/>
        <v>262060</v>
      </c>
      <c r="AH50" s="62">
        <f t="shared" si="20"/>
        <v>481513.29640613648</v>
      </c>
      <c r="AI50" s="2">
        <v>18</v>
      </c>
      <c r="AJ50" s="57">
        <f t="shared" si="21"/>
        <v>274569</v>
      </c>
      <c r="AK50" s="62">
        <f t="shared" si="22"/>
        <v>525086.47100950964</v>
      </c>
      <c r="AL50" s="2">
        <v>17</v>
      </c>
      <c r="AM50" s="57">
        <f t="shared" si="23"/>
        <v>287675</v>
      </c>
      <c r="AN50" s="62">
        <f t="shared" si="24"/>
        <v>572602.48410258139</v>
      </c>
      <c r="AO50" s="2">
        <v>16</v>
      </c>
      <c r="AP50" s="57">
        <f t="shared" si="25"/>
        <v>301406</v>
      </c>
      <c r="AQ50" s="62">
        <f t="shared" si="26"/>
        <v>624417.08674265421</v>
      </c>
      <c r="AR50" s="2">
        <v>15</v>
      </c>
      <c r="AS50" s="57">
        <f t="shared" si="27"/>
        <v>315793</v>
      </c>
      <c r="AT50" s="62">
        <f t="shared" si="28"/>
        <v>680921.68250965106</v>
      </c>
      <c r="AU50" s="2">
        <v>14</v>
      </c>
      <c r="AV50" s="57">
        <f t="shared" si="29"/>
        <v>330866</v>
      </c>
      <c r="AW50" s="62">
        <f t="shared" si="30"/>
        <v>742537.83069060091</v>
      </c>
      <c r="AX50" s="2">
        <v>13</v>
      </c>
      <c r="AY50" s="57">
        <f t="shared" si="31"/>
        <v>346659</v>
      </c>
      <c r="AZ50" s="62">
        <f t="shared" si="32"/>
        <v>809730.8820426173</v>
      </c>
      <c r="BA50" s="2">
        <v>12</v>
      </c>
      <c r="BB50" s="57">
        <f t="shared" si="33"/>
        <v>363206</v>
      </c>
      <c r="BC50" s="62">
        <f t="shared" si="34"/>
        <v>883004.70290728228</v>
      </c>
      <c r="BD50" s="2">
        <v>11</v>
      </c>
      <c r="BE50" s="57">
        <f t="shared" si="35"/>
        <v>380542</v>
      </c>
      <c r="BF50" s="62">
        <f t="shared" si="36"/>
        <v>962907.07567768567</v>
      </c>
      <c r="BG50" s="2">
        <v>10</v>
      </c>
      <c r="BH50" s="57">
        <f t="shared" si="37"/>
        <v>398706</v>
      </c>
      <c r="BI50" s="62">
        <f t="shared" si="38"/>
        <v>1050041.1820832831</v>
      </c>
      <c r="BJ50" s="2">
        <v>9</v>
      </c>
      <c r="BK50" s="57">
        <f t="shared" si="39"/>
        <v>417737</v>
      </c>
      <c r="BL50" s="62">
        <f t="shared" si="40"/>
        <v>1145060.1050820476</v>
      </c>
      <c r="BM50" s="2">
        <v>8</v>
      </c>
      <c r="BN50" s="57">
        <f t="shared" si="41"/>
        <v>437677</v>
      </c>
      <c r="BO50" s="62">
        <f t="shared" si="42"/>
        <v>1248679.105077473</v>
      </c>
      <c r="BP50" s="2">
        <v>7</v>
      </c>
      <c r="BQ50" s="57">
        <f t="shared" si="43"/>
        <v>458568</v>
      </c>
      <c r="BR50" s="62">
        <f t="shared" si="44"/>
        <v>1361672.4292663601</v>
      </c>
      <c r="BS50" s="2">
        <v>6</v>
      </c>
      <c r="BT50" s="57">
        <f t="shared" si="45"/>
        <v>480456</v>
      </c>
      <c r="BU50" s="62">
        <f t="shared" si="46"/>
        <v>1484890.0575387932</v>
      </c>
      <c r="BV50" s="2">
        <v>5</v>
      </c>
      <c r="BW50" s="57">
        <f t="shared" si="47"/>
        <v>503389</v>
      </c>
      <c r="BX50" s="62">
        <f t="shared" si="48"/>
        <v>1619258.4739138964</v>
      </c>
      <c r="BY50" s="2">
        <v>4</v>
      </c>
      <c r="BZ50" s="57">
        <f t="shared" si="49"/>
        <v>527417</v>
      </c>
      <c r="CA50" s="62">
        <f t="shared" si="50"/>
        <v>1765787.1852158387</v>
      </c>
      <c r="CB50" s="2">
        <v>3</v>
      </c>
      <c r="CC50" s="57">
        <f t="shared" si="51"/>
        <v>552592</v>
      </c>
      <c r="CD50" s="62">
        <f t="shared" si="52"/>
        <v>1925575.7551715113</v>
      </c>
      <c r="CE50" s="2">
        <v>2</v>
      </c>
      <c r="CF50" s="57">
        <f t="shared" si="53"/>
        <v>578968</v>
      </c>
      <c r="CG50" s="62">
        <f t="shared" si="54"/>
        <v>2099821.3918067985</v>
      </c>
      <c r="CH50" s="2">
        <v>1</v>
      </c>
      <c r="CI50" s="57">
        <f t="shared" si="55"/>
        <v>606603</v>
      </c>
      <c r="CJ50" s="62">
        <f t="shared" si="56"/>
        <v>2289834.6783266179</v>
      </c>
      <c r="CK50" s="2">
        <v>0</v>
      </c>
      <c r="CL50" s="57">
        <f t="shared" ref="CL50:CL81" si="57">$E$49</f>
        <v>635558</v>
      </c>
      <c r="CM50" s="62">
        <f t="shared" ref="CM50:CM81" si="58">SUM($G$10*$G$11*CL50*(EXP(-($G$10*CK50))),$G$10*$G$11*CL50*(EXP(-($G$10*(CK50+0.1)))),$G$10*$G$11*CL50*(EXP(-($G$10*(CK50+0.2)))),$G$10*$G$11*CL50*(EXP(-($G$10*(CK50+0.3)))),$G$10*$G$11*CL50*(EXP(-($G$10*(CK50+0.4)))),$G$10*$G$11*CL50*(EXP(-($G$10*(CK50+0.5)))),$G$10*$G$11*CL50*(EXP(-($G$10*(CK50+0.6)))),$G$10*$G$11*CL50*(EXP(-($G$10*(CK50+0.7)))),$G$10*$G$11*CL50*(EXP(-($G$10*(CK50+0.8)))),$G$10*$G$11*CL50*(EXP(-($G$10*(CK50+0.9)))))/10</f>
        <v>2497046.0029928866</v>
      </c>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361"/>
      <c r="EB50" s="361"/>
      <c r="EC50" s="361"/>
      <c r="ED50" s="361"/>
      <c r="EE50" s="361"/>
      <c r="EF50" s="361"/>
      <c r="EG50" s="361"/>
      <c r="EH50" s="361"/>
      <c r="EI50" s="361"/>
      <c r="EJ50" s="361"/>
      <c r="EK50" s="361"/>
      <c r="EL50" s="361"/>
      <c r="EM50" s="361"/>
      <c r="EN50" s="361"/>
      <c r="EO50" s="361"/>
      <c r="EP50" s="361"/>
      <c r="EQ50" s="361"/>
      <c r="ER50" s="361"/>
      <c r="ES50" s="361"/>
      <c r="ET50" s="361"/>
      <c r="EU50" s="361"/>
      <c r="EV50" s="361"/>
      <c r="EW50" s="361"/>
      <c r="EX50" s="361"/>
      <c r="EY50" s="361"/>
      <c r="EZ50" s="361"/>
      <c r="FA50" s="361"/>
      <c r="FB50" s="361"/>
      <c r="FC50" s="361"/>
      <c r="FD50" s="361"/>
      <c r="FE50" s="361"/>
      <c r="FF50" s="361"/>
      <c r="FG50" s="361"/>
      <c r="FH50" s="361"/>
      <c r="FI50" s="361"/>
      <c r="FJ50" s="361"/>
      <c r="FK50" s="361"/>
      <c r="FL50" s="361"/>
      <c r="FM50" s="361"/>
      <c r="FN50" s="361"/>
      <c r="FO50" s="361"/>
      <c r="FP50" s="361"/>
      <c r="FQ50" s="361"/>
      <c r="FR50" s="361"/>
      <c r="FS50" s="361"/>
      <c r="FT50" s="361"/>
      <c r="FU50" s="361"/>
      <c r="FV50" s="361"/>
      <c r="FW50" s="361"/>
      <c r="FX50" s="361"/>
      <c r="FY50" s="361"/>
      <c r="FZ50" s="361"/>
      <c r="GA50" s="361"/>
      <c r="GB50" s="361"/>
      <c r="GC50" s="361"/>
      <c r="GD50" s="361"/>
      <c r="GE50" s="361"/>
      <c r="GF50" s="361"/>
      <c r="GG50" s="361"/>
      <c r="GH50" s="361"/>
      <c r="GI50" s="361"/>
      <c r="GJ50" s="361"/>
      <c r="GK50" s="361"/>
      <c r="GL50" s="361"/>
      <c r="GM50" s="361"/>
      <c r="GN50" s="361"/>
      <c r="GO50" s="361"/>
      <c r="GP50" s="361"/>
      <c r="GQ50" s="361"/>
      <c r="GR50" s="361"/>
      <c r="GS50" s="361"/>
      <c r="GT50" s="361"/>
      <c r="GU50" s="361"/>
      <c r="GV50" s="361"/>
      <c r="GW50" s="361"/>
      <c r="GX50" s="361"/>
      <c r="GY50" s="361"/>
      <c r="GZ50" s="361"/>
      <c r="HA50" s="361"/>
      <c r="HB50" s="361"/>
      <c r="HC50" s="361"/>
      <c r="HD50" s="361"/>
      <c r="HE50" s="361"/>
      <c r="HF50" s="361"/>
      <c r="HG50" s="361"/>
      <c r="HH50" s="361"/>
      <c r="HI50" s="361"/>
      <c r="HJ50" s="361"/>
      <c r="HK50" s="361"/>
      <c r="HL50" s="361"/>
      <c r="HM50" s="361"/>
      <c r="HN50" s="361"/>
      <c r="HO50" s="361"/>
      <c r="HP50" s="361"/>
      <c r="HQ50" s="361"/>
      <c r="HR50" s="361"/>
      <c r="HS50" s="361"/>
      <c r="HT50" s="361"/>
      <c r="HU50" s="361"/>
      <c r="HV50" s="361"/>
      <c r="HW50" s="361"/>
      <c r="HX50" s="361"/>
      <c r="HY50" s="361"/>
      <c r="HZ50" s="361"/>
      <c r="IA50" s="361"/>
      <c r="IB50" s="361"/>
      <c r="IC50" s="361"/>
      <c r="ID50" s="361"/>
      <c r="IE50" s="361"/>
      <c r="IF50" s="361"/>
      <c r="IG50" s="361"/>
      <c r="IH50" s="361"/>
      <c r="II50" s="361"/>
      <c r="IJ50" s="361"/>
      <c r="IK50" s="361"/>
      <c r="IL50" s="361"/>
      <c r="IM50" s="361"/>
      <c r="IN50" s="361"/>
      <c r="IO50" s="361"/>
      <c r="IP50" s="361"/>
    </row>
    <row r="51" spans="2:250">
      <c r="B51" s="56">
        <f>'USER INPUTS'!J36</f>
        <v>2046</v>
      </c>
      <c r="C51" s="420">
        <f>IF(OR(AND(ClosureCalcYes=TRUE,WasteCapacity=""),AND(ClosureCalcYes=FALSE,ClosureYear="")),0,IF('USER INPUTS'!K36&gt;0,IF('USER INPUTS'!$K$4="Mg/year",'USER INPUTS'!K36,'USER INPUTS'!L36),0))</f>
        <v>697679</v>
      </c>
      <c r="D51" s="420">
        <f t="shared" si="6"/>
        <v>10752456</v>
      </c>
      <c r="E51" s="420">
        <f>IF(ClosureCalcYes=FALSE,IF(AND(B51&lt;ClosureYear,C51=0,SUM(C51:$C$102)=0),$D$13,IF(B51&lt;=ClosureYear,C51,0)),IF(B51=$D$16,($D$14-F51),IF(B51&lt;$D$16,IF(SUM(C51:$C$102)=0,$D$13,C51),0)))</f>
        <v>697679</v>
      </c>
      <c r="F51" s="66">
        <f t="shared" si="7"/>
        <v>10752456</v>
      </c>
      <c r="G51" s="284">
        <f>IF(SUM(C52:$C$101)=0,C51,0)</f>
        <v>0</v>
      </c>
      <c r="H51" s="284">
        <f t="shared" si="0"/>
        <v>0</v>
      </c>
      <c r="I51" s="2">
        <f t="shared" si="8"/>
        <v>2046</v>
      </c>
      <c r="J51" s="379">
        <f t="shared" si="1"/>
        <v>28870643.933000967</v>
      </c>
      <c r="K51" s="2">
        <v>27</v>
      </c>
      <c r="L51" s="57">
        <f t="shared" si="2"/>
        <v>189082</v>
      </c>
      <c r="M51" s="62">
        <f t="shared" si="3"/>
        <v>252280.39402081748</v>
      </c>
      <c r="N51" s="2">
        <v>26</v>
      </c>
      <c r="O51" s="57">
        <f t="shared" si="4"/>
        <v>293489</v>
      </c>
      <c r="P51" s="62">
        <f t="shared" si="5"/>
        <v>407565.03705927898</v>
      </c>
      <c r="Q51" s="2">
        <v>25</v>
      </c>
      <c r="R51" s="57">
        <f t="shared" si="9"/>
        <v>283523</v>
      </c>
      <c r="S51" s="62">
        <f t="shared" si="10"/>
        <v>409793.59612640075</v>
      </c>
      <c r="T51" s="2">
        <v>24</v>
      </c>
      <c r="U51" s="57">
        <f t="shared" si="11"/>
        <v>143321</v>
      </c>
      <c r="V51" s="62">
        <f t="shared" si="12"/>
        <v>215604.82755406239</v>
      </c>
      <c r="W51" s="2">
        <v>23</v>
      </c>
      <c r="X51" s="57">
        <f t="shared" si="13"/>
        <v>227851</v>
      </c>
      <c r="Y51" s="62">
        <f t="shared" si="14"/>
        <v>356756.06852135446</v>
      </c>
      <c r="Z51" s="2">
        <v>22</v>
      </c>
      <c r="AA51" s="57">
        <f t="shared" si="15"/>
        <v>238727</v>
      </c>
      <c r="AB51" s="62">
        <f t="shared" si="16"/>
        <v>389039.54629301128</v>
      </c>
      <c r="AC51" s="2">
        <v>21</v>
      </c>
      <c r="AD51" s="57">
        <f t="shared" si="17"/>
        <v>250122</v>
      </c>
      <c r="AE51" s="62">
        <f t="shared" si="18"/>
        <v>424244.16870080942</v>
      </c>
      <c r="AF51" s="2">
        <v>20</v>
      </c>
      <c r="AG51" s="57">
        <f t="shared" si="19"/>
        <v>262060</v>
      </c>
      <c r="AH51" s="62">
        <f t="shared" si="20"/>
        <v>462632.88999843819</v>
      </c>
      <c r="AI51" s="2">
        <v>19</v>
      </c>
      <c r="AJ51" s="57">
        <f t="shared" si="21"/>
        <v>274569</v>
      </c>
      <c r="AK51" s="62">
        <f t="shared" si="22"/>
        <v>504497.53598769929</v>
      </c>
      <c r="AL51" s="2">
        <v>18</v>
      </c>
      <c r="AM51" s="57">
        <f t="shared" si="23"/>
        <v>287675</v>
      </c>
      <c r="AN51" s="62">
        <f t="shared" si="24"/>
        <v>550150.41955814615</v>
      </c>
      <c r="AO51" s="2">
        <v>17</v>
      </c>
      <c r="AP51" s="57">
        <f t="shared" si="25"/>
        <v>301406</v>
      </c>
      <c r="AQ51" s="62">
        <f t="shared" si="26"/>
        <v>599933.34256860218</v>
      </c>
      <c r="AR51" s="2">
        <v>16</v>
      </c>
      <c r="AS51" s="57">
        <f t="shared" si="27"/>
        <v>315793</v>
      </c>
      <c r="AT51" s="62">
        <f t="shared" si="28"/>
        <v>654222.36144510389</v>
      </c>
      <c r="AU51" s="2">
        <v>15</v>
      </c>
      <c r="AV51" s="57">
        <f t="shared" si="29"/>
        <v>330866</v>
      </c>
      <c r="AW51" s="62">
        <f t="shared" si="30"/>
        <v>713422.50589860522</v>
      </c>
      <c r="AX51" s="2">
        <v>14</v>
      </c>
      <c r="AY51" s="57">
        <f t="shared" si="31"/>
        <v>346659</v>
      </c>
      <c r="AZ51" s="62">
        <f t="shared" si="32"/>
        <v>777980.8800220422</v>
      </c>
      <c r="BA51" s="2">
        <v>13</v>
      </c>
      <c r="BB51" s="57">
        <f t="shared" si="33"/>
        <v>363206</v>
      </c>
      <c r="BC51" s="62">
        <f t="shared" si="34"/>
        <v>848381.59327515156</v>
      </c>
      <c r="BD51" s="2">
        <v>12</v>
      </c>
      <c r="BE51" s="57">
        <f t="shared" si="35"/>
        <v>380542</v>
      </c>
      <c r="BF51" s="62">
        <f t="shared" si="36"/>
        <v>925150.94919616706</v>
      </c>
      <c r="BG51" s="2">
        <v>11</v>
      </c>
      <c r="BH51" s="57">
        <f t="shared" si="37"/>
        <v>398706</v>
      </c>
      <c r="BI51" s="62">
        <f t="shared" si="38"/>
        <v>1008868.4784206401</v>
      </c>
      <c r="BJ51" s="2">
        <v>10</v>
      </c>
      <c r="BK51" s="57">
        <f t="shared" si="39"/>
        <v>417737</v>
      </c>
      <c r="BL51" s="62">
        <f t="shared" si="40"/>
        <v>1100161.656157481</v>
      </c>
      <c r="BM51" s="2">
        <v>9</v>
      </c>
      <c r="BN51" s="57">
        <f t="shared" si="41"/>
        <v>437677</v>
      </c>
      <c r="BO51" s="62">
        <f t="shared" si="42"/>
        <v>1199717.6970486103</v>
      </c>
      <c r="BP51" s="2">
        <v>8</v>
      </c>
      <c r="BQ51" s="57">
        <f t="shared" si="43"/>
        <v>458568</v>
      </c>
      <c r="BR51" s="62">
        <f t="shared" si="44"/>
        <v>1308280.4896240074</v>
      </c>
      <c r="BS51" s="2">
        <v>7</v>
      </c>
      <c r="BT51" s="57">
        <f t="shared" si="45"/>
        <v>480456</v>
      </c>
      <c r="BU51" s="62">
        <f t="shared" si="46"/>
        <v>1426666.6855855579</v>
      </c>
      <c r="BV51" s="2">
        <v>6</v>
      </c>
      <c r="BW51" s="57">
        <f t="shared" si="47"/>
        <v>503389</v>
      </c>
      <c r="BX51" s="62">
        <f t="shared" si="48"/>
        <v>1555766.4409943796</v>
      </c>
      <c r="BY51" s="2">
        <v>5</v>
      </c>
      <c r="BZ51" s="57">
        <f t="shared" si="49"/>
        <v>527417</v>
      </c>
      <c r="CA51" s="62">
        <f t="shared" si="50"/>
        <v>1696549.6793458848</v>
      </c>
      <c r="CB51" s="2">
        <v>4</v>
      </c>
      <c r="CC51" s="57">
        <f t="shared" si="51"/>
        <v>552592</v>
      </c>
      <c r="CD51" s="62">
        <f t="shared" si="52"/>
        <v>1850072.8498565473</v>
      </c>
      <c r="CE51" s="2">
        <v>3</v>
      </c>
      <c r="CF51" s="57">
        <f t="shared" si="53"/>
        <v>578968</v>
      </c>
      <c r="CG51" s="62">
        <f t="shared" si="54"/>
        <v>2017486.2173541046</v>
      </c>
      <c r="CH51" s="2">
        <v>2</v>
      </c>
      <c r="CI51" s="57">
        <f t="shared" si="55"/>
        <v>606603</v>
      </c>
      <c r="CJ51" s="62">
        <f t="shared" si="56"/>
        <v>2200048.976340971</v>
      </c>
      <c r="CK51" s="2">
        <v>1</v>
      </c>
      <c r="CL51" s="57">
        <f t="shared" si="57"/>
        <v>635558</v>
      </c>
      <c r="CM51" s="62">
        <f t="shared" si="58"/>
        <v>2399135.4287530864</v>
      </c>
      <c r="CN51" s="2">
        <v>0</v>
      </c>
      <c r="CO51" s="57">
        <f t="shared" ref="CO51:CO82" si="59">$E$50</f>
        <v>665894</v>
      </c>
      <c r="CP51" s="62">
        <f t="shared" ref="CP51:CP82" si="60">SUM($G$10*$G$11*CO51*(EXP(-($G$10*CN51))),$G$10*$G$11*CO51*(EXP(-($G$10*(CN51+0.1)))),$G$10*$G$11*CO51*(EXP(-($G$10*(CN51+0.2)))),$G$10*$G$11*CO51*(EXP(-($G$10*(CN51+0.3)))),$G$10*$G$11*CO51*(EXP(-($G$10*(CN51+0.4)))),$G$10*$G$11*CO51*(EXP(-($G$10*(CN51+0.5)))),$G$10*$G$11*CO51*(EXP(-($G$10*(CN51+0.6)))),$G$10*$G$11*CO51*(EXP(-($G$10*(CN51+0.7)))),$G$10*$G$11*CO51*(EXP(-($G$10*(CN51+0.8)))),$G$10*$G$11*CO51*(EXP(-($G$10*(CN51+0.9)))))/10</f>
        <v>2616233.2172940085</v>
      </c>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361"/>
      <c r="EB51" s="361"/>
      <c r="EC51" s="361"/>
      <c r="ED51" s="361"/>
      <c r="EE51" s="361"/>
      <c r="EF51" s="361"/>
      <c r="EG51" s="361"/>
      <c r="EH51" s="361"/>
      <c r="EI51" s="361"/>
      <c r="EJ51" s="361"/>
      <c r="EK51" s="361"/>
      <c r="EL51" s="361"/>
      <c r="EM51" s="361"/>
      <c r="EN51" s="361"/>
      <c r="EO51" s="361"/>
      <c r="EP51" s="361"/>
      <c r="EQ51" s="361"/>
      <c r="ER51" s="361"/>
      <c r="ES51" s="361"/>
      <c r="ET51" s="361"/>
      <c r="EU51" s="361"/>
      <c r="EV51" s="361"/>
      <c r="EW51" s="361"/>
      <c r="EX51" s="361"/>
      <c r="EY51" s="361"/>
      <c r="EZ51" s="361"/>
      <c r="FA51" s="361"/>
      <c r="FB51" s="361"/>
      <c r="FC51" s="361"/>
      <c r="FD51" s="361"/>
      <c r="FE51" s="361"/>
      <c r="FF51" s="361"/>
      <c r="FG51" s="361"/>
      <c r="FH51" s="361"/>
      <c r="FI51" s="361"/>
      <c r="FJ51" s="361"/>
      <c r="FK51" s="361"/>
      <c r="FL51" s="361"/>
      <c r="FM51" s="361"/>
      <c r="FN51" s="361"/>
      <c r="FO51" s="361"/>
      <c r="FP51" s="361"/>
      <c r="FQ51" s="361"/>
      <c r="FR51" s="361"/>
      <c r="FS51" s="361"/>
      <c r="FT51" s="361"/>
      <c r="FU51" s="361"/>
      <c r="FV51" s="361"/>
      <c r="FW51" s="361"/>
      <c r="FX51" s="361"/>
      <c r="FY51" s="361"/>
      <c r="FZ51" s="361"/>
      <c r="GA51" s="361"/>
      <c r="GB51" s="361"/>
      <c r="GC51" s="361"/>
      <c r="GD51" s="361"/>
      <c r="GE51" s="361"/>
      <c r="GF51" s="361"/>
      <c r="GG51" s="361"/>
      <c r="GH51" s="361"/>
      <c r="GI51" s="361"/>
      <c r="GJ51" s="361"/>
      <c r="GK51" s="361"/>
      <c r="GL51" s="361"/>
      <c r="GM51" s="361"/>
      <c r="GN51" s="361"/>
      <c r="GO51" s="361"/>
      <c r="GP51" s="361"/>
      <c r="GQ51" s="361"/>
      <c r="GR51" s="361"/>
      <c r="GS51" s="361"/>
      <c r="GT51" s="361"/>
      <c r="GU51" s="361"/>
      <c r="GV51" s="361"/>
      <c r="GW51" s="361"/>
      <c r="GX51" s="361"/>
      <c r="GY51" s="361"/>
      <c r="GZ51" s="361"/>
      <c r="HA51" s="361"/>
      <c r="HB51" s="361"/>
      <c r="HC51" s="361"/>
      <c r="HD51" s="361"/>
      <c r="HE51" s="361"/>
      <c r="HF51" s="361"/>
      <c r="HG51" s="361"/>
      <c r="HH51" s="361"/>
      <c r="HI51" s="361"/>
      <c r="HJ51" s="361"/>
      <c r="HK51" s="361"/>
      <c r="HL51" s="361"/>
      <c r="HM51" s="361"/>
      <c r="HN51" s="361"/>
      <c r="HO51" s="361"/>
      <c r="HP51" s="361"/>
      <c r="HQ51" s="361"/>
      <c r="HR51" s="361"/>
      <c r="HS51" s="361"/>
      <c r="HT51" s="361"/>
      <c r="HU51" s="361"/>
      <c r="HV51" s="361"/>
      <c r="HW51" s="361"/>
      <c r="HX51" s="361"/>
      <c r="HY51" s="361"/>
      <c r="HZ51" s="361"/>
      <c r="IA51" s="361"/>
      <c r="IB51" s="361"/>
      <c r="IC51" s="361"/>
      <c r="ID51" s="361"/>
      <c r="IE51" s="361"/>
      <c r="IF51" s="361"/>
      <c r="IG51" s="361"/>
      <c r="IH51" s="361"/>
      <c r="II51" s="361"/>
      <c r="IJ51" s="361"/>
      <c r="IK51" s="361"/>
      <c r="IL51" s="361"/>
      <c r="IM51" s="361"/>
      <c r="IN51" s="361"/>
      <c r="IO51" s="361"/>
      <c r="IP51" s="361"/>
    </row>
    <row r="52" spans="2:250">
      <c r="B52" s="56">
        <f>'USER INPUTS'!J37</f>
        <v>2047</v>
      </c>
      <c r="C52" s="420">
        <f>IF(OR(AND(ClosureCalcYes=TRUE,WasteCapacity=""),AND(ClosureCalcYes=FALSE,ClosureYear="")),0,IF('USER INPUTS'!K37&gt;0,IF('USER INPUTS'!$K$4="Mg/year",'USER INPUTS'!K37,'USER INPUTS'!L37),0))</f>
        <v>730980</v>
      </c>
      <c r="D52" s="420">
        <f t="shared" si="6"/>
        <v>11450135</v>
      </c>
      <c r="E52" s="420">
        <f>IF(ClosureCalcYes=FALSE,IF(AND(B52&lt;ClosureYear,C52=0,SUM(C52:$C$102)=0),$D$13,IF(B52&lt;=ClosureYear,C52,0)),IF(B52=$D$16,($D$14-F52),IF(B52&lt;$D$16,IF(SUM(C52:$C$102)=0,$D$13,C52),0)))</f>
        <v>730980</v>
      </c>
      <c r="F52" s="66">
        <f t="shared" si="7"/>
        <v>11450135</v>
      </c>
      <c r="G52" s="284">
        <f>IF(SUM(C53:$C$101)=0,C52,0)</f>
        <v>0</v>
      </c>
      <c r="H52" s="284">
        <f t="shared" si="0"/>
        <v>0</v>
      </c>
      <c r="I52" s="2">
        <f t="shared" si="8"/>
        <v>2047</v>
      </c>
      <c r="J52" s="379">
        <f t="shared" si="1"/>
        <v>30479723.205012403</v>
      </c>
      <c r="K52" s="2">
        <v>28</v>
      </c>
      <c r="L52" s="57">
        <f t="shared" si="2"/>
        <v>189082</v>
      </c>
      <c r="M52" s="62">
        <f t="shared" si="3"/>
        <v>242388.3382803883</v>
      </c>
      <c r="N52" s="2">
        <v>27</v>
      </c>
      <c r="O52" s="57">
        <f t="shared" si="4"/>
        <v>293489</v>
      </c>
      <c r="P52" s="62">
        <f t="shared" si="5"/>
        <v>391584.18337428052</v>
      </c>
      <c r="Q52" s="2">
        <v>26</v>
      </c>
      <c r="R52" s="57">
        <f t="shared" si="9"/>
        <v>283523</v>
      </c>
      <c r="S52" s="62">
        <f t="shared" si="10"/>
        <v>393725.35939049826</v>
      </c>
      <c r="T52" s="2">
        <v>25</v>
      </c>
      <c r="U52" s="57">
        <f t="shared" si="11"/>
        <v>143321</v>
      </c>
      <c r="V52" s="62">
        <f t="shared" si="12"/>
        <v>207150.84134420095</v>
      </c>
      <c r="W52" s="2">
        <v>24</v>
      </c>
      <c r="X52" s="57">
        <f t="shared" si="13"/>
        <v>227851</v>
      </c>
      <c r="Y52" s="62">
        <f t="shared" si="14"/>
        <v>342767.46298881993</v>
      </c>
      <c r="Z52" s="2">
        <v>23</v>
      </c>
      <c r="AA52" s="57">
        <f t="shared" si="15"/>
        <v>238727</v>
      </c>
      <c r="AB52" s="62">
        <f t="shared" si="16"/>
        <v>373785.08749093662</v>
      </c>
      <c r="AC52" s="2">
        <v>22</v>
      </c>
      <c r="AD52" s="57">
        <f t="shared" si="17"/>
        <v>250122</v>
      </c>
      <c r="AE52" s="62">
        <f t="shared" si="18"/>
        <v>407609.31690969429</v>
      </c>
      <c r="AF52" s="2">
        <v>21</v>
      </c>
      <c r="AG52" s="57">
        <f t="shared" si="19"/>
        <v>262060</v>
      </c>
      <c r="AH52" s="62">
        <f t="shared" si="20"/>
        <v>444492.79491501796</v>
      </c>
      <c r="AI52" s="2">
        <v>20</v>
      </c>
      <c r="AJ52" s="57">
        <f t="shared" si="21"/>
        <v>274569</v>
      </c>
      <c r="AK52" s="62">
        <f t="shared" si="22"/>
        <v>484715.90465535066</v>
      </c>
      <c r="AL52" s="2">
        <v>19</v>
      </c>
      <c r="AM52" s="57">
        <f t="shared" si="23"/>
        <v>287675</v>
      </c>
      <c r="AN52" s="62">
        <f t="shared" si="24"/>
        <v>528578.71305668657</v>
      </c>
      <c r="AO52" s="2">
        <v>18</v>
      </c>
      <c r="AP52" s="57">
        <f t="shared" si="25"/>
        <v>301406</v>
      </c>
      <c r="AQ52" s="62">
        <f t="shared" si="26"/>
        <v>576409.61973526597</v>
      </c>
      <c r="AR52" s="2">
        <v>17</v>
      </c>
      <c r="AS52" s="57">
        <f t="shared" si="27"/>
        <v>315793</v>
      </c>
      <c r="AT52" s="62">
        <f t="shared" si="28"/>
        <v>628569.93573374976</v>
      </c>
      <c r="AU52" s="2">
        <v>16</v>
      </c>
      <c r="AV52" s="57">
        <f t="shared" si="29"/>
        <v>330866</v>
      </c>
      <c r="AW52" s="62">
        <f t="shared" si="30"/>
        <v>685448.80932096578</v>
      </c>
      <c r="AX52" s="2">
        <v>15</v>
      </c>
      <c r="AY52" s="57">
        <f t="shared" si="31"/>
        <v>346659</v>
      </c>
      <c r="AZ52" s="62">
        <f t="shared" si="32"/>
        <v>747475.81338760874</v>
      </c>
      <c r="BA52" s="2">
        <v>14</v>
      </c>
      <c r="BB52" s="57">
        <f t="shared" si="33"/>
        <v>363206</v>
      </c>
      <c r="BC52" s="62">
        <f t="shared" si="34"/>
        <v>815116.07518998731</v>
      </c>
      <c r="BD52" s="2">
        <v>13</v>
      </c>
      <c r="BE52" s="57">
        <f t="shared" si="35"/>
        <v>380542</v>
      </c>
      <c r="BF52" s="62">
        <f t="shared" si="36"/>
        <v>888875.26160942507</v>
      </c>
      <c r="BG52" s="2">
        <v>12</v>
      </c>
      <c r="BH52" s="57">
        <f t="shared" si="37"/>
        <v>398706</v>
      </c>
      <c r="BI52" s="62">
        <f t="shared" si="38"/>
        <v>969310.17956022476</v>
      </c>
      <c r="BJ52" s="2">
        <v>11</v>
      </c>
      <c r="BK52" s="57">
        <f t="shared" si="39"/>
        <v>417737</v>
      </c>
      <c r="BL52" s="62">
        <f t="shared" si="40"/>
        <v>1057023.7005964371</v>
      </c>
      <c r="BM52" s="2">
        <v>10</v>
      </c>
      <c r="BN52" s="57">
        <f t="shared" si="41"/>
        <v>437677</v>
      </c>
      <c r="BO52" s="62">
        <f t="shared" si="42"/>
        <v>1152676.0932884512</v>
      </c>
      <c r="BP52" s="2">
        <v>9</v>
      </c>
      <c r="BQ52" s="57">
        <f t="shared" si="43"/>
        <v>458568</v>
      </c>
      <c r="BR52" s="62">
        <f t="shared" si="44"/>
        <v>1256982.0778797767</v>
      </c>
      <c r="BS52" s="2">
        <v>8</v>
      </c>
      <c r="BT52" s="57">
        <f t="shared" si="45"/>
        <v>480456</v>
      </c>
      <c r="BU52" s="62">
        <f t="shared" si="46"/>
        <v>1370726.2847010524</v>
      </c>
      <c r="BV52" s="2">
        <v>7</v>
      </c>
      <c r="BW52" s="57">
        <f t="shared" si="47"/>
        <v>503389</v>
      </c>
      <c r="BX52" s="62">
        <f t="shared" si="48"/>
        <v>1494763.966294996</v>
      </c>
      <c r="BY52" s="2">
        <v>6</v>
      </c>
      <c r="BZ52" s="57">
        <f t="shared" si="49"/>
        <v>527417</v>
      </c>
      <c r="CA52" s="62">
        <f t="shared" si="50"/>
        <v>1630027.0149127864</v>
      </c>
      <c r="CB52" s="2">
        <v>5</v>
      </c>
      <c r="CC52" s="57">
        <f t="shared" si="51"/>
        <v>552592</v>
      </c>
      <c r="CD52" s="62">
        <f t="shared" si="52"/>
        <v>1777530.4558046125</v>
      </c>
      <c r="CE52" s="2">
        <v>4</v>
      </c>
      <c r="CF52" s="57">
        <f t="shared" si="53"/>
        <v>578968</v>
      </c>
      <c r="CG52" s="62">
        <f t="shared" si="54"/>
        <v>1938379.4512691922</v>
      </c>
      <c r="CH52" s="2">
        <v>3</v>
      </c>
      <c r="CI52" s="57">
        <f t="shared" si="55"/>
        <v>606603</v>
      </c>
      <c r="CJ52" s="62">
        <f t="shared" si="56"/>
        <v>2113783.8220862849</v>
      </c>
      <c r="CK52" s="2">
        <v>2</v>
      </c>
      <c r="CL52" s="57">
        <f t="shared" si="57"/>
        <v>635558</v>
      </c>
      <c r="CM52" s="62">
        <f t="shared" si="58"/>
        <v>2305063.9830421461</v>
      </c>
      <c r="CN52" s="2">
        <v>1</v>
      </c>
      <c r="CO52" s="57">
        <f t="shared" si="59"/>
        <v>665894</v>
      </c>
      <c r="CP52" s="62">
        <f t="shared" si="60"/>
        <v>2513649.2455355884</v>
      </c>
      <c r="CQ52" s="2">
        <v>0</v>
      </c>
      <c r="CR52" s="57">
        <f t="shared" ref="CR52:CR83" si="61">$E$51</f>
        <v>697679</v>
      </c>
      <c r="CS52" s="62">
        <f t="shared" ref="CS52:CS83" si="62">SUM($G$10*$G$11*CR52*(EXP(-($G$10*CQ52))),$G$10*$G$11*CR52*(EXP(-($G$10*(CQ52+0.1)))),$G$10*$G$11*CR52*(EXP(-($G$10*(CQ52+0.2)))),$G$10*$G$11*CR52*(EXP(-($G$10*(CQ52+0.3)))),$G$10*$G$11*CR52*(EXP(-($G$10*(CQ52+0.4)))),$G$10*$G$11*CR52*(EXP(-($G$10*(CQ52+0.5)))),$G$10*$G$11*CR52*(EXP(-($G$10*(CQ52+0.6)))),$G$10*$G$11*CR52*(EXP(-($G$10*(CQ52+0.7)))),$G$10*$G$11*CR52*(EXP(-($G$10*(CQ52+0.8)))),$G$10*$G$11*CR52*(EXP(-($G$10*(CQ52+0.9)))))/10</f>
        <v>2741113.412657971</v>
      </c>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361"/>
      <c r="EB52" s="361"/>
      <c r="EC52" s="361"/>
      <c r="ED52" s="361"/>
      <c r="EE52" s="361"/>
      <c r="EF52" s="361"/>
      <c r="EG52" s="361"/>
      <c r="EH52" s="361"/>
      <c r="EI52" s="361"/>
      <c r="EJ52" s="361"/>
      <c r="EK52" s="361"/>
      <c r="EL52" s="361"/>
      <c r="EM52" s="361"/>
      <c r="EN52" s="361"/>
      <c r="EO52" s="361"/>
      <c r="EP52" s="361"/>
      <c r="EQ52" s="361"/>
      <c r="ER52" s="361"/>
      <c r="ES52" s="361"/>
      <c r="ET52" s="361"/>
      <c r="EU52" s="361"/>
      <c r="EV52" s="361"/>
      <c r="EW52" s="361"/>
      <c r="EX52" s="361"/>
      <c r="EY52" s="361"/>
      <c r="EZ52" s="361"/>
      <c r="FA52" s="361"/>
      <c r="FB52" s="361"/>
      <c r="FC52" s="361"/>
      <c r="FD52" s="361"/>
      <c r="FE52" s="361"/>
      <c r="FF52" s="361"/>
      <c r="FG52" s="361"/>
      <c r="FH52" s="361"/>
      <c r="FI52" s="361"/>
      <c r="FJ52" s="361"/>
      <c r="FK52" s="361"/>
      <c r="FL52" s="361"/>
      <c r="FM52" s="361"/>
      <c r="FN52" s="361"/>
      <c r="FO52" s="361"/>
      <c r="FP52" s="361"/>
      <c r="FQ52" s="361"/>
      <c r="FR52" s="361"/>
      <c r="FS52" s="361"/>
      <c r="FT52" s="361"/>
      <c r="FU52" s="361"/>
      <c r="FV52" s="361"/>
      <c r="FW52" s="361"/>
      <c r="FX52" s="361"/>
      <c r="FY52" s="361"/>
      <c r="FZ52" s="361"/>
      <c r="GA52" s="361"/>
      <c r="GB52" s="361"/>
      <c r="GC52" s="361"/>
      <c r="GD52" s="361"/>
      <c r="GE52" s="361"/>
      <c r="GF52" s="361"/>
      <c r="GG52" s="361"/>
      <c r="GH52" s="361"/>
      <c r="GI52" s="361"/>
      <c r="GJ52" s="361"/>
      <c r="GK52" s="361"/>
      <c r="GL52" s="361"/>
      <c r="GM52" s="361"/>
      <c r="GN52" s="361"/>
      <c r="GO52" s="361"/>
      <c r="GP52" s="361"/>
      <c r="GQ52" s="361"/>
      <c r="GR52" s="361"/>
      <c r="GS52" s="361"/>
      <c r="GT52" s="361"/>
      <c r="GU52" s="361"/>
      <c r="GV52" s="361"/>
      <c r="GW52" s="361"/>
      <c r="GX52" s="361"/>
      <c r="GY52" s="361"/>
      <c r="GZ52" s="361"/>
      <c r="HA52" s="361"/>
      <c r="HB52" s="361"/>
      <c r="HC52" s="361"/>
      <c r="HD52" s="361"/>
      <c r="HE52" s="361"/>
      <c r="HF52" s="361"/>
      <c r="HG52" s="361"/>
      <c r="HH52" s="361"/>
      <c r="HI52" s="361"/>
      <c r="HJ52" s="361"/>
      <c r="HK52" s="361"/>
      <c r="HL52" s="361"/>
      <c r="HM52" s="361"/>
      <c r="HN52" s="361"/>
      <c r="HO52" s="361"/>
      <c r="HP52" s="361"/>
      <c r="HQ52" s="361"/>
      <c r="HR52" s="361"/>
      <c r="HS52" s="361"/>
      <c r="HT52" s="361"/>
      <c r="HU52" s="361"/>
      <c r="HV52" s="361"/>
      <c r="HW52" s="361"/>
      <c r="HX52" s="361"/>
      <c r="HY52" s="361"/>
      <c r="HZ52" s="361"/>
      <c r="IA52" s="361"/>
      <c r="IB52" s="361"/>
      <c r="IC52" s="361"/>
      <c r="ID52" s="361"/>
      <c r="IE52" s="361"/>
      <c r="IF52" s="361"/>
      <c r="IG52" s="361"/>
      <c r="IH52" s="361"/>
      <c r="II52" s="361"/>
      <c r="IJ52" s="361"/>
      <c r="IK52" s="361"/>
      <c r="IL52" s="361"/>
      <c r="IM52" s="361"/>
      <c r="IN52" s="361"/>
      <c r="IO52" s="361"/>
      <c r="IP52" s="361"/>
    </row>
    <row r="53" spans="2:250">
      <c r="B53" s="56">
        <f>'USER INPUTS'!J38</f>
        <v>2048</v>
      </c>
      <c r="C53" s="420">
        <f>IF(OR(AND(ClosureCalcYes=TRUE,WasteCapacity=""),AND(ClosureCalcYes=FALSE,ClosureYear="")),0,IF('USER INPUTS'!K38&gt;0,IF('USER INPUTS'!$K$4="Mg/year",'USER INPUTS'!K38,'USER INPUTS'!L38),0))</f>
        <v>765871</v>
      </c>
      <c r="D53" s="420">
        <f t="shared" si="6"/>
        <v>12181115</v>
      </c>
      <c r="E53" s="420">
        <f>IF(ClosureCalcYes=FALSE,IF(AND(B53&lt;ClosureYear,C53=0,SUM(C53:$C$102)=0),$D$13,IF(B53&lt;=ClosureYear,C53,0)),IF(B53=$D$16,($D$14-F53),IF(B53&lt;$D$16,IF(SUM(C53:$C$102)=0,$D$13,C53),0)))</f>
        <v>765871</v>
      </c>
      <c r="F53" s="66">
        <f t="shared" si="7"/>
        <v>12181115</v>
      </c>
      <c r="G53" s="284">
        <f>IF(SUM(C54:$C$101)=0,C53,0)</f>
        <v>765871</v>
      </c>
      <c r="H53" s="284">
        <f t="shared" si="0"/>
        <v>2048</v>
      </c>
      <c r="I53" s="2">
        <f t="shared" si="8"/>
        <v>2048</v>
      </c>
      <c r="J53" s="379">
        <f t="shared" si="1"/>
        <v>32156545.98927616</v>
      </c>
      <c r="K53" s="2">
        <v>29</v>
      </c>
      <c r="L53" s="57">
        <f t="shared" si="2"/>
        <v>189082</v>
      </c>
      <c r="M53" s="62">
        <f t="shared" si="3"/>
        <v>232884.15559347789</v>
      </c>
      <c r="N53" s="2">
        <v>28</v>
      </c>
      <c r="O53" s="57">
        <f t="shared" si="4"/>
        <v>293489</v>
      </c>
      <c r="P53" s="62">
        <f t="shared" si="5"/>
        <v>376229.94792509533</v>
      </c>
      <c r="Q53" s="2">
        <v>27</v>
      </c>
      <c r="R53" s="57">
        <f t="shared" si="9"/>
        <v>283523</v>
      </c>
      <c r="S53" s="62">
        <f t="shared" si="10"/>
        <v>378287.16722884373</v>
      </c>
      <c r="T53" s="2">
        <v>26</v>
      </c>
      <c r="U53" s="57">
        <f t="shared" si="11"/>
        <v>143321</v>
      </c>
      <c r="V53" s="62">
        <f t="shared" si="12"/>
        <v>199028.34067502673</v>
      </c>
      <c r="W53" s="2">
        <v>25</v>
      </c>
      <c r="X53" s="57">
        <f t="shared" si="13"/>
        <v>227851</v>
      </c>
      <c r="Y53" s="62">
        <f t="shared" si="14"/>
        <v>329327.35852469306</v>
      </c>
      <c r="Z53" s="2">
        <v>24</v>
      </c>
      <c r="AA53" s="57">
        <f t="shared" si="15"/>
        <v>238727</v>
      </c>
      <c r="AB53" s="62">
        <f t="shared" si="16"/>
        <v>359128.764573919</v>
      </c>
      <c r="AC53" s="2">
        <v>23</v>
      </c>
      <c r="AD53" s="57">
        <f t="shared" si="17"/>
        <v>250122</v>
      </c>
      <c r="AE53" s="62">
        <f t="shared" si="18"/>
        <v>391626.72698692669</v>
      </c>
      <c r="AF53" s="2">
        <v>22</v>
      </c>
      <c r="AG53" s="57">
        <f t="shared" si="19"/>
        <v>262060</v>
      </c>
      <c r="AH53" s="62">
        <f t="shared" si="20"/>
        <v>427063.9831336487</v>
      </c>
      <c r="AI53" s="2">
        <v>21</v>
      </c>
      <c r="AJ53" s="57">
        <f t="shared" si="21"/>
        <v>274569</v>
      </c>
      <c r="AK53" s="62">
        <f t="shared" si="22"/>
        <v>465709.92218202527</v>
      </c>
      <c r="AL53" s="2">
        <v>20</v>
      </c>
      <c r="AM53" s="57">
        <f t="shared" si="23"/>
        <v>287675</v>
      </c>
      <c r="AN53" s="62">
        <f t="shared" si="24"/>
        <v>507852.84526559076</v>
      </c>
      <c r="AO53" s="2">
        <v>19</v>
      </c>
      <c r="AP53" s="57">
        <f t="shared" si="25"/>
        <v>301406</v>
      </c>
      <c r="AQ53" s="62">
        <f t="shared" si="26"/>
        <v>553808.27526744991</v>
      </c>
      <c r="AR53" s="2">
        <v>18</v>
      </c>
      <c r="AS53" s="57">
        <f t="shared" si="27"/>
        <v>315793</v>
      </c>
      <c r="AT53" s="62">
        <f t="shared" si="28"/>
        <v>603923.3560216414</v>
      </c>
      <c r="AU53" s="2">
        <v>17</v>
      </c>
      <c r="AV53" s="57">
        <f t="shared" si="29"/>
        <v>330866</v>
      </c>
      <c r="AW53" s="62">
        <f t="shared" si="30"/>
        <v>658571.97707511834</v>
      </c>
      <c r="AX53" s="2">
        <v>16</v>
      </c>
      <c r="AY53" s="57">
        <f t="shared" si="31"/>
        <v>346659</v>
      </c>
      <c r="AZ53" s="62">
        <f t="shared" si="32"/>
        <v>718166.86752460734</v>
      </c>
      <c r="BA53" s="2">
        <v>15</v>
      </c>
      <c r="BB53" s="57">
        <f t="shared" si="33"/>
        <v>363206</v>
      </c>
      <c r="BC53" s="62">
        <f t="shared" si="34"/>
        <v>783154.91672583087</v>
      </c>
      <c r="BD53" s="2">
        <v>14</v>
      </c>
      <c r="BE53" s="57">
        <f t="shared" si="35"/>
        <v>380542</v>
      </c>
      <c r="BF53" s="62">
        <f t="shared" si="36"/>
        <v>854021.96407809411</v>
      </c>
      <c r="BG53" s="2">
        <v>13</v>
      </c>
      <c r="BH53" s="57">
        <f t="shared" si="37"/>
        <v>398706</v>
      </c>
      <c r="BI53" s="62">
        <f t="shared" si="38"/>
        <v>931302.98378430586</v>
      </c>
      <c r="BJ53" s="2">
        <v>12</v>
      </c>
      <c r="BK53" s="57">
        <f t="shared" si="39"/>
        <v>417737</v>
      </c>
      <c r="BL53" s="62">
        <f t="shared" si="40"/>
        <v>1015577.2084667638</v>
      </c>
      <c r="BM53" s="2">
        <v>11</v>
      </c>
      <c r="BN53" s="57">
        <f t="shared" si="41"/>
        <v>437677</v>
      </c>
      <c r="BO53" s="62">
        <f t="shared" si="42"/>
        <v>1107479.0171949018</v>
      </c>
      <c r="BP53" s="2">
        <v>10</v>
      </c>
      <c r="BQ53" s="57">
        <f t="shared" si="43"/>
        <v>458568</v>
      </c>
      <c r="BR53" s="62">
        <f t="shared" si="44"/>
        <v>1207695.105630633</v>
      </c>
      <c r="BS53" s="2">
        <v>9</v>
      </c>
      <c r="BT53" s="57">
        <f t="shared" si="45"/>
        <v>480456</v>
      </c>
      <c r="BU53" s="62">
        <f t="shared" si="46"/>
        <v>1316979.3383092717</v>
      </c>
      <c r="BV53" s="2">
        <v>8</v>
      </c>
      <c r="BW53" s="57">
        <f t="shared" si="47"/>
        <v>503389</v>
      </c>
      <c r="BX53" s="62">
        <f t="shared" si="48"/>
        <v>1436153.4328416714</v>
      </c>
      <c r="BY53" s="2">
        <v>7</v>
      </c>
      <c r="BZ53" s="57">
        <f t="shared" si="49"/>
        <v>527417</v>
      </c>
      <c r="CA53" s="62">
        <f t="shared" si="50"/>
        <v>1566112.7414611918</v>
      </c>
      <c r="CB53" s="2">
        <v>6</v>
      </c>
      <c r="CC53" s="57">
        <f t="shared" si="51"/>
        <v>552592</v>
      </c>
      <c r="CD53" s="62">
        <f t="shared" si="52"/>
        <v>1707832.4897086869</v>
      </c>
      <c r="CE53" s="2">
        <v>5</v>
      </c>
      <c r="CF53" s="57">
        <f t="shared" si="53"/>
        <v>578968</v>
      </c>
      <c r="CG53" s="62">
        <f t="shared" si="54"/>
        <v>1862374.5058493153</v>
      </c>
      <c r="CH53" s="2">
        <v>4</v>
      </c>
      <c r="CI53" s="57">
        <f t="shared" si="55"/>
        <v>606603</v>
      </c>
      <c r="CJ53" s="62">
        <f t="shared" si="56"/>
        <v>2030901.1729115355</v>
      </c>
      <c r="CK53" s="2">
        <v>3</v>
      </c>
      <c r="CL53" s="57">
        <f t="shared" si="57"/>
        <v>635558</v>
      </c>
      <c r="CM53" s="62">
        <f t="shared" si="58"/>
        <v>2214681.1314772838</v>
      </c>
      <c r="CN53" s="2">
        <v>2</v>
      </c>
      <c r="CO53" s="57">
        <f t="shared" si="59"/>
        <v>665894</v>
      </c>
      <c r="CP53" s="62">
        <f t="shared" si="60"/>
        <v>2415087.6488437983</v>
      </c>
      <c r="CQ53" s="2">
        <v>1</v>
      </c>
      <c r="CR53" s="57">
        <f t="shared" si="61"/>
        <v>697679</v>
      </c>
      <c r="CS53" s="62">
        <f t="shared" si="62"/>
        <v>2633632.8184005618</v>
      </c>
      <c r="CT53" s="2">
        <v>0</v>
      </c>
      <c r="CU53" s="57">
        <f t="shared" ref="CU53:CU84" si="63">$E$52</f>
        <v>730980</v>
      </c>
      <c r="CV53" s="62">
        <f t="shared" ref="CV53:CV84" si="64">SUM($G$10*$G$11*CU53*(EXP(-($G$10*CT53))),$G$10*$G$11*CU53*(EXP(-($G$10*(CT53+0.1)))),$G$10*$G$11*CU53*(EXP(-($G$10*(CT53+0.2)))),$G$10*$G$11*CU53*(EXP(-($G$10*(CT53+0.3)))),$G$10*$G$11*CU53*(EXP(-($G$10*(CT53+0.4)))),$G$10*$G$11*CU53*(EXP(-($G$10*(CT53+0.5)))),$G$10*$G$11*CU53*(EXP(-($G$10*(CT53+0.6)))),$G$10*$G$11*CU53*(EXP(-($G$10*(CT53+0.7)))),$G$10*$G$11*CU53*(EXP(-($G$10*(CT53+0.8)))),$G$10*$G$11*CU53*(EXP(-($G$10*(CT53+0.9)))))/10</f>
        <v>2871949.8256142484</v>
      </c>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361"/>
      <c r="EB53" s="361"/>
      <c r="EC53" s="361"/>
      <c r="ED53" s="361"/>
      <c r="EE53" s="361"/>
      <c r="EF53" s="361"/>
      <c r="EG53" s="361"/>
      <c r="EH53" s="361"/>
      <c r="EI53" s="361"/>
      <c r="EJ53" s="361"/>
      <c r="EK53" s="361"/>
      <c r="EL53" s="361"/>
      <c r="EM53" s="361"/>
      <c r="EN53" s="361"/>
      <c r="EO53" s="361"/>
      <c r="EP53" s="361"/>
      <c r="EQ53" s="361"/>
      <c r="ER53" s="361"/>
      <c r="ES53" s="361"/>
      <c r="ET53" s="361"/>
      <c r="EU53" s="361"/>
      <c r="EV53" s="361"/>
      <c r="EW53" s="361"/>
      <c r="EX53" s="361"/>
      <c r="EY53" s="361"/>
      <c r="EZ53" s="361"/>
      <c r="FA53" s="361"/>
      <c r="FB53" s="361"/>
      <c r="FC53" s="361"/>
      <c r="FD53" s="361"/>
      <c r="FE53" s="361"/>
      <c r="FF53" s="361"/>
      <c r="FG53" s="361"/>
      <c r="FH53" s="361"/>
      <c r="FI53" s="361"/>
      <c r="FJ53" s="361"/>
      <c r="FK53" s="361"/>
      <c r="FL53" s="361"/>
      <c r="FM53" s="361"/>
      <c r="FN53" s="361"/>
      <c r="FO53" s="361"/>
      <c r="FP53" s="361"/>
      <c r="FQ53" s="361"/>
      <c r="FR53" s="361"/>
      <c r="FS53" s="361"/>
      <c r="FT53" s="361"/>
      <c r="FU53" s="361"/>
      <c r="FV53" s="361"/>
      <c r="FW53" s="361"/>
      <c r="FX53" s="361"/>
      <c r="FY53" s="361"/>
      <c r="FZ53" s="361"/>
      <c r="GA53" s="361"/>
      <c r="GB53" s="361"/>
      <c r="GC53" s="361"/>
      <c r="GD53" s="361"/>
      <c r="GE53" s="361"/>
      <c r="GF53" s="361"/>
      <c r="GG53" s="361"/>
      <c r="GH53" s="361"/>
      <c r="GI53" s="361"/>
      <c r="GJ53" s="361"/>
      <c r="GK53" s="361"/>
      <c r="GL53" s="361"/>
      <c r="GM53" s="361"/>
      <c r="GN53" s="361"/>
      <c r="GO53" s="361"/>
      <c r="GP53" s="361"/>
      <c r="GQ53" s="361"/>
      <c r="GR53" s="361"/>
      <c r="GS53" s="361"/>
      <c r="GT53" s="361"/>
      <c r="GU53" s="361"/>
      <c r="GV53" s="361"/>
      <c r="GW53" s="361"/>
      <c r="GX53" s="361"/>
      <c r="GY53" s="361"/>
      <c r="GZ53" s="361"/>
      <c r="HA53" s="361"/>
      <c r="HB53" s="361"/>
      <c r="HC53" s="361"/>
      <c r="HD53" s="361"/>
      <c r="HE53" s="361"/>
      <c r="HF53" s="361"/>
      <c r="HG53" s="361"/>
      <c r="HH53" s="361"/>
      <c r="HI53" s="361"/>
      <c r="HJ53" s="361"/>
      <c r="HK53" s="361"/>
      <c r="HL53" s="361"/>
      <c r="HM53" s="361"/>
      <c r="HN53" s="361"/>
      <c r="HO53" s="361"/>
      <c r="HP53" s="361"/>
      <c r="HQ53" s="361"/>
      <c r="HR53" s="361"/>
      <c r="HS53" s="361"/>
      <c r="HT53" s="361"/>
      <c r="HU53" s="361"/>
      <c r="HV53" s="361"/>
      <c r="HW53" s="361"/>
      <c r="HX53" s="361"/>
      <c r="HY53" s="361"/>
      <c r="HZ53" s="361"/>
      <c r="IA53" s="361"/>
      <c r="IB53" s="361"/>
      <c r="IC53" s="361"/>
      <c r="ID53" s="361"/>
      <c r="IE53" s="361"/>
      <c r="IF53" s="361"/>
      <c r="IG53" s="361"/>
      <c r="IH53" s="361"/>
      <c r="II53" s="361"/>
      <c r="IJ53" s="361"/>
      <c r="IK53" s="361"/>
      <c r="IL53" s="361"/>
      <c r="IM53" s="361"/>
      <c r="IN53" s="361"/>
      <c r="IO53" s="361"/>
      <c r="IP53" s="361"/>
    </row>
    <row r="54" spans="2:250">
      <c r="B54" s="56">
        <f>'USER INPUTS'!J39</f>
        <v>2049</v>
      </c>
      <c r="C54" s="420">
        <f>IF(OR(AND(ClosureCalcYes=TRUE,WasteCapacity=""),AND(ClosureCalcYes=FALSE,ClosureYear="")),0,IF('USER INPUTS'!K39&gt;0,IF('USER INPUTS'!$K$4="Mg/year",'USER INPUTS'!K39,'USER INPUTS'!L39),0))</f>
        <v>0</v>
      </c>
      <c r="D54" s="420">
        <f t="shared" si="6"/>
        <v>12946986</v>
      </c>
      <c r="E54" s="420">
        <f>IF(ClosureCalcYes=FALSE,IF(AND(B54&lt;ClosureYear,C54=0,SUM(C54:$C$102)=0),$D$13,IF(B54&lt;=ClosureYear,C54,0)),IF(B54=$D$16,($D$14-F54),IF(B54&lt;$D$16,IF(SUM(C54:$C$102)=0,$D$13,C54),0)))</f>
        <v>0</v>
      </c>
      <c r="F54" s="66">
        <f t="shared" si="7"/>
        <v>12946986</v>
      </c>
      <c r="G54" s="284">
        <f>IF(SUM(C55:$C$101)=0,C54,0)</f>
        <v>0</v>
      </c>
      <c r="H54" s="284">
        <f t="shared" si="0"/>
        <v>0</v>
      </c>
      <c r="I54" s="2">
        <f t="shared" si="8"/>
        <v>2049</v>
      </c>
      <c r="J54" s="379">
        <f t="shared" si="1"/>
        <v>33904702.981128819</v>
      </c>
      <c r="K54" s="2">
        <v>30</v>
      </c>
      <c r="L54" s="57">
        <f t="shared" si="2"/>
        <v>189082</v>
      </c>
      <c r="M54" s="62">
        <f t="shared" si="3"/>
        <v>223752.63724011998</v>
      </c>
      <c r="N54" s="2">
        <v>29</v>
      </c>
      <c r="O54" s="57">
        <f t="shared" si="4"/>
        <v>293489</v>
      </c>
      <c r="P54" s="62">
        <f t="shared" si="5"/>
        <v>361477.76065926015</v>
      </c>
      <c r="Q54" s="2">
        <v>28</v>
      </c>
      <c r="R54" s="57">
        <f t="shared" si="9"/>
        <v>283523</v>
      </c>
      <c r="S54" s="62">
        <f t="shared" si="10"/>
        <v>363454.31524032191</v>
      </c>
      <c r="T54" s="2">
        <v>27</v>
      </c>
      <c r="U54" s="57">
        <f t="shared" si="11"/>
        <v>143321</v>
      </c>
      <c r="V54" s="62">
        <f t="shared" si="12"/>
        <v>191224.32781257646</v>
      </c>
      <c r="W54" s="2">
        <v>26</v>
      </c>
      <c r="X54" s="57">
        <f t="shared" si="13"/>
        <v>227851</v>
      </c>
      <c r="Y54" s="62">
        <f t="shared" si="14"/>
        <v>316414.24809445592</v>
      </c>
      <c r="Z54" s="2">
        <v>25</v>
      </c>
      <c r="AA54" s="57">
        <f t="shared" si="15"/>
        <v>238727</v>
      </c>
      <c r="AB54" s="62">
        <f t="shared" si="16"/>
        <v>345047.12429844239</v>
      </c>
      <c r="AC54" s="2">
        <v>24</v>
      </c>
      <c r="AD54" s="57">
        <f t="shared" si="17"/>
        <v>250122</v>
      </c>
      <c r="AE54" s="62">
        <f t="shared" si="18"/>
        <v>376270.82337882934</v>
      </c>
      <c r="AF54" s="2">
        <v>23</v>
      </c>
      <c r="AG54" s="57">
        <f t="shared" si="19"/>
        <v>262060</v>
      </c>
      <c r="AH54" s="62">
        <f t="shared" si="20"/>
        <v>410318.56483713549</v>
      </c>
      <c r="AI54" s="2">
        <v>22</v>
      </c>
      <c r="AJ54" s="57">
        <f t="shared" si="21"/>
        <v>274569</v>
      </c>
      <c r="AK54" s="62">
        <f t="shared" si="22"/>
        <v>447449.17494094017</v>
      </c>
      <c r="AL54" s="2">
        <v>21</v>
      </c>
      <c r="AM54" s="57">
        <f t="shared" si="23"/>
        <v>287675</v>
      </c>
      <c r="AN54" s="62">
        <f t="shared" si="24"/>
        <v>487939.65037463856</v>
      </c>
      <c r="AO54" s="2">
        <v>20</v>
      </c>
      <c r="AP54" s="57">
        <f t="shared" si="25"/>
        <v>301406</v>
      </c>
      <c r="AQ54" s="62">
        <f t="shared" si="26"/>
        <v>532093.14219212881</v>
      </c>
      <c r="AR54" s="2">
        <v>19</v>
      </c>
      <c r="AS54" s="57">
        <f t="shared" si="27"/>
        <v>315793</v>
      </c>
      <c r="AT54" s="62">
        <f t="shared" si="28"/>
        <v>580243.18252302159</v>
      </c>
      <c r="AU54" s="2">
        <v>18</v>
      </c>
      <c r="AV54" s="57">
        <f t="shared" si="29"/>
        <v>330866</v>
      </c>
      <c r="AW54" s="62">
        <f t="shared" si="30"/>
        <v>632749.00049543963</v>
      </c>
      <c r="AX54" s="2">
        <v>17</v>
      </c>
      <c r="AY54" s="57">
        <f t="shared" si="31"/>
        <v>346659</v>
      </c>
      <c r="AZ54" s="62">
        <f t="shared" si="32"/>
        <v>690007.1418667481</v>
      </c>
      <c r="BA54" s="2">
        <v>16</v>
      </c>
      <c r="BB54" s="57">
        <f t="shared" si="33"/>
        <v>363206</v>
      </c>
      <c r="BC54" s="62">
        <f t="shared" si="34"/>
        <v>752446.97321039555</v>
      </c>
      <c r="BD54" s="2">
        <v>15</v>
      </c>
      <c r="BE54" s="57">
        <f t="shared" si="35"/>
        <v>380542</v>
      </c>
      <c r="BF54" s="62">
        <f t="shared" si="36"/>
        <v>820535.28389035747</v>
      </c>
      <c r="BG54" s="2">
        <v>14</v>
      </c>
      <c r="BH54" s="57">
        <f t="shared" si="37"/>
        <v>398706</v>
      </c>
      <c r="BI54" s="62">
        <f t="shared" si="38"/>
        <v>894786.07147100847</v>
      </c>
      <c r="BJ54" s="2">
        <v>13</v>
      </c>
      <c r="BK54" s="57">
        <f t="shared" si="39"/>
        <v>417737</v>
      </c>
      <c r="BL54" s="62">
        <f t="shared" si="40"/>
        <v>975755.85653866397</v>
      </c>
      <c r="BM54" s="2">
        <v>12</v>
      </c>
      <c r="BN54" s="57">
        <f t="shared" si="41"/>
        <v>437677</v>
      </c>
      <c r="BO54" s="62">
        <f t="shared" si="42"/>
        <v>1064054.1438036556</v>
      </c>
      <c r="BP54" s="2">
        <v>11</v>
      </c>
      <c r="BQ54" s="57">
        <f t="shared" si="43"/>
        <v>458568</v>
      </c>
      <c r="BR54" s="62">
        <f t="shared" si="44"/>
        <v>1160340.7032058616</v>
      </c>
      <c r="BS54" s="2">
        <v>10</v>
      </c>
      <c r="BT54" s="57">
        <f t="shared" si="45"/>
        <v>480456</v>
      </c>
      <c r="BU54" s="62">
        <f t="shared" si="46"/>
        <v>1265339.8398293632</v>
      </c>
      <c r="BV54" s="2">
        <v>9</v>
      </c>
      <c r="BW54" s="57">
        <f t="shared" si="47"/>
        <v>503389</v>
      </c>
      <c r="BX54" s="62">
        <f t="shared" si="48"/>
        <v>1379841.0512766331</v>
      </c>
      <c r="BY54" s="2">
        <v>8</v>
      </c>
      <c r="BZ54" s="57">
        <f t="shared" si="49"/>
        <v>527417</v>
      </c>
      <c r="CA54" s="62">
        <f t="shared" si="50"/>
        <v>1504704.5825178057</v>
      </c>
      <c r="CB54" s="2">
        <v>7</v>
      </c>
      <c r="CC54" s="57">
        <f t="shared" si="51"/>
        <v>552592</v>
      </c>
      <c r="CD54" s="62">
        <f t="shared" si="52"/>
        <v>1640867.4199533251</v>
      </c>
      <c r="CE54" s="2">
        <v>6</v>
      </c>
      <c r="CF54" s="57">
        <f t="shared" si="53"/>
        <v>578968</v>
      </c>
      <c r="CG54" s="62">
        <f t="shared" si="54"/>
        <v>1789349.7569665487</v>
      </c>
      <c r="CH54" s="2">
        <v>5</v>
      </c>
      <c r="CI54" s="57">
        <f t="shared" si="55"/>
        <v>606603</v>
      </c>
      <c r="CJ54" s="62">
        <f t="shared" si="56"/>
        <v>1951268.3988954697</v>
      </c>
      <c r="CK54" s="2">
        <v>4</v>
      </c>
      <c r="CL54" s="57">
        <f t="shared" si="57"/>
        <v>635558</v>
      </c>
      <c r="CM54" s="62">
        <f t="shared" si="58"/>
        <v>2127842.242213292</v>
      </c>
      <c r="CN54" s="2">
        <v>3</v>
      </c>
      <c r="CO54" s="57">
        <f t="shared" si="59"/>
        <v>665894</v>
      </c>
      <c r="CP54" s="62">
        <f t="shared" si="60"/>
        <v>2320390.7076363359</v>
      </c>
      <c r="CQ54" s="2">
        <v>2</v>
      </c>
      <c r="CR54" s="57">
        <f t="shared" si="61"/>
        <v>697679</v>
      </c>
      <c r="CS54" s="62">
        <f t="shared" si="62"/>
        <v>2530366.5985242287</v>
      </c>
      <c r="CT54" s="2">
        <v>1</v>
      </c>
      <c r="CU54" s="57">
        <f t="shared" si="63"/>
        <v>730980</v>
      </c>
      <c r="CV54" s="62">
        <f t="shared" si="64"/>
        <v>2759339.0622255257</v>
      </c>
      <c r="CW54" s="2">
        <v>0</v>
      </c>
      <c r="CX54" s="57">
        <f t="shared" ref="CX54:CX85" si="65">$E$53</f>
        <v>765871</v>
      </c>
      <c r="CY54" s="62">
        <f t="shared" ref="CY54:CY85" si="66">SUM($G$10*$G$11*CX54*(EXP(-($G$10*CW54))),$G$10*$G$11*CX54*(EXP(-($G$10*(CW54+0.1)))),$G$10*$G$11*CX54*(EXP(-($G$10*(CW54+0.2)))),$G$10*$G$11*CX54*(EXP(-($G$10*(CW54+0.3)))),$G$10*$G$11*CX54*(EXP(-($G$10*(CW54+0.4)))),$G$10*$G$11*CX54*(EXP(-($G$10*(CW54+0.5)))),$G$10*$G$11*CX54*(EXP(-($G$10*(CW54+0.6)))),$G$10*$G$11*CX54*(EXP(-($G$10*(CW54+0.7)))),$G$10*$G$11*CX54*(EXP(-($G$10*(CW54+0.8)))),$G$10*$G$11*CX54*(EXP(-($G$10*(CW54+0.9)))))/10</f>
        <v>3009033.1950162933</v>
      </c>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361"/>
      <c r="EB54" s="361"/>
      <c r="EC54" s="361"/>
      <c r="ED54" s="361"/>
      <c r="EE54" s="361"/>
      <c r="EF54" s="361"/>
      <c r="EG54" s="361"/>
      <c r="EH54" s="361"/>
      <c r="EI54" s="361"/>
      <c r="EJ54" s="361"/>
      <c r="EK54" s="361"/>
      <c r="EL54" s="361"/>
      <c r="EM54" s="361"/>
      <c r="EN54" s="361"/>
      <c r="EO54" s="361"/>
      <c r="EP54" s="361"/>
      <c r="EQ54" s="361"/>
      <c r="ER54" s="361"/>
      <c r="ES54" s="361"/>
      <c r="ET54" s="361"/>
      <c r="EU54" s="361"/>
      <c r="EV54" s="361"/>
      <c r="EW54" s="361"/>
      <c r="EX54" s="361"/>
      <c r="EY54" s="361"/>
      <c r="EZ54" s="361"/>
      <c r="FA54" s="361"/>
      <c r="FB54" s="361"/>
      <c r="FC54" s="361"/>
      <c r="FD54" s="361"/>
      <c r="FE54" s="361"/>
      <c r="FF54" s="361"/>
      <c r="FG54" s="361"/>
      <c r="FH54" s="361"/>
      <c r="FI54" s="361"/>
      <c r="FJ54" s="361"/>
      <c r="FK54" s="361"/>
      <c r="FL54" s="361"/>
      <c r="FM54" s="361"/>
      <c r="FN54" s="361"/>
      <c r="FO54" s="361"/>
      <c r="FP54" s="361"/>
      <c r="FQ54" s="361"/>
      <c r="FR54" s="361"/>
      <c r="FS54" s="361"/>
      <c r="FT54" s="361"/>
      <c r="FU54" s="361"/>
      <c r="FV54" s="361"/>
      <c r="FW54" s="361"/>
      <c r="FX54" s="361"/>
      <c r="FY54" s="361"/>
      <c r="FZ54" s="361"/>
      <c r="GA54" s="361"/>
      <c r="GB54" s="361"/>
      <c r="GC54" s="361"/>
      <c r="GD54" s="361"/>
      <c r="GE54" s="361"/>
      <c r="GF54" s="361"/>
      <c r="GG54" s="361"/>
      <c r="GH54" s="361"/>
      <c r="GI54" s="361"/>
      <c r="GJ54" s="361"/>
      <c r="GK54" s="361"/>
      <c r="GL54" s="361"/>
      <c r="GM54" s="361"/>
      <c r="GN54" s="361"/>
      <c r="GO54" s="361"/>
      <c r="GP54" s="361"/>
      <c r="GQ54" s="361"/>
      <c r="GR54" s="361"/>
      <c r="GS54" s="361"/>
      <c r="GT54" s="361"/>
      <c r="GU54" s="361"/>
      <c r="GV54" s="361"/>
      <c r="GW54" s="361"/>
      <c r="GX54" s="361"/>
      <c r="GY54" s="361"/>
      <c r="GZ54" s="361"/>
      <c r="HA54" s="361"/>
      <c r="HB54" s="361"/>
      <c r="HC54" s="361"/>
      <c r="HD54" s="361"/>
      <c r="HE54" s="361"/>
      <c r="HF54" s="361"/>
      <c r="HG54" s="361"/>
      <c r="HH54" s="361"/>
      <c r="HI54" s="361"/>
      <c r="HJ54" s="361"/>
      <c r="HK54" s="361"/>
      <c r="HL54" s="361"/>
      <c r="HM54" s="361"/>
      <c r="HN54" s="361"/>
      <c r="HO54" s="361"/>
      <c r="HP54" s="361"/>
      <c r="HQ54" s="361"/>
      <c r="HR54" s="361"/>
      <c r="HS54" s="361"/>
      <c r="HT54" s="361"/>
      <c r="HU54" s="361"/>
      <c r="HV54" s="361"/>
      <c r="HW54" s="361"/>
      <c r="HX54" s="361"/>
      <c r="HY54" s="361"/>
      <c r="HZ54" s="361"/>
      <c r="IA54" s="361"/>
      <c r="IB54" s="361"/>
      <c r="IC54" s="361"/>
      <c r="ID54" s="361"/>
      <c r="IE54" s="361"/>
      <c r="IF54" s="361"/>
      <c r="IG54" s="361"/>
      <c r="IH54" s="361"/>
      <c r="II54" s="361"/>
      <c r="IJ54" s="361"/>
      <c r="IK54" s="361"/>
      <c r="IL54" s="361"/>
      <c r="IM54" s="361"/>
      <c r="IN54" s="361"/>
      <c r="IO54" s="361"/>
      <c r="IP54" s="361"/>
    </row>
    <row r="55" spans="2:250">
      <c r="B55" s="56">
        <f>'USER INPUTS'!J40</f>
        <v>2050</v>
      </c>
      <c r="C55" s="420">
        <f>IF(OR(AND(ClosureCalcYes=TRUE,WasteCapacity=""),AND(ClosureCalcYes=FALSE,ClosureYear="")),0,IF('USER INPUTS'!K40&gt;0,IF('USER INPUTS'!$K$4="Mg/year",'USER INPUTS'!K40,'USER INPUTS'!L40),0))</f>
        <v>0</v>
      </c>
      <c r="D55" s="420">
        <f t="shared" si="6"/>
        <v>12946986</v>
      </c>
      <c r="E55" s="420">
        <f>IF(ClosureCalcYes=FALSE,IF(AND(B55&lt;ClosureYear,C55=0,SUM(C55:$C$102)=0),$D$13,IF(B55&lt;=ClosureYear,C55,0)),IF(B55=$D$16,($D$14-F55),IF(B55&lt;$D$16,IF(SUM(C55:$C$102)=0,$D$13,C55),0)))</f>
        <v>0</v>
      </c>
      <c r="F55" s="66">
        <f t="shared" si="7"/>
        <v>12946986</v>
      </c>
      <c r="G55" s="284">
        <f>IF(SUM(C56:$C$101)=0,C55,0)</f>
        <v>0</v>
      </c>
      <c r="H55" s="284">
        <f t="shared" si="0"/>
        <v>0</v>
      </c>
      <c r="I55" s="2">
        <f t="shared" si="8"/>
        <v>2050</v>
      </c>
      <c r="J55" s="379">
        <f t="shared" si="1"/>
        <v>32575280.561864864</v>
      </c>
      <c r="K55" s="2">
        <v>31</v>
      </c>
      <c r="L55" s="57">
        <f t="shared" si="2"/>
        <v>189082</v>
      </c>
      <c r="M55" s="62">
        <f t="shared" si="3"/>
        <v>214979.17084278818</v>
      </c>
      <c r="N55" s="2">
        <v>30</v>
      </c>
      <c r="O55" s="57">
        <f t="shared" si="4"/>
        <v>293489</v>
      </c>
      <c r="P55" s="62">
        <f t="shared" si="5"/>
        <v>347304.01492984837</v>
      </c>
      <c r="Q55" s="2">
        <v>29</v>
      </c>
      <c r="R55" s="57">
        <f t="shared" si="9"/>
        <v>283523</v>
      </c>
      <c r="S55" s="62">
        <f t="shared" si="10"/>
        <v>349203.06769724056</v>
      </c>
      <c r="T55" s="2">
        <v>28</v>
      </c>
      <c r="U55" s="57">
        <f t="shared" si="11"/>
        <v>143321</v>
      </c>
      <c r="V55" s="62">
        <f t="shared" si="12"/>
        <v>183726.31467132532</v>
      </c>
      <c r="W55" s="2">
        <v>27</v>
      </c>
      <c r="X55" s="57">
        <f t="shared" si="13"/>
        <v>227851</v>
      </c>
      <c r="Y55" s="62">
        <f t="shared" si="14"/>
        <v>304007.46796647634</v>
      </c>
      <c r="Z55" s="2">
        <v>26</v>
      </c>
      <c r="AA55" s="57">
        <f t="shared" si="15"/>
        <v>238727</v>
      </c>
      <c r="AB55" s="62">
        <f t="shared" si="16"/>
        <v>331517.63303582236</v>
      </c>
      <c r="AC55" s="2">
        <v>25</v>
      </c>
      <c r="AD55" s="57">
        <f t="shared" si="17"/>
        <v>250122</v>
      </c>
      <c r="AE55" s="62">
        <f t="shared" si="18"/>
        <v>361517.03336352826</v>
      </c>
      <c r="AF55" s="2">
        <v>24</v>
      </c>
      <c r="AG55" s="57">
        <f t="shared" si="19"/>
        <v>262060</v>
      </c>
      <c r="AH55" s="62">
        <f t="shared" si="20"/>
        <v>394229.74378365756</v>
      </c>
      <c r="AI55" s="2">
        <v>23</v>
      </c>
      <c r="AJ55" s="57">
        <f t="shared" si="21"/>
        <v>274569</v>
      </c>
      <c r="AK55" s="62">
        <f t="shared" si="22"/>
        <v>429904.44184067566</v>
      </c>
      <c r="AL55" s="2">
        <v>22</v>
      </c>
      <c r="AM55" s="57">
        <f t="shared" si="23"/>
        <v>287675</v>
      </c>
      <c r="AN55" s="62">
        <f t="shared" si="24"/>
        <v>468807.26302362961</v>
      </c>
      <c r="AO55" s="2">
        <v>21</v>
      </c>
      <c r="AP55" s="57">
        <f t="shared" si="25"/>
        <v>301406</v>
      </c>
      <c r="AQ55" s="62">
        <f t="shared" si="26"/>
        <v>511229.47166357283</v>
      </c>
      <c r="AR55" s="2">
        <v>20</v>
      </c>
      <c r="AS55" s="57">
        <f t="shared" si="27"/>
        <v>315793</v>
      </c>
      <c r="AT55" s="62">
        <f t="shared" si="28"/>
        <v>557491.52190825308</v>
      </c>
      <c r="AU55" s="2">
        <v>19</v>
      </c>
      <c r="AV55" s="57">
        <f t="shared" si="29"/>
        <v>330866</v>
      </c>
      <c r="AW55" s="62">
        <f t="shared" si="30"/>
        <v>607938.55731020658</v>
      </c>
      <c r="AX55" s="2">
        <v>18</v>
      </c>
      <c r="AY55" s="57">
        <f t="shared" si="31"/>
        <v>346659</v>
      </c>
      <c r="AZ55" s="62">
        <f t="shared" si="32"/>
        <v>662951.57484525046</v>
      </c>
      <c r="BA55" s="2">
        <v>17</v>
      </c>
      <c r="BB55" s="57">
        <f t="shared" si="33"/>
        <v>363206</v>
      </c>
      <c r="BC55" s="62">
        <f t="shared" si="34"/>
        <v>722943.10538267915</v>
      </c>
      <c r="BD55" s="2">
        <v>16</v>
      </c>
      <c r="BE55" s="57">
        <f t="shared" si="35"/>
        <v>380542</v>
      </c>
      <c r="BF55" s="62">
        <f t="shared" si="36"/>
        <v>788361.63521370874</v>
      </c>
      <c r="BG55" s="2">
        <v>15</v>
      </c>
      <c r="BH55" s="57">
        <f t="shared" si="37"/>
        <v>398706</v>
      </c>
      <c r="BI55" s="62">
        <f t="shared" si="38"/>
        <v>859701.00776994077</v>
      </c>
      <c r="BJ55" s="2">
        <v>14</v>
      </c>
      <c r="BK55" s="57">
        <f t="shared" si="39"/>
        <v>417737</v>
      </c>
      <c r="BL55" s="62">
        <f t="shared" si="40"/>
        <v>937495.92215337814</v>
      </c>
      <c r="BM55" s="2">
        <v>13</v>
      </c>
      <c r="BN55" s="57">
        <f t="shared" si="41"/>
        <v>437677</v>
      </c>
      <c r="BO55" s="62">
        <f t="shared" si="42"/>
        <v>1022331.9840528199</v>
      </c>
      <c r="BP55" s="2">
        <v>12</v>
      </c>
      <c r="BQ55" s="57">
        <f t="shared" si="43"/>
        <v>458568</v>
      </c>
      <c r="BR55" s="62">
        <f t="shared" si="44"/>
        <v>1114843.0934587722</v>
      </c>
      <c r="BS55" s="2">
        <v>11</v>
      </c>
      <c r="BT55" s="57">
        <f t="shared" si="45"/>
        <v>480456</v>
      </c>
      <c r="BU55" s="62">
        <f t="shared" si="46"/>
        <v>1215725.155046744</v>
      </c>
      <c r="BV55" s="2">
        <v>10</v>
      </c>
      <c r="BW55" s="57">
        <f t="shared" si="47"/>
        <v>503389</v>
      </c>
      <c r="BX55" s="62">
        <f t="shared" si="48"/>
        <v>1325736.7097754285</v>
      </c>
      <c r="BY55" s="2">
        <v>9</v>
      </c>
      <c r="BZ55" s="57">
        <f t="shared" si="49"/>
        <v>527417</v>
      </c>
      <c r="CA55" s="62">
        <f t="shared" si="50"/>
        <v>1445704.2719272131</v>
      </c>
      <c r="CB55" s="2">
        <v>8</v>
      </c>
      <c r="CC55" s="57">
        <f t="shared" si="51"/>
        <v>552592</v>
      </c>
      <c r="CD55" s="62">
        <f t="shared" si="52"/>
        <v>1576528.0881402746</v>
      </c>
      <c r="CE55" s="2">
        <v>7</v>
      </c>
      <c r="CF55" s="57">
        <f t="shared" si="53"/>
        <v>578968</v>
      </c>
      <c r="CG55" s="62">
        <f t="shared" si="54"/>
        <v>1719188.3494432359</v>
      </c>
      <c r="CH55" s="2">
        <v>6</v>
      </c>
      <c r="CI55" s="57">
        <f t="shared" si="55"/>
        <v>606603</v>
      </c>
      <c r="CJ55" s="62">
        <f t="shared" si="56"/>
        <v>1874758.0706104296</v>
      </c>
      <c r="CK55" s="2">
        <v>5</v>
      </c>
      <c r="CL55" s="57">
        <f t="shared" si="57"/>
        <v>635558</v>
      </c>
      <c r="CM55" s="62">
        <f t="shared" si="58"/>
        <v>2044408.3545007303</v>
      </c>
      <c r="CN55" s="2">
        <v>4</v>
      </c>
      <c r="CO55" s="57">
        <f t="shared" si="59"/>
        <v>665894</v>
      </c>
      <c r="CP55" s="62">
        <f t="shared" si="60"/>
        <v>2229406.8866041778</v>
      </c>
      <c r="CQ55" s="2">
        <v>3</v>
      </c>
      <c r="CR55" s="57">
        <f t="shared" si="61"/>
        <v>697679</v>
      </c>
      <c r="CS55" s="62">
        <f t="shared" si="62"/>
        <v>2431149.5050458652</v>
      </c>
      <c r="CT55" s="2">
        <v>2</v>
      </c>
      <c r="CU55" s="57">
        <f t="shared" si="63"/>
        <v>730980</v>
      </c>
      <c r="CV55" s="62">
        <f t="shared" si="64"/>
        <v>2651143.8300267607</v>
      </c>
      <c r="CW55" s="2">
        <v>1</v>
      </c>
      <c r="CX55" s="57">
        <f t="shared" si="65"/>
        <v>765871</v>
      </c>
      <c r="CY55" s="62">
        <f t="shared" si="66"/>
        <v>2891047.3158304277</v>
      </c>
      <c r="CZ55" s="2">
        <v>0</v>
      </c>
      <c r="DA55" s="57">
        <f t="shared" ref="DA55:DA86" si="67">$E$54</f>
        <v>0</v>
      </c>
      <c r="DB55" s="62">
        <f t="shared" ref="DB55:DB86" si="68">SUM($G$10*$G$11*DA55*(EXP(-($G$10*CZ55))),$G$10*$G$11*DA55*(EXP(-($G$10*(CZ55+0.1)))),$G$10*$G$11*DA55*(EXP(-($G$10*(CZ55+0.2)))),$G$10*$G$11*DA55*(EXP(-($G$10*(CZ55+0.3)))),$G$10*$G$11*DA55*(EXP(-($G$10*(CZ55+0.4)))),$G$10*$G$11*DA55*(EXP(-($G$10*(CZ55+0.5)))),$G$10*$G$11*DA55*(EXP(-($G$10*(CZ55+0.6)))),$G$10*$G$11*DA55*(EXP(-($G$10*(CZ55+0.7)))),$G$10*$G$11*DA55*(EXP(-($G$10*(CZ55+0.8)))),$G$10*$G$11*DA55*(EXP(-($G$10*(CZ55+0.9)))))/10</f>
        <v>0</v>
      </c>
      <c r="DC55" s="1"/>
      <c r="DD55" s="1"/>
      <c r="DE55" s="1"/>
      <c r="DF55" s="1"/>
      <c r="DG55" s="1"/>
      <c r="DH55" s="1"/>
      <c r="DI55" s="1"/>
      <c r="DJ55" s="1"/>
      <c r="DK55" s="1"/>
      <c r="DL55" s="1"/>
      <c r="DM55" s="1"/>
      <c r="DN55" s="1"/>
      <c r="DO55" s="1"/>
      <c r="DP55" s="1"/>
      <c r="DQ55" s="1"/>
      <c r="DR55" s="1"/>
      <c r="DS55" s="1"/>
      <c r="DT55" s="1"/>
      <c r="DU55" s="1"/>
      <c r="DV55" s="1"/>
      <c r="DW55" s="1"/>
      <c r="DX55" s="1"/>
      <c r="DY55" s="1"/>
      <c r="DZ55" s="1"/>
      <c r="EA55" s="361"/>
      <c r="EB55" s="361"/>
      <c r="EC55" s="361"/>
      <c r="ED55" s="361"/>
      <c r="EE55" s="361"/>
      <c r="EF55" s="361"/>
      <c r="EG55" s="361"/>
      <c r="EH55" s="361"/>
      <c r="EI55" s="361"/>
      <c r="EJ55" s="361"/>
      <c r="EK55" s="361"/>
      <c r="EL55" s="361"/>
      <c r="EM55" s="361"/>
      <c r="EN55" s="361"/>
      <c r="EO55" s="361"/>
      <c r="EP55" s="361"/>
      <c r="EQ55" s="361"/>
      <c r="ER55" s="361"/>
      <c r="ES55" s="361"/>
      <c r="ET55" s="361"/>
      <c r="EU55" s="361"/>
      <c r="EV55" s="361"/>
      <c r="EW55" s="361"/>
      <c r="EX55" s="361"/>
      <c r="EY55" s="361"/>
      <c r="EZ55" s="361"/>
      <c r="FA55" s="361"/>
      <c r="FB55" s="361"/>
      <c r="FC55" s="361"/>
      <c r="FD55" s="361"/>
      <c r="FE55" s="361"/>
      <c r="FF55" s="361"/>
      <c r="FG55" s="361"/>
      <c r="FH55" s="361"/>
      <c r="FI55" s="361"/>
      <c r="FJ55" s="361"/>
      <c r="FK55" s="361"/>
      <c r="FL55" s="361"/>
      <c r="FM55" s="361"/>
      <c r="FN55" s="361"/>
      <c r="FO55" s="361"/>
      <c r="FP55" s="361"/>
      <c r="FQ55" s="361"/>
      <c r="FR55" s="361"/>
      <c r="FS55" s="361"/>
      <c r="FT55" s="361"/>
      <c r="FU55" s="361"/>
      <c r="FV55" s="361"/>
      <c r="FW55" s="361"/>
      <c r="FX55" s="361"/>
      <c r="FY55" s="361"/>
      <c r="FZ55" s="361"/>
      <c r="GA55" s="361"/>
      <c r="GB55" s="361"/>
      <c r="GC55" s="361"/>
      <c r="GD55" s="361"/>
      <c r="GE55" s="361"/>
      <c r="GF55" s="361"/>
      <c r="GG55" s="361"/>
      <c r="GH55" s="361"/>
      <c r="GI55" s="361"/>
      <c r="GJ55" s="361"/>
      <c r="GK55" s="361"/>
      <c r="GL55" s="361"/>
      <c r="GM55" s="361"/>
      <c r="GN55" s="361"/>
      <c r="GO55" s="361"/>
      <c r="GP55" s="361"/>
      <c r="GQ55" s="361"/>
      <c r="GR55" s="361"/>
      <c r="GS55" s="361"/>
      <c r="GT55" s="361"/>
      <c r="GU55" s="361"/>
      <c r="GV55" s="361"/>
      <c r="GW55" s="361"/>
      <c r="GX55" s="361"/>
      <c r="GY55" s="361"/>
      <c r="GZ55" s="361"/>
      <c r="HA55" s="361"/>
      <c r="HB55" s="361"/>
      <c r="HC55" s="361"/>
      <c r="HD55" s="361"/>
      <c r="HE55" s="361"/>
      <c r="HF55" s="361"/>
      <c r="HG55" s="361"/>
      <c r="HH55" s="361"/>
      <c r="HI55" s="361"/>
      <c r="HJ55" s="361"/>
      <c r="HK55" s="361"/>
      <c r="HL55" s="361"/>
      <c r="HM55" s="361"/>
      <c r="HN55" s="361"/>
      <c r="HO55" s="361"/>
      <c r="HP55" s="361"/>
      <c r="HQ55" s="361"/>
      <c r="HR55" s="361"/>
      <c r="HS55" s="361"/>
      <c r="HT55" s="361"/>
      <c r="HU55" s="361"/>
      <c r="HV55" s="361"/>
      <c r="HW55" s="361"/>
      <c r="HX55" s="361"/>
      <c r="HY55" s="361"/>
      <c r="HZ55" s="361"/>
      <c r="IA55" s="361"/>
      <c r="IB55" s="361"/>
      <c r="IC55" s="361"/>
      <c r="ID55" s="361"/>
      <c r="IE55" s="361"/>
      <c r="IF55" s="361"/>
      <c r="IG55" s="361"/>
      <c r="IH55" s="361"/>
      <c r="II55" s="361"/>
      <c r="IJ55" s="361"/>
      <c r="IK55" s="361"/>
      <c r="IL55" s="361"/>
      <c r="IM55" s="361"/>
      <c r="IN55" s="361"/>
      <c r="IO55" s="361"/>
      <c r="IP55" s="361"/>
    </row>
    <row r="56" spans="2:250">
      <c r="B56" s="56">
        <f>'USER INPUTS'!J41</f>
        <v>2051</v>
      </c>
      <c r="C56" s="420">
        <f>IF(OR(AND(ClosureCalcYes=TRUE,WasteCapacity=""),AND(ClosureCalcYes=FALSE,ClosureYear="")),0,IF('USER INPUTS'!K41&gt;0,IF('USER INPUTS'!$K$4="Mg/year",'USER INPUTS'!K41,'USER INPUTS'!L41),0))</f>
        <v>0</v>
      </c>
      <c r="D56" s="420">
        <f t="shared" si="6"/>
        <v>12946986</v>
      </c>
      <c r="E56" s="420">
        <f>IF(ClosureCalcYes=FALSE,IF(AND(B56&lt;ClosureYear,C56=0,SUM(C56:$C$102)=0),$D$13,IF(B56&lt;=ClosureYear,C56,0)),IF(B56=$D$16,($D$14-F56),IF(B56&lt;$D$16,IF(SUM(C56:$C$102)=0,$D$13,C56),0)))</f>
        <v>0</v>
      </c>
      <c r="F56" s="66">
        <f t="shared" si="7"/>
        <v>12946986</v>
      </c>
      <c r="G56" s="284">
        <f>IF(SUM(C57:$C$101)=0,C56,0)</f>
        <v>0</v>
      </c>
      <c r="H56" s="284">
        <f t="shared" si="0"/>
        <v>0</v>
      </c>
      <c r="I56" s="2">
        <f t="shared" si="8"/>
        <v>2051</v>
      </c>
      <c r="J56" s="379">
        <f t="shared" si="1"/>
        <v>31297985.541263714</v>
      </c>
      <c r="K56" s="2">
        <v>32</v>
      </c>
      <c r="L56" s="57">
        <f t="shared" ref="L56:L87" si="69">$E$23</f>
        <v>189082</v>
      </c>
      <c r="M56" s="62">
        <f t="shared" ref="M56:M87" si="70">SUM($G$10*$G$11*L56*(EXP(-($G$10*K56))),$G$10*$G$11*L56*(EXP(-($G$10*(K56+0.1)))),$G$10*$G$11*L56*(EXP(-($G$10*(K56+0.2)))),$G$10*$G$11*L56*(EXP(-($G$10*(K56+0.3)))),$G$10*$G$11*L56*(EXP(-($G$10*(K56+0.4)))),$G$10*$G$11*L56*(EXP(-($G$10*(K56+0.5)))),$G$10*$G$11*L56*(EXP(-($G$10*(K56+0.6)))),$G$10*$G$11*L56*(EXP(-($G$10*(K56+0.7)))),$G$10*$G$11*L56*(EXP(-($G$10*(K56+0.8)))),$G$10*$G$11*L56*(EXP(-($G$10*(K56+0.9)))))/10</f>
        <v>206549.71698347392</v>
      </c>
      <c r="N56" s="2">
        <v>31</v>
      </c>
      <c r="O56" s="57">
        <f t="shared" si="4"/>
        <v>293489</v>
      </c>
      <c r="P56" s="62">
        <f t="shared" si="5"/>
        <v>333686.02971979912</v>
      </c>
      <c r="Q56" s="2">
        <v>30</v>
      </c>
      <c r="R56" s="57">
        <f t="shared" si="9"/>
        <v>283523</v>
      </c>
      <c r="S56" s="62">
        <f t="shared" si="10"/>
        <v>335510.61956310255</v>
      </c>
      <c r="T56" s="2">
        <v>29</v>
      </c>
      <c r="U56" s="57">
        <f t="shared" si="11"/>
        <v>143321</v>
      </c>
      <c r="V56" s="62">
        <f t="shared" si="12"/>
        <v>176522.30283058592</v>
      </c>
      <c r="W56" s="2">
        <v>28</v>
      </c>
      <c r="X56" s="57">
        <f t="shared" si="13"/>
        <v>227851</v>
      </c>
      <c r="Y56" s="62">
        <f t="shared" si="14"/>
        <v>292087.16464562865</v>
      </c>
      <c r="Z56" s="2">
        <v>27</v>
      </c>
      <c r="AA56" s="57">
        <f t="shared" si="15"/>
        <v>238727</v>
      </c>
      <c r="AB56" s="62">
        <f t="shared" si="16"/>
        <v>318518.64071359352</v>
      </c>
      <c r="AC56" s="2">
        <v>26</v>
      </c>
      <c r="AD56" s="57">
        <f t="shared" si="17"/>
        <v>250122</v>
      </c>
      <c r="AE56" s="62">
        <f t="shared" si="18"/>
        <v>347341.74772935605</v>
      </c>
      <c r="AF56" s="2">
        <v>25</v>
      </c>
      <c r="AG56" s="57">
        <f t="shared" si="19"/>
        <v>262060</v>
      </c>
      <c r="AH56" s="62">
        <f t="shared" si="20"/>
        <v>378771.77442706446</v>
      </c>
      <c r="AI56" s="2">
        <v>24</v>
      </c>
      <c r="AJ56" s="57">
        <f t="shared" si="21"/>
        <v>274569</v>
      </c>
      <c r="AK56" s="62">
        <f t="shared" si="22"/>
        <v>413047.64756519534</v>
      </c>
      <c r="AL56" s="2">
        <v>23</v>
      </c>
      <c r="AM56" s="57">
        <f t="shared" si="23"/>
        <v>287675</v>
      </c>
      <c r="AN56" s="62">
        <f t="shared" si="24"/>
        <v>450425.06731100875</v>
      </c>
      <c r="AO56" s="2">
        <v>22</v>
      </c>
      <c r="AP56" s="57">
        <f t="shared" si="25"/>
        <v>301406</v>
      </c>
      <c r="AQ56" s="62">
        <f t="shared" si="26"/>
        <v>491183.8773577825</v>
      </c>
      <c r="AR56" s="2">
        <v>21</v>
      </c>
      <c r="AS56" s="57">
        <f t="shared" si="27"/>
        <v>315793</v>
      </c>
      <c r="AT56" s="62">
        <f t="shared" si="28"/>
        <v>535631.96666640544</v>
      </c>
      <c r="AU56" s="2">
        <v>20</v>
      </c>
      <c r="AV56" s="57">
        <f t="shared" si="29"/>
        <v>330866</v>
      </c>
      <c r="AW56" s="62">
        <f t="shared" si="30"/>
        <v>584100.9455171458</v>
      </c>
      <c r="AX56" s="2">
        <v>19</v>
      </c>
      <c r="AY56" s="57">
        <f t="shared" si="31"/>
        <v>346659</v>
      </c>
      <c r="AZ56" s="62">
        <f t="shared" si="32"/>
        <v>636956.87178071763</v>
      </c>
      <c r="BA56" s="2">
        <v>18</v>
      </c>
      <c r="BB56" s="57">
        <f t="shared" si="33"/>
        <v>363206</v>
      </c>
      <c r="BC56" s="62">
        <f t="shared" si="34"/>
        <v>694596.10075966304</v>
      </c>
      <c r="BD56" s="2">
        <v>17</v>
      </c>
      <c r="BE56" s="57">
        <f t="shared" si="35"/>
        <v>380542</v>
      </c>
      <c r="BF56" s="62">
        <f t="shared" si="36"/>
        <v>757449.53334618767</v>
      </c>
      <c r="BG56" s="2">
        <v>16</v>
      </c>
      <c r="BH56" s="57">
        <f t="shared" si="37"/>
        <v>398706</v>
      </c>
      <c r="BI56" s="62">
        <f t="shared" si="38"/>
        <v>825991.64909396856</v>
      </c>
      <c r="BJ56" s="2">
        <v>15</v>
      </c>
      <c r="BK56" s="57">
        <f t="shared" si="39"/>
        <v>417737</v>
      </c>
      <c r="BL56" s="62">
        <f t="shared" si="40"/>
        <v>900736.18125333416</v>
      </c>
      <c r="BM56" s="2">
        <v>14</v>
      </c>
      <c r="BN56" s="57">
        <f t="shared" si="41"/>
        <v>437677</v>
      </c>
      <c r="BO56" s="62">
        <f t="shared" si="42"/>
        <v>982245.77358559077</v>
      </c>
      <c r="BP56" s="2">
        <v>13</v>
      </c>
      <c r="BQ56" s="57">
        <f t="shared" si="43"/>
        <v>458568</v>
      </c>
      <c r="BR56" s="62">
        <f t="shared" si="44"/>
        <v>1071129.4705070942</v>
      </c>
      <c r="BS56" s="2">
        <v>12</v>
      </c>
      <c r="BT56" s="57">
        <f t="shared" si="45"/>
        <v>480456</v>
      </c>
      <c r="BU56" s="62">
        <f t="shared" si="46"/>
        <v>1168055.8898807322</v>
      </c>
      <c r="BV56" s="2">
        <v>11</v>
      </c>
      <c r="BW56" s="57">
        <f t="shared" si="47"/>
        <v>503389</v>
      </c>
      <c r="BX56" s="62">
        <f t="shared" si="48"/>
        <v>1273753.8298487801</v>
      </c>
      <c r="BY56" s="2">
        <v>10</v>
      </c>
      <c r="BZ56" s="57">
        <f t="shared" si="49"/>
        <v>527417</v>
      </c>
      <c r="CA56" s="62">
        <f t="shared" si="50"/>
        <v>1389017.3966050651</v>
      </c>
      <c r="CB56" s="2">
        <v>9</v>
      </c>
      <c r="CC56" s="57">
        <f t="shared" si="51"/>
        <v>552592</v>
      </c>
      <c r="CD56" s="62">
        <f t="shared" si="52"/>
        <v>1514711.5376121788</v>
      </c>
      <c r="CE56" s="2">
        <v>8</v>
      </c>
      <c r="CF56" s="57">
        <f t="shared" si="53"/>
        <v>578968</v>
      </c>
      <c r="CG56" s="62">
        <f t="shared" si="54"/>
        <v>1651778.0100587751</v>
      </c>
      <c r="CH56" s="2">
        <v>7</v>
      </c>
      <c r="CI56" s="57">
        <f t="shared" si="55"/>
        <v>606603</v>
      </c>
      <c r="CJ56" s="62">
        <f t="shared" si="56"/>
        <v>1801247.7552080867</v>
      </c>
      <c r="CK56" s="2">
        <v>6</v>
      </c>
      <c r="CL56" s="57">
        <f t="shared" si="57"/>
        <v>635558</v>
      </c>
      <c r="CM56" s="62">
        <f t="shared" si="58"/>
        <v>1964245.9563190814</v>
      </c>
      <c r="CN56" s="2">
        <v>5</v>
      </c>
      <c r="CO56" s="57">
        <f t="shared" si="59"/>
        <v>665894</v>
      </c>
      <c r="CP56" s="62">
        <f t="shared" si="60"/>
        <v>2141990.5922227553</v>
      </c>
      <c r="CQ56" s="2">
        <v>4</v>
      </c>
      <c r="CR56" s="57">
        <f t="shared" si="61"/>
        <v>697679</v>
      </c>
      <c r="CS56" s="62">
        <f t="shared" si="62"/>
        <v>2335822.7694484652</v>
      </c>
      <c r="CT56" s="2">
        <v>3</v>
      </c>
      <c r="CU56" s="57">
        <f t="shared" si="63"/>
        <v>730980</v>
      </c>
      <c r="CV56" s="62">
        <f t="shared" si="64"/>
        <v>2547190.9935635533</v>
      </c>
      <c r="CW56" s="2">
        <v>2</v>
      </c>
      <c r="CX56" s="57">
        <f t="shared" si="65"/>
        <v>765871</v>
      </c>
      <c r="CY56" s="62">
        <f t="shared" si="66"/>
        <v>2777687.7291395459</v>
      </c>
      <c r="CZ56" s="2">
        <v>1</v>
      </c>
      <c r="DA56" s="57">
        <f t="shared" si="67"/>
        <v>0</v>
      </c>
      <c r="DB56" s="62">
        <f t="shared" si="68"/>
        <v>0</v>
      </c>
      <c r="DC56" s="2">
        <v>0</v>
      </c>
      <c r="DD56" s="57">
        <f t="shared" ref="DD56:DD87" si="71">$E$55</f>
        <v>0</v>
      </c>
      <c r="DE56" s="62">
        <f t="shared" ref="DE56:DE87" si="72">SUM($G$10*$G$11*DD56*(EXP(-($G$10*DC56))),$G$10*$G$11*DD56*(EXP(-($G$10*(DC56+0.1)))),$G$10*$G$11*DD56*(EXP(-($G$10*(DC56+0.2)))),$G$10*$G$11*DD56*(EXP(-($G$10*(DC56+0.3)))),$G$10*$G$11*DD56*(EXP(-($G$10*(DC56+0.4)))),$G$10*$G$11*DD56*(EXP(-($G$10*(DC56+0.5)))),$G$10*$G$11*DD56*(EXP(-($G$10*(DC56+0.6)))),$G$10*$G$11*DD56*(EXP(-($G$10*(DC56+0.7)))),$G$10*$G$11*DD56*(EXP(-($G$10*(DC56+0.8)))),$G$10*$G$11*DD56*(EXP(-($G$10*(DC56+0.9)))))/10</f>
        <v>0</v>
      </c>
      <c r="DF56" s="1"/>
      <c r="DG56" s="1"/>
      <c r="DH56" s="1"/>
      <c r="DI56" s="1"/>
      <c r="DJ56" s="1"/>
      <c r="DK56" s="1"/>
      <c r="DL56" s="1"/>
      <c r="DM56" s="1"/>
      <c r="DN56" s="1"/>
      <c r="DO56" s="1"/>
      <c r="DP56" s="1"/>
      <c r="DQ56" s="1"/>
      <c r="DR56" s="1"/>
      <c r="DS56" s="1"/>
      <c r="DT56" s="1"/>
      <c r="DU56" s="1"/>
      <c r="DV56" s="1"/>
      <c r="DW56" s="1"/>
      <c r="DX56" s="1"/>
      <c r="DY56" s="1"/>
      <c r="DZ56" s="1"/>
      <c r="EA56" s="361"/>
      <c r="EB56" s="361"/>
      <c r="EC56" s="361"/>
      <c r="ED56" s="361"/>
      <c r="EE56" s="361"/>
      <c r="EF56" s="361"/>
      <c r="EG56" s="361"/>
      <c r="EH56" s="361"/>
      <c r="EI56" s="361"/>
      <c r="EJ56" s="361"/>
      <c r="EK56" s="361"/>
      <c r="EL56" s="361"/>
      <c r="EM56" s="361"/>
      <c r="EN56" s="361"/>
      <c r="EO56" s="361"/>
      <c r="EP56" s="361"/>
      <c r="EQ56" s="361"/>
      <c r="ER56" s="361"/>
      <c r="ES56" s="361"/>
      <c r="ET56" s="361"/>
      <c r="EU56" s="361"/>
      <c r="EV56" s="361"/>
      <c r="EW56" s="361"/>
      <c r="EX56" s="361"/>
      <c r="EY56" s="361"/>
      <c r="EZ56" s="361"/>
      <c r="FA56" s="361"/>
      <c r="FB56" s="361"/>
      <c r="FC56" s="361"/>
      <c r="FD56" s="361"/>
      <c r="FE56" s="361"/>
      <c r="FF56" s="361"/>
      <c r="FG56" s="361"/>
      <c r="FH56" s="361"/>
      <c r="FI56" s="361"/>
      <c r="FJ56" s="361"/>
      <c r="FK56" s="361"/>
      <c r="FL56" s="361"/>
      <c r="FM56" s="361"/>
      <c r="FN56" s="361"/>
      <c r="FO56" s="361"/>
      <c r="FP56" s="361"/>
      <c r="FQ56" s="361"/>
      <c r="FR56" s="361"/>
      <c r="FS56" s="361"/>
      <c r="FT56" s="361"/>
      <c r="FU56" s="361"/>
      <c r="FV56" s="361"/>
      <c r="FW56" s="361"/>
      <c r="FX56" s="361"/>
      <c r="FY56" s="361"/>
      <c r="FZ56" s="361"/>
      <c r="GA56" s="361"/>
      <c r="GB56" s="361"/>
      <c r="GC56" s="361"/>
      <c r="GD56" s="361"/>
      <c r="GE56" s="361"/>
      <c r="GF56" s="361"/>
      <c r="GG56" s="361"/>
      <c r="GH56" s="361"/>
      <c r="GI56" s="361"/>
      <c r="GJ56" s="361"/>
      <c r="GK56" s="361"/>
      <c r="GL56" s="361"/>
      <c r="GM56" s="361"/>
      <c r="GN56" s="361"/>
      <c r="GO56" s="361"/>
      <c r="GP56" s="361"/>
      <c r="GQ56" s="361"/>
      <c r="GR56" s="361"/>
      <c r="GS56" s="361"/>
      <c r="GT56" s="361"/>
      <c r="GU56" s="361"/>
      <c r="GV56" s="361"/>
      <c r="GW56" s="361"/>
      <c r="GX56" s="361"/>
      <c r="GY56" s="361"/>
      <c r="GZ56" s="361"/>
      <c r="HA56" s="361"/>
      <c r="HB56" s="361"/>
      <c r="HC56" s="361"/>
      <c r="HD56" s="361"/>
      <c r="HE56" s="361"/>
      <c r="HF56" s="361"/>
      <c r="HG56" s="361"/>
      <c r="HH56" s="361"/>
      <c r="HI56" s="361"/>
      <c r="HJ56" s="361"/>
      <c r="HK56" s="361"/>
      <c r="HL56" s="361"/>
      <c r="HM56" s="361"/>
      <c r="HN56" s="361"/>
      <c r="HO56" s="361"/>
      <c r="HP56" s="361"/>
      <c r="HQ56" s="361"/>
      <c r="HR56" s="361"/>
      <c r="HS56" s="361"/>
      <c r="HT56" s="361"/>
      <c r="HU56" s="361"/>
      <c r="HV56" s="361"/>
      <c r="HW56" s="361"/>
      <c r="HX56" s="361"/>
      <c r="HY56" s="361"/>
      <c r="HZ56" s="361"/>
      <c r="IA56" s="361"/>
      <c r="IB56" s="361"/>
      <c r="IC56" s="361"/>
      <c r="ID56" s="361"/>
      <c r="IE56" s="361"/>
      <c r="IF56" s="361"/>
      <c r="IG56" s="361"/>
      <c r="IH56" s="361"/>
      <c r="II56" s="361"/>
      <c r="IJ56" s="361"/>
      <c r="IK56" s="361"/>
      <c r="IL56" s="361"/>
      <c r="IM56" s="361"/>
      <c r="IN56" s="361"/>
      <c r="IO56" s="361"/>
      <c r="IP56" s="361"/>
    </row>
    <row r="57" spans="2:250">
      <c r="B57" s="56">
        <f>'USER INPUTS'!J42</f>
        <v>2052</v>
      </c>
      <c r="C57" s="420">
        <f>IF(OR(AND(ClosureCalcYes=TRUE,WasteCapacity=""),AND(ClosureCalcYes=FALSE,ClosureYear="")),0,IF('USER INPUTS'!K42&gt;0,IF('USER INPUTS'!$K$4="Mg/year",'USER INPUTS'!K42,'USER INPUTS'!L42),0))</f>
        <v>0</v>
      </c>
      <c r="D57" s="420">
        <f t="shared" si="6"/>
        <v>12946986</v>
      </c>
      <c r="E57" s="420">
        <f>IF(ClosureCalcYes=FALSE,IF(AND(B57&lt;ClosureYear,C57=0,SUM(C57:$C$102)=0),$D$13,IF(B57&lt;=ClosureYear,C57,0)),IF(B57=$D$16,($D$14-F57),IF(B57&lt;$D$16,IF(SUM(C57:$C$102)=0,$D$13,C57),0)))</f>
        <v>0</v>
      </c>
      <c r="F57" s="66">
        <f t="shared" si="7"/>
        <v>12946986</v>
      </c>
      <c r="G57" s="284">
        <f>IF(SUM(C58:$C$101)=0,C57,0)</f>
        <v>0</v>
      </c>
      <c r="H57" s="284">
        <f t="shared" si="0"/>
        <v>0</v>
      </c>
      <c r="I57" s="2">
        <f t="shared" si="8"/>
        <v>2052</v>
      </c>
      <c r="J57" s="379">
        <f t="shared" si="1"/>
        <v>30070773.974788286</v>
      </c>
      <c r="K57" s="2">
        <v>33</v>
      </c>
      <c r="L57" s="57">
        <f t="shared" si="69"/>
        <v>189082</v>
      </c>
      <c r="M57" s="62">
        <f t="shared" si="70"/>
        <v>198450.78673762298</v>
      </c>
      <c r="N57" s="2">
        <v>32</v>
      </c>
      <c r="O57" s="57">
        <f t="shared" ref="O57:O88" si="73">$E$24</f>
        <v>293489</v>
      </c>
      <c r="P57" s="62">
        <f t="shared" ref="P57:P88" si="74">SUM($G$10*$G$11*O57*(EXP(-($G$10*N57))),$G$10*$G$11*O57*(EXP(-($G$10*(N57+0.1)))),$G$10*$G$11*O57*(EXP(-($G$10*(N57+0.2)))),$G$10*$G$11*O57*(EXP(-($G$10*(N57+0.3)))),$G$10*$G$11*O57*(EXP(-($G$10*(N57+0.4)))),$G$10*$G$11*O57*(EXP(-($G$10*(N57+0.5)))),$G$10*$G$11*O57*(EXP(-($G$10*(N57+0.6)))),$G$10*$G$11*O57*(EXP(-($G$10*(N57+0.7)))),$G$10*$G$11*O57*(EXP(-($G$10*(N57+0.8)))),$G$10*$G$11*O57*(EXP(-($G$10*(N57+0.9)))))/10</f>
        <v>320602.01334745117</v>
      </c>
      <c r="Q57" s="2">
        <v>31</v>
      </c>
      <c r="R57" s="57">
        <f t="shared" si="9"/>
        <v>283523</v>
      </c>
      <c r="S57" s="62">
        <f t="shared" si="10"/>
        <v>322355.05999968166</v>
      </c>
      <c r="T57" s="2">
        <v>30</v>
      </c>
      <c r="U57" s="57">
        <f t="shared" si="11"/>
        <v>143321</v>
      </c>
      <c r="V57" s="62">
        <f t="shared" si="12"/>
        <v>169600.76433447521</v>
      </c>
      <c r="W57" s="2">
        <v>29</v>
      </c>
      <c r="X57" s="57">
        <f t="shared" si="13"/>
        <v>227851</v>
      </c>
      <c r="Y57" s="62">
        <f t="shared" si="14"/>
        <v>280634.2631034659</v>
      </c>
      <c r="Z57" s="2">
        <v>28</v>
      </c>
      <c r="AA57" s="57">
        <f t="shared" si="15"/>
        <v>238727</v>
      </c>
      <c r="AB57" s="62">
        <f t="shared" si="16"/>
        <v>306029.34617077385</v>
      </c>
      <c r="AC57" s="2">
        <v>27</v>
      </c>
      <c r="AD57" s="57">
        <f t="shared" si="17"/>
        <v>250122</v>
      </c>
      <c r="AE57" s="62">
        <f t="shared" si="18"/>
        <v>333722.28299507574</v>
      </c>
      <c r="AF57" s="2">
        <v>26</v>
      </c>
      <c r="AG57" s="57">
        <f t="shared" si="19"/>
        <v>262060</v>
      </c>
      <c r="AH57" s="62">
        <f t="shared" si="20"/>
        <v>363919.92071850953</v>
      </c>
      <c r="AI57" s="2">
        <v>25</v>
      </c>
      <c r="AJ57" s="57">
        <f t="shared" si="21"/>
        <v>274569</v>
      </c>
      <c r="AK57" s="62">
        <f t="shared" si="22"/>
        <v>396851.81764735043</v>
      </c>
      <c r="AL57" s="2">
        <v>24</v>
      </c>
      <c r="AM57" s="57">
        <f t="shared" si="23"/>
        <v>287675</v>
      </c>
      <c r="AN57" s="62">
        <f t="shared" si="24"/>
        <v>432763.64780189155</v>
      </c>
      <c r="AO57" s="2">
        <v>23</v>
      </c>
      <c r="AP57" s="57">
        <f t="shared" si="25"/>
        <v>301406</v>
      </c>
      <c r="AQ57" s="62">
        <f t="shared" si="26"/>
        <v>471924.28204724751</v>
      </c>
      <c r="AR57" s="2">
        <v>22</v>
      </c>
      <c r="AS57" s="57">
        <f t="shared" si="27"/>
        <v>315793</v>
      </c>
      <c r="AT57" s="62">
        <f t="shared" si="28"/>
        <v>514629.53684547159</v>
      </c>
      <c r="AU57" s="2">
        <v>21</v>
      </c>
      <c r="AV57" s="57">
        <f t="shared" si="29"/>
        <v>330866</v>
      </c>
      <c r="AW57" s="62">
        <f t="shared" si="30"/>
        <v>561198.01985176024</v>
      </c>
      <c r="AX57" s="2">
        <v>20</v>
      </c>
      <c r="AY57" s="57">
        <f t="shared" si="31"/>
        <v>346659</v>
      </c>
      <c r="AZ57" s="62">
        <f t="shared" si="32"/>
        <v>611981.43560241384</v>
      </c>
      <c r="BA57" s="2">
        <v>19</v>
      </c>
      <c r="BB57" s="57">
        <f t="shared" si="33"/>
        <v>363206</v>
      </c>
      <c r="BC57" s="62">
        <f t="shared" si="34"/>
        <v>667360.59808626724</v>
      </c>
      <c r="BD57" s="2">
        <v>18</v>
      </c>
      <c r="BE57" s="57">
        <f t="shared" si="35"/>
        <v>380542</v>
      </c>
      <c r="BF57" s="62">
        <f t="shared" si="36"/>
        <v>727749.51232987246</v>
      </c>
      <c r="BG57" s="2">
        <v>17</v>
      </c>
      <c r="BH57" s="57">
        <f t="shared" si="37"/>
        <v>398706</v>
      </c>
      <c r="BI57" s="62">
        <f t="shared" si="38"/>
        <v>793604.05327749648</v>
      </c>
      <c r="BJ57" s="2">
        <v>16</v>
      </c>
      <c r="BK57" s="57">
        <f t="shared" si="39"/>
        <v>417737</v>
      </c>
      <c r="BL57" s="62">
        <f t="shared" si="40"/>
        <v>865417.8104105962</v>
      </c>
      <c r="BM57" s="2">
        <v>15</v>
      </c>
      <c r="BN57" s="57">
        <f t="shared" si="41"/>
        <v>437677</v>
      </c>
      <c r="BO57" s="62">
        <f t="shared" si="42"/>
        <v>943731.36591303966</v>
      </c>
      <c r="BP57" s="2">
        <v>14</v>
      </c>
      <c r="BQ57" s="57">
        <f t="shared" si="43"/>
        <v>458568</v>
      </c>
      <c r="BR57" s="62">
        <f t="shared" si="44"/>
        <v>1029129.8832280362</v>
      </c>
      <c r="BS57" s="2">
        <v>13</v>
      </c>
      <c r="BT57" s="57">
        <f t="shared" si="45"/>
        <v>480456</v>
      </c>
      <c r="BU57" s="62">
        <f t="shared" si="46"/>
        <v>1122255.7633370769</v>
      </c>
      <c r="BV57" s="2">
        <v>12</v>
      </c>
      <c r="BW57" s="57">
        <f t="shared" si="47"/>
        <v>503389</v>
      </c>
      <c r="BX57" s="62">
        <f t="shared" si="48"/>
        <v>1223809.2277985329</v>
      </c>
      <c r="BY57" s="2">
        <v>11</v>
      </c>
      <c r="BZ57" s="57">
        <f t="shared" si="49"/>
        <v>527417</v>
      </c>
      <c r="CA57" s="62">
        <f t="shared" si="50"/>
        <v>1334553.2454570006</v>
      </c>
      <c r="CB57" s="2">
        <v>10</v>
      </c>
      <c r="CC57" s="57">
        <f t="shared" si="51"/>
        <v>552592</v>
      </c>
      <c r="CD57" s="62">
        <f t="shared" si="52"/>
        <v>1455318.8486999585</v>
      </c>
      <c r="CE57" s="2">
        <v>9</v>
      </c>
      <c r="CF57" s="57">
        <f t="shared" si="53"/>
        <v>578968</v>
      </c>
      <c r="CG57" s="62">
        <f t="shared" si="54"/>
        <v>1587010.8678885109</v>
      </c>
      <c r="CH57" s="2">
        <v>8</v>
      </c>
      <c r="CI57" s="57">
        <f t="shared" si="55"/>
        <v>606603</v>
      </c>
      <c r="CJ57" s="62">
        <f t="shared" si="56"/>
        <v>1730619.8205007587</v>
      </c>
      <c r="CK57" s="2">
        <v>7</v>
      </c>
      <c r="CL57" s="57">
        <f t="shared" si="57"/>
        <v>635558</v>
      </c>
      <c r="CM57" s="62">
        <f t="shared" si="58"/>
        <v>1887226.7707290284</v>
      </c>
      <c r="CN57" s="2">
        <v>6</v>
      </c>
      <c r="CO57" s="57">
        <f t="shared" si="59"/>
        <v>665894</v>
      </c>
      <c r="CP57" s="62">
        <f t="shared" si="60"/>
        <v>2058001.9397712531</v>
      </c>
      <c r="CQ57" s="2">
        <v>5</v>
      </c>
      <c r="CR57" s="57">
        <f t="shared" si="61"/>
        <v>697679</v>
      </c>
      <c r="CS57" s="62">
        <f t="shared" si="62"/>
        <v>2244233.848617617</v>
      </c>
      <c r="CT57" s="2">
        <v>4</v>
      </c>
      <c r="CU57" s="57">
        <f t="shared" si="63"/>
        <v>730980</v>
      </c>
      <c r="CV57" s="62">
        <f t="shared" si="64"/>
        <v>2447314.2061197758</v>
      </c>
      <c r="CW57" s="2">
        <v>3</v>
      </c>
      <c r="CX57" s="57">
        <f t="shared" si="65"/>
        <v>765871</v>
      </c>
      <c r="CY57" s="62">
        <f t="shared" si="66"/>
        <v>2668773.0354202744</v>
      </c>
      <c r="CZ57" s="2">
        <v>2</v>
      </c>
      <c r="DA57" s="57">
        <f t="shared" si="67"/>
        <v>0</v>
      </c>
      <c r="DB57" s="62">
        <f t="shared" si="68"/>
        <v>0</v>
      </c>
      <c r="DC57" s="2">
        <v>1</v>
      </c>
      <c r="DD57" s="57">
        <f t="shared" si="71"/>
        <v>0</v>
      </c>
      <c r="DE57" s="62">
        <f t="shared" si="72"/>
        <v>0</v>
      </c>
      <c r="DF57" s="2">
        <v>0</v>
      </c>
      <c r="DG57" s="57">
        <f t="shared" ref="DG57:DG88" si="75">$E$56</f>
        <v>0</v>
      </c>
      <c r="DH57" s="62">
        <f t="shared" ref="DH57:DH88" si="76">SUM($G$10*$G$11*DG57*(EXP(-($G$10*DF57))),$G$10*$G$11*DG57*(EXP(-($G$10*(DF57+0.1)))),$G$10*$G$11*DG57*(EXP(-($G$10*(DF57+0.2)))),$G$10*$G$11*DG57*(EXP(-($G$10*(DF57+0.3)))),$G$10*$G$11*DG57*(EXP(-($G$10*(DF57+0.4)))),$G$10*$G$11*DG57*(EXP(-($G$10*(DF57+0.5)))),$G$10*$G$11*DG57*(EXP(-($G$10*(DF57+0.6)))),$G$10*$G$11*DG57*(EXP(-($G$10*(DF57+0.7)))),$G$10*$G$11*DG57*(EXP(-($G$10*(DF57+0.8)))),$G$10*$G$11*DG57*(EXP(-($G$10*(DF57+0.9)))))/10</f>
        <v>0</v>
      </c>
      <c r="DI57" s="1"/>
      <c r="DJ57" s="1"/>
      <c r="DK57" s="1"/>
      <c r="DL57" s="1"/>
      <c r="DM57" s="1"/>
      <c r="DN57" s="1"/>
      <c r="DO57" s="1"/>
      <c r="DP57" s="1"/>
      <c r="DQ57" s="1"/>
      <c r="DR57" s="1"/>
      <c r="DS57" s="1"/>
      <c r="DT57" s="1"/>
      <c r="DU57" s="1"/>
      <c r="DV57" s="1"/>
      <c r="DW57" s="1"/>
      <c r="DX57" s="1"/>
      <c r="DY57" s="1"/>
      <c r="DZ57" s="1"/>
      <c r="EA57" s="361"/>
      <c r="EB57" s="361"/>
      <c r="EC57" s="361"/>
      <c r="ED57" s="361"/>
      <c r="EE57" s="361"/>
      <c r="EF57" s="361"/>
      <c r="EG57" s="361"/>
      <c r="EH57" s="361"/>
      <c r="EI57" s="361"/>
      <c r="EJ57" s="361"/>
      <c r="EK57" s="361"/>
      <c r="EL57" s="361"/>
      <c r="EM57" s="361"/>
      <c r="EN57" s="361"/>
      <c r="EO57" s="361"/>
      <c r="EP57" s="361"/>
      <c r="EQ57" s="361"/>
      <c r="ER57" s="361"/>
      <c r="ES57" s="361"/>
      <c r="ET57" s="361"/>
      <c r="EU57" s="361"/>
      <c r="EV57" s="361"/>
      <c r="EW57" s="361"/>
      <c r="EX57" s="361"/>
      <c r="EY57" s="361"/>
      <c r="EZ57" s="361"/>
      <c r="FA57" s="361"/>
      <c r="FB57" s="361"/>
      <c r="FC57" s="361"/>
      <c r="FD57" s="361"/>
      <c r="FE57" s="361"/>
      <c r="FF57" s="361"/>
      <c r="FG57" s="361"/>
      <c r="FH57" s="361"/>
      <c r="FI57" s="361"/>
      <c r="FJ57" s="361"/>
      <c r="FK57" s="361"/>
      <c r="FL57" s="361"/>
      <c r="FM57" s="361"/>
      <c r="FN57" s="361"/>
      <c r="FO57" s="361"/>
      <c r="FP57" s="361"/>
      <c r="FQ57" s="361"/>
      <c r="FR57" s="361"/>
      <c r="FS57" s="361"/>
      <c r="FT57" s="361"/>
      <c r="FU57" s="361"/>
      <c r="FV57" s="361"/>
      <c r="FW57" s="361"/>
      <c r="FX57" s="361"/>
      <c r="FY57" s="361"/>
      <c r="FZ57" s="361"/>
      <c r="GA57" s="361"/>
      <c r="GB57" s="361"/>
      <c r="GC57" s="361"/>
      <c r="GD57" s="361"/>
      <c r="GE57" s="361"/>
      <c r="GF57" s="361"/>
      <c r="GG57" s="361"/>
      <c r="GH57" s="361"/>
      <c r="GI57" s="361"/>
      <c r="GJ57" s="361"/>
      <c r="GK57" s="361"/>
      <c r="GL57" s="361"/>
      <c r="GM57" s="361"/>
      <c r="GN57" s="361"/>
      <c r="GO57" s="361"/>
      <c r="GP57" s="361"/>
      <c r="GQ57" s="361"/>
      <c r="GR57" s="361"/>
      <c r="GS57" s="361"/>
      <c r="GT57" s="361"/>
      <c r="GU57" s="361"/>
      <c r="GV57" s="361"/>
      <c r="GW57" s="361"/>
      <c r="GX57" s="361"/>
      <c r="GY57" s="361"/>
      <c r="GZ57" s="361"/>
      <c r="HA57" s="361"/>
      <c r="HB57" s="361"/>
      <c r="HC57" s="361"/>
      <c r="HD57" s="361"/>
      <c r="HE57" s="361"/>
      <c r="HF57" s="361"/>
      <c r="HG57" s="361"/>
      <c r="HH57" s="361"/>
      <c r="HI57" s="361"/>
      <c r="HJ57" s="361"/>
      <c r="HK57" s="361"/>
      <c r="HL57" s="361"/>
      <c r="HM57" s="361"/>
      <c r="HN57" s="361"/>
      <c r="HO57" s="361"/>
      <c r="HP57" s="361"/>
      <c r="HQ57" s="361"/>
      <c r="HR57" s="361"/>
      <c r="HS57" s="361"/>
      <c r="HT57" s="361"/>
      <c r="HU57" s="361"/>
      <c r="HV57" s="361"/>
      <c r="HW57" s="361"/>
      <c r="HX57" s="361"/>
      <c r="HY57" s="361"/>
      <c r="HZ57" s="361"/>
      <c r="IA57" s="361"/>
      <c r="IB57" s="361"/>
      <c r="IC57" s="361"/>
      <c r="ID57" s="361"/>
      <c r="IE57" s="361"/>
      <c r="IF57" s="361"/>
      <c r="IG57" s="361"/>
      <c r="IH57" s="361"/>
      <c r="II57" s="361"/>
      <c r="IJ57" s="361"/>
      <c r="IK57" s="361"/>
      <c r="IL57" s="361"/>
      <c r="IM57" s="361"/>
      <c r="IN57" s="361"/>
      <c r="IO57" s="361"/>
      <c r="IP57" s="361"/>
    </row>
    <row r="58" spans="2:250">
      <c r="B58" s="56">
        <f>'USER INPUTS'!J43</f>
        <v>2053</v>
      </c>
      <c r="C58" s="420">
        <f>IF(OR(AND(ClosureCalcYes=TRUE,WasteCapacity=""),AND(ClosureCalcYes=FALSE,ClosureYear="")),0,IF('USER INPUTS'!K43&gt;0,IF('USER INPUTS'!$K$4="Mg/year",'USER INPUTS'!K43,'USER INPUTS'!L43),0))</f>
        <v>0</v>
      </c>
      <c r="D58" s="420">
        <f t="shared" si="6"/>
        <v>12946986</v>
      </c>
      <c r="E58" s="420">
        <f>IF(ClosureCalcYes=FALSE,IF(AND(B58&lt;ClosureYear,C58=0,SUM(C58:$C$102)=0),$D$13,IF(B58&lt;=ClosureYear,C58,0)),IF(B58=$D$16,($D$14-F58),IF(B58&lt;$D$16,IF(SUM(C58:$C$102)=0,$D$13,C58),0)))</f>
        <v>0</v>
      </c>
      <c r="F58" s="66">
        <f t="shared" si="7"/>
        <v>12946986</v>
      </c>
      <c r="G58" s="284">
        <f>IF(SUM(C59:$C$101)=0,C58,0)</f>
        <v>0</v>
      </c>
      <c r="H58" s="284">
        <f t="shared" si="0"/>
        <v>0</v>
      </c>
      <c r="I58" s="2">
        <f t="shared" si="8"/>
        <v>2053</v>
      </c>
      <c r="J58" s="379">
        <f t="shared" si="1"/>
        <v>28891682.062113114</v>
      </c>
      <c r="K58" s="2">
        <v>34</v>
      </c>
      <c r="L58" s="57">
        <f t="shared" si="69"/>
        <v>189082</v>
      </c>
      <c r="M58" s="62">
        <f t="shared" si="70"/>
        <v>190669.42008897808</v>
      </c>
      <c r="N58" s="2">
        <v>33</v>
      </c>
      <c r="O58" s="57">
        <f t="shared" si="73"/>
        <v>293489</v>
      </c>
      <c r="P58" s="62">
        <f t="shared" si="74"/>
        <v>308031.02859520318</v>
      </c>
      <c r="Q58" s="2">
        <v>32</v>
      </c>
      <c r="R58" s="57">
        <f t="shared" ref="R58:R89" si="77">$E$25</f>
        <v>283523</v>
      </c>
      <c r="S58" s="62">
        <f t="shared" ref="S58:S89" si="78">SUM($G$10*$G$11*R58*(EXP(-($G$10*Q58))),$G$10*$G$11*R58*(EXP(-($G$10*(Q58+0.1)))),$G$10*$G$11*R58*(EXP(-($G$10*(Q58+0.2)))),$G$10*$G$11*R58*(EXP(-($G$10*(Q58+0.3)))),$G$10*$G$11*R58*(EXP(-($G$10*(Q58+0.4)))),$G$10*$G$11*R58*(EXP(-($G$10*(Q58+0.5)))),$G$10*$G$11*R58*(EXP(-($G$10*(Q58+0.6)))),$G$10*$G$11*R58*(EXP(-($G$10*(Q58+0.7)))),$G$10*$G$11*R58*(EXP(-($G$10*(Q58+0.8)))),$G$10*$G$11*R58*(EXP(-($G$10*(Q58+0.9)))))/10</f>
        <v>309715.33730500779</v>
      </c>
      <c r="T58" s="2">
        <v>31</v>
      </c>
      <c r="U58" s="57">
        <f t="shared" si="11"/>
        <v>143321</v>
      </c>
      <c r="V58" s="62">
        <f t="shared" si="12"/>
        <v>162950.62324472578</v>
      </c>
      <c r="W58" s="2">
        <v>30</v>
      </c>
      <c r="X58" s="57">
        <f t="shared" si="13"/>
        <v>227851</v>
      </c>
      <c r="Y58" s="62">
        <f t="shared" si="14"/>
        <v>269630.43625410448</v>
      </c>
      <c r="Z58" s="2">
        <v>29</v>
      </c>
      <c r="AA58" s="57">
        <f t="shared" si="15"/>
        <v>238727</v>
      </c>
      <c r="AB58" s="62">
        <f t="shared" si="16"/>
        <v>294029.76387157</v>
      </c>
      <c r="AC58" s="2">
        <v>28</v>
      </c>
      <c r="AD58" s="57">
        <f t="shared" si="17"/>
        <v>250122</v>
      </c>
      <c r="AE58" s="62">
        <f t="shared" si="18"/>
        <v>320636.84511147166</v>
      </c>
      <c r="AF58" s="2">
        <v>27</v>
      </c>
      <c r="AG58" s="57">
        <f t="shared" si="19"/>
        <v>262060</v>
      </c>
      <c r="AH58" s="62">
        <f t="shared" si="20"/>
        <v>349650.41652349464</v>
      </c>
      <c r="AI58" s="2">
        <v>26</v>
      </c>
      <c r="AJ58" s="57">
        <f t="shared" si="21"/>
        <v>274569</v>
      </c>
      <c r="AK58" s="62">
        <f t="shared" si="22"/>
        <v>381291.0353039779</v>
      </c>
      <c r="AL58" s="2">
        <v>25</v>
      </c>
      <c r="AM58" s="57">
        <f t="shared" si="23"/>
        <v>287675</v>
      </c>
      <c r="AN58" s="62">
        <f t="shared" si="24"/>
        <v>415794.74245709291</v>
      </c>
      <c r="AO58" s="2">
        <v>24</v>
      </c>
      <c r="AP58" s="57">
        <f t="shared" si="25"/>
        <v>301406</v>
      </c>
      <c r="AQ58" s="62">
        <f t="shared" si="26"/>
        <v>453419.86627053766</v>
      </c>
      <c r="AR58" s="2">
        <v>23</v>
      </c>
      <c r="AS58" s="57">
        <f t="shared" si="27"/>
        <v>315793</v>
      </c>
      <c r="AT58" s="62">
        <f t="shared" si="28"/>
        <v>494450.62407698063</v>
      </c>
      <c r="AU58" s="2">
        <v>22</v>
      </c>
      <c r="AV58" s="57">
        <f t="shared" si="29"/>
        <v>330866</v>
      </c>
      <c r="AW58" s="62">
        <f t="shared" si="30"/>
        <v>539193.13074676716</v>
      </c>
      <c r="AX58" s="2">
        <v>21</v>
      </c>
      <c r="AY58" s="57">
        <f t="shared" si="31"/>
        <v>346659</v>
      </c>
      <c r="AZ58" s="62">
        <f t="shared" si="32"/>
        <v>587985.30028407695</v>
      </c>
      <c r="BA58" s="2">
        <v>20</v>
      </c>
      <c r="BB58" s="57">
        <f t="shared" si="33"/>
        <v>363206</v>
      </c>
      <c r="BC58" s="62">
        <f t="shared" si="34"/>
        <v>641193.01474766375</v>
      </c>
      <c r="BD58" s="2">
        <v>19</v>
      </c>
      <c r="BE58" s="57">
        <f t="shared" si="35"/>
        <v>380542</v>
      </c>
      <c r="BF58" s="62">
        <f t="shared" si="36"/>
        <v>699214.04579479503</v>
      </c>
      <c r="BG58" s="2">
        <v>18</v>
      </c>
      <c r="BH58" s="57">
        <f t="shared" si="37"/>
        <v>398706</v>
      </c>
      <c r="BI58" s="62">
        <f t="shared" si="38"/>
        <v>762486.39325749618</v>
      </c>
      <c r="BJ58" s="2">
        <v>17</v>
      </c>
      <c r="BK58" s="57">
        <f t="shared" si="39"/>
        <v>417737</v>
      </c>
      <c r="BL58" s="62">
        <f t="shared" si="40"/>
        <v>831484.29269682826</v>
      </c>
      <c r="BM58" s="2">
        <v>16</v>
      </c>
      <c r="BN58" s="57">
        <f t="shared" si="41"/>
        <v>437677</v>
      </c>
      <c r="BO58" s="62">
        <f t="shared" si="42"/>
        <v>906727.12976604537</v>
      </c>
      <c r="BP58" s="2">
        <v>15</v>
      </c>
      <c r="BQ58" s="57">
        <f t="shared" si="43"/>
        <v>458568</v>
      </c>
      <c r="BR58" s="62">
        <f t="shared" si="44"/>
        <v>988777.12332156091</v>
      </c>
      <c r="BS58" s="2">
        <v>14</v>
      </c>
      <c r="BT58" s="57">
        <f t="shared" si="45"/>
        <v>480456</v>
      </c>
      <c r="BU58" s="62">
        <f t="shared" si="46"/>
        <v>1078251.4854420922</v>
      </c>
      <c r="BV58" s="2">
        <v>13</v>
      </c>
      <c r="BW58" s="57">
        <f t="shared" si="47"/>
        <v>503389</v>
      </c>
      <c r="BX58" s="62">
        <f t="shared" si="48"/>
        <v>1175822.9816059903</v>
      </c>
      <c r="BY58" s="2">
        <v>12</v>
      </c>
      <c r="BZ58" s="57">
        <f t="shared" si="49"/>
        <v>527417</v>
      </c>
      <c r="CA58" s="62">
        <f t="shared" si="50"/>
        <v>1282224.6642215443</v>
      </c>
      <c r="CB58" s="2">
        <v>11</v>
      </c>
      <c r="CC58" s="57">
        <f t="shared" si="51"/>
        <v>552592</v>
      </c>
      <c r="CD58" s="62">
        <f t="shared" si="52"/>
        <v>1398254.9804302382</v>
      </c>
      <c r="CE58" s="2">
        <v>10</v>
      </c>
      <c r="CF58" s="57">
        <f t="shared" si="53"/>
        <v>578968</v>
      </c>
      <c r="CG58" s="62">
        <f t="shared" si="54"/>
        <v>1524783.2816872443</v>
      </c>
      <c r="CH58" s="2">
        <v>9</v>
      </c>
      <c r="CI58" s="57">
        <f t="shared" si="55"/>
        <v>606603</v>
      </c>
      <c r="CJ58" s="62">
        <f t="shared" si="56"/>
        <v>1662761.2467248179</v>
      </c>
      <c r="CK58" s="2">
        <v>8</v>
      </c>
      <c r="CL58" s="57">
        <f t="shared" si="57"/>
        <v>635558</v>
      </c>
      <c r="CM58" s="62">
        <f t="shared" si="58"/>
        <v>1813227.5506019935</v>
      </c>
      <c r="CN58" s="2">
        <v>7</v>
      </c>
      <c r="CO58" s="57">
        <f t="shared" si="59"/>
        <v>665894</v>
      </c>
      <c r="CP58" s="62">
        <f t="shared" si="60"/>
        <v>1977306.5294872157</v>
      </c>
      <c r="CQ58" s="2">
        <v>6</v>
      </c>
      <c r="CR58" s="57">
        <f t="shared" si="61"/>
        <v>697679</v>
      </c>
      <c r="CS58" s="62">
        <f t="shared" si="62"/>
        <v>2156236.1807399802</v>
      </c>
      <c r="CT58" s="2">
        <v>5</v>
      </c>
      <c r="CU58" s="57">
        <f t="shared" si="63"/>
        <v>730980</v>
      </c>
      <c r="CV58" s="62">
        <f t="shared" si="64"/>
        <v>2351353.6435273318</v>
      </c>
      <c r="CW58" s="2">
        <v>4</v>
      </c>
      <c r="CX58" s="57">
        <f t="shared" si="65"/>
        <v>765871</v>
      </c>
      <c r="CY58" s="62">
        <f t="shared" si="66"/>
        <v>2564128.947926288</v>
      </c>
      <c r="CZ58" s="2">
        <v>3</v>
      </c>
      <c r="DA58" s="57">
        <f t="shared" si="67"/>
        <v>0</v>
      </c>
      <c r="DB58" s="62">
        <f t="shared" si="68"/>
        <v>0</v>
      </c>
      <c r="DC58" s="2">
        <v>2</v>
      </c>
      <c r="DD58" s="57">
        <f t="shared" si="71"/>
        <v>0</v>
      </c>
      <c r="DE58" s="62">
        <f t="shared" si="72"/>
        <v>0</v>
      </c>
      <c r="DF58" s="2">
        <v>1</v>
      </c>
      <c r="DG58" s="57">
        <f t="shared" si="75"/>
        <v>0</v>
      </c>
      <c r="DH58" s="62">
        <f t="shared" si="76"/>
        <v>0</v>
      </c>
      <c r="DI58" s="2">
        <v>0</v>
      </c>
      <c r="DJ58" s="57">
        <f t="shared" ref="DJ58:DJ89" si="79">$E$57</f>
        <v>0</v>
      </c>
      <c r="DK58" s="62">
        <f t="shared" ref="DK58:DK89" si="80">SUM($G$10*$G$11*DJ58*(EXP(-($G$10*DI58))),$G$10*$G$11*DJ58*(EXP(-($G$10*(DI58+0.1)))),$G$10*$G$11*DJ58*(EXP(-($G$10*(DI58+0.2)))),$G$10*$G$11*DJ58*(EXP(-($G$10*(DI58+0.3)))),$G$10*$G$11*DJ58*(EXP(-($G$10*(DI58+0.4)))),$G$10*$G$11*DJ58*(EXP(-($G$10*(DI58+0.5)))),$G$10*$G$11*DJ58*(EXP(-($G$10*(DI58+0.6)))),$G$10*$G$11*DJ58*(EXP(-($G$10*(DI58+0.7)))),$G$10*$G$11*DJ58*(EXP(-($G$10*(DI58+0.8)))),$G$10*$G$11*DJ58*(EXP(-($G$10*(DI58+0.9)))))/10</f>
        <v>0</v>
      </c>
      <c r="DL58" s="1"/>
      <c r="DM58" s="1"/>
      <c r="DN58" s="1"/>
      <c r="DO58" s="1"/>
      <c r="DP58" s="1"/>
      <c r="DQ58" s="1"/>
      <c r="DR58" s="1"/>
      <c r="DS58" s="1"/>
      <c r="DT58" s="1"/>
      <c r="DU58" s="1"/>
      <c r="DV58" s="1"/>
      <c r="DW58" s="1"/>
      <c r="DX58" s="1"/>
      <c r="DY58" s="1"/>
      <c r="DZ58" s="1"/>
      <c r="EA58" s="361"/>
      <c r="EB58" s="361"/>
      <c r="EC58" s="361"/>
      <c r="ED58" s="361"/>
      <c r="EE58" s="361"/>
      <c r="EF58" s="361"/>
      <c r="EG58" s="361"/>
      <c r="EH58" s="361"/>
      <c r="EI58" s="361"/>
      <c r="EJ58" s="361"/>
      <c r="EK58" s="361"/>
      <c r="EL58" s="361"/>
      <c r="EM58" s="361"/>
      <c r="EN58" s="361"/>
      <c r="EO58" s="361"/>
      <c r="EP58" s="361"/>
      <c r="EQ58" s="361"/>
      <c r="ER58" s="361"/>
      <c r="ES58" s="361"/>
      <c r="ET58" s="361"/>
      <c r="EU58" s="361"/>
      <c r="EV58" s="361"/>
      <c r="EW58" s="361"/>
      <c r="EX58" s="361"/>
      <c r="EY58" s="361"/>
      <c r="EZ58" s="361"/>
      <c r="FA58" s="361"/>
      <c r="FB58" s="361"/>
      <c r="FC58" s="361"/>
      <c r="FD58" s="361"/>
      <c r="FE58" s="361"/>
      <c r="FF58" s="361"/>
      <c r="FG58" s="361"/>
      <c r="FH58" s="361"/>
      <c r="FI58" s="361"/>
      <c r="FJ58" s="361"/>
      <c r="FK58" s="361"/>
      <c r="FL58" s="361"/>
      <c r="FM58" s="361"/>
      <c r="FN58" s="361"/>
      <c r="FO58" s="361"/>
      <c r="FP58" s="361"/>
      <c r="FQ58" s="361"/>
      <c r="FR58" s="361"/>
      <c r="FS58" s="361"/>
      <c r="FT58" s="361"/>
      <c r="FU58" s="361"/>
      <c r="FV58" s="361"/>
      <c r="FW58" s="361"/>
      <c r="FX58" s="361"/>
      <c r="FY58" s="361"/>
      <c r="FZ58" s="361"/>
      <c r="GA58" s="361"/>
      <c r="GB58" s="361"/>
      <c r="GC58" s="361"/>
      <c r="GD58" s="361"/>
      <c r="GE58" s="361"/>
      <c r="GF58" s="361"/>
      <c r="GG58" s="361"/>
      <c r="GH58" s="361"/>
      <c r="GI58" s="361"/>
      <c r="GJ58" s="361"/>
      <c r="GK58" s="361"/>
      <c r="GL58" s="361"/>
      <c r="GM58" s="361"/>
      <c r="GN58" s="361"/>
      <c r="GO58" s="361"/>
      <c r="GP58" s="361"/>
      <c r="GQ58" s="361"/>
      <c r="GR58" s="361"/>
      <c r="GS58" s="361"/>
      <c r="GT58" s="361"/>
      <c r="GU58" s="361"/>
      <c r="GV58" s="361"/>
      <c r="GW58" s="361"/>
      <c r="GX58" s="361"/>
      <c r="GY58" s="361"/>
      <c r="GZ58" s="361"/>
      <c r="HA58" s="361"/>
      <c r="HB58" s="361"/>
      <c r="HC58" s="361"/>
      <c r="HD58" s="361"/>
      <c r="HE58" s="361"/>
      <c r="HF58" s="361"/>
      <c r="HG58" s="361"/>
      <c r="HH58" s="361"/>
      <c r="HI58" s="361"/>
      <c r="HJ58" s="361"/>
      <c r="HK58" s="361"/>
      <c r="HL58" s="361"/>
      <c r="HM58" s="361"/>
      <c r="HN58" s="361"/>
      <c r="HO58" s="361"/>
      <c r="HP58" s="361"/>
      <c r="HQ58" s="361"/>
      <c r="HR58" s="361"/>
      <c r="HS58" s="361"/>
      <c r="HT58" s="361"/>
      <c r="HU58" s="361"/>
      <c r="HV58" s="361"/>
      <c r="HW58" s="361"/>
      <c r="HX58" s="361"/>
      <c r="HY58" s="361"/>
      <c r="HZ58" s="361"/>
      <c r="IA58" s="361"/>
      <c r="IB58" s="361"/>
      <c r="IC58" s="361"/>
      <c r="ID58" s="361"/>
      <c r="IE58" s="361"/>
      <c r="IF58" s="361"/>
      <c r="IG58" s="361"/>
      <c r="IH58" s="361"/>
      <c r="II58" s="361"/>
      <c r="IJ58" s="361"/>
      <c r="IK58" s="361"/>
      <c r="IL58" s="361"/>
      <c r="IM58" s="361"/>
      <c r="IN58" s="361"/>
      <c r="IO58" s="361"/>
      <c r="IP58" s="361"/>
    </row>
    <row r="59" spans="2:250">
      <c r="B59" s="56">
        <f>'USER INPUTS'!J44</f>
        <v>2054</v>
      </c>
      <c r="C59" s="420">
        <f>IF(OR(AND(ClosureCalcYes=TRUE,WasteCapacity=""),AND(ClosureCalcYes=FALSE,ClosureYear="")),0,IF('USER INPUTS'!K44&gt;0,IF('USER INPUTS'!$K$4="Mg/year",'USER INPUTS'!K44,'USER INPUTS'!L44),0))</f>
        <v>0</v>
      </c>
      <c r="D59" s="420">
        <f t="shared" si="6"/>
        <v>12946986</v>
      </c>
      <c r="E59" s="420">
        <f>IF(ClosureCalcYes=FALSE,IF(AND(B59&lt;ClosureYear,C59=0,SUM(C59:$C$102)=0),$D$13,IF(B59&lt;=ClosureYear,C59,0)),IF(B59=$D$16,($D$14-F59),IF(B59&lt;$D$16,IF(SUM(C59:$C$102)=0,$D$13,C59),0)))</f>
        <v>0</v>
      </c>
      <c r="F59" s="66">
        <f t="shared" si="7"/>
        <v>12946986</v>
      </c>
      <c r="G59" s="284">
        <f>IF(SUM(C60:$C$101)=0,C59,0)</f>
        <v>0</v>
      </c>
      <c r="H59" s="284">
        <f t="shared" si="0"/>
        <v>0</v>
      </c>
      <c r="I59" s="2">
        <f t="shared" si="8"/>
        <v>2054</v>
      </c>
      <c r="J59" s="379">
        <f t="shared" si="1"/>
        <v>27758823.004624903</v>
      </c>
      <c r="K59" s="2">
        <v>35</v>
      </c>
      <c r="L59" s="57">
        <f t="shared" si="69"/>
        <v>189082</v>
      </c>
      <c r="M59" s="62">
        <f t="shared" si="70"/>
        <v>183193.16519078793</v>
      </c>
      <c r="N59" s="2">
        <v>34</v>
      </c>
      <c r="O59" s="57">
        <f t="shared" si="73"/>
        <v>293489</v>
      </c>
      <c r="P59" s="62">
        <f t="shared" si="74"/>
        <v>295952.95920549857</v>
      </c>
      <c r="Q59" s="2">
        <v>33</v>
      </c>
      <c r="R59" s="57">
        <f t="shared" si="77"/>
        <v>283523</v>
      </c>
      <c r="S59" s="62">
        <f t="shared" si="78"/>
        <v>297571.22522615094</v>
      </c>
      <c r="T59" s="2">
        <v>32</v>
      </c>
      <c r="U59" s="57">
        <f t="shared" ref="U59:U90" si="81">$E$26</f>
        <v>143321</v>
      </c>
      <c r="V59" s="62">
        <f t="shared" ref="V59:V90" si="82">SUM($G$10*$G$11*U59*(EXP(-($G$10*T59))),$G$10*$G$11*U59*(EXP(-($G$10*(T59+0.1)))),$G$10*$G$11*U59*(EXP(-($G$10*(T59+0.2)))),$G$10*$G$11*U59*(EXP(-($G$10*(T59+0.3)))),$G$10*$G$11*U59*(EXP(-($G$10*(T59+0.4)))),$G$10*$G$11*U59*(EXP(-($G$10*(T59+0.5)))),$G$10*$G$11*U59*(EXP(-($G$10*(T59+0.6)))),$G$10*$G$11*U59*(EXP(-($G$10*(T59+0.7)))),$G$10*$G$11*U59*(EXP(-($G$10*(T59+0.8)))),$G$10*$G$11*U59*(EXP(-($G$10*(T59+0.9)))))/10</f>
        <v>156561.23791682156</v>
      </c>
      <c r="W59" s="2">
        <v>31</v>
      </c>
      <c r="X59" s="57">
        <f t="shared" si="13"/>
        <v>227851</v>
      </c>
      <c r="Y59" s="62">
        <f t="shared" si="14"/>
        <v>259058.07562697731</v>
      </c>
      <c r="Z59" s="2">
        <v>30</v>
      </c>
      <c r="AA59" s="57">
        <f t="shared" si="15"/>
        <v>238727</v>
      </c>
      <c r="AB59" s="62">
        <f t="shared" si="16"/>
        <v>282500.69192425569</v>
      </c>
      <c r="AC59" s="2">
        <v>29</v>
      </c>
      <c r="AD59" s="57">
        <f t="shared" si="17"/>
        <v>250122</v>
      </c>
      <c r="AE59" s="62">
        <f t="shared" si="18"/>
        <v>308064.49458622123</v>
      </c>
      <c r="AF59" s="2">
        <v>28</v>
      </c>
      <c r="AG59" s="57">
        <f t="shared" si="19"/>
        <v>262060</v>
      </c>
      <c r="AH59" s="62">
        <f t="shared" si="20"/>
        <v>335940.42759098468</v>
      </c>
      <c r="AI59" s="2">
        <v>27</v>
      </c>
      <c r="AJ59" s="57">
        <f t="shared" si="21"/>
        <v>274569</v>
      </c>
      <c r="AK59" s="62">
        <f t="shared" si="22"/>
        <v>366340.39996351762</v>
      </c>
      <c r="AL59" s="2">
        <v>26</v>
      </c>
      <c r="AM59" s="57">
        <f t="shared" si="23"/>
        <v>287675</v>
      </c>
      <c r="AN59" s="62">
        <f t="shared" si="24"/>
        <v>399491.19740783499</v>
      </c>
      <c r="AO59" s="2">
        <v>25</v>
      </c>
      <c r="AP59" s="57">
        <f t="shared" si="25"/>
        <v>301406</v>
      </c>
      <c r="AQ59" s="62">
        <f t="shared" si="26"/>
        <v>435641.01901459135</v>
      </c>
      <c r="AR59" s="2">
        <v>24</v>
      </c>
      <c r="AS59" s="57">
        <f t="shared" si="27"/>
        <v>315793</v>
      </c>
      <c r="AT59" s="62">
        <f t="shared" si="28"/>
        <v>475062.93779543845</v>
      </c>
      <c r="AU59" s="2">
        <v>23</v>
      </c>
      <c r="AV59" s="57">
        <f t="shared" si="29"/>
        <v>330866</v>
      </c>
      <c r="AW59" s="62">
        <f t="shared" si="30"/>
        <v>518051.06568497169</v>
      </c>
      <c r="AX59" s="2">
        <v>22</v>
      </c>
      <c r="AY59" s="57">
        <f t="shared" si="31"/>
        <v>346659</v>
      </c>
      <c r="AZ59" s="62">
        <f t="shared" si="32"/>
        <v>564930.06688974856</v>
      </c>
      <c r="BA59" s="2">
        <v>21</v>
      </c>
      <c r="BB59" s="57">
        <f t="shared" si="33"/>
        <v>363206</v>
      </c>
      <c r="BC59" s="62">
        <f t="shared" si="34"/>
        <v>616051.47702779504</v>
      </c>
      <c r="BD59" s="2">
        <v>20</v>
      </c>
      <c r="BE59" s="57">
        <f t="shared" si="35"/>
        <v>380542</v>
      </c>
      <c r="BF59" s="62">
        <f t="shared" si="36"/>
        <v>671797.47090660792</v>
      </c>
      <c r="BG59" s="2">
        <v>19</v>
      </c>
      <c r="BH59" s="57">
        <f t="shared" si="37"/>
        <v>398706</v>
      </c>
      <c r="BI59" s="62">
        <f t="shared" si="38"/>
        <v>732588.87413914758</v>
      </c>
      <c r="BJ59" s="2">
        <v>18</v>
      </c>
      <c r="BK59" s="57">
        <f t="shared" si="39"/>
        <v>417737</v>
      </c>
      <c r="BL59" s="62">
        <f t="shared" si="40"/>
        <v>798881.32724415162</v>
      </c>
      <c r="BM59" s="2">
        <v>17</v>
      </c>
      <c r="BN59" s="57">
        <f t="shared" si="41"/>
        <v>437677</v>
      </c>
      <c r="BO59" s="62">
        <f t="shared" si="42"/>
        <v>871173.85047211463</v>
      </c>
      <c r="BP59" s="2">
        <v>16</v>
      </c>
      <c r="BQ59" s="57">
        <f t="shared" si="43"/>
        <v>458568</v>
      </c>
      <c r="BR59" s="62">
        <f t="shared" si="44"/>
        <v>950006.61776276992</v>
      </c>
      <c r="BS59" s="2">
        <v>15</v>
      </c>
      <c r="BT59" s="57">
        <f t="shared" si="45"/>
        <v>480456</v>
      </c>
      <c r="BU59" s="62">
        <f t="shared" si="46"/>
        <v>1035972.6399630674</v>
      </c>
      <c r="BV59" s="2">
        <v>14</v>
      </c>
      <c r="BW59" s="57">
        <f t="shared" si="47"/>
        <v>503389</v>
      </c>
      <c r="BX59" s="62">
        <f t="shared" si="48"/>
        <v>1129718.3030396323</v>
      </c>
      <c r="BY59" s="2">
        <v>13</v>
      </c>
      <c r="BZ59" s="57">
        <f t="shared" si="49"/>
        <v>527417</v>
      </c>
      <c r="CA59" s="62">
        <f t="shared" si="50"/>
        <v>1231947.9160046934</v>
      </c>
      <c r="CB59" s="2">
        <v>12</v>
      </c>
      <c r="CC59" s="57">
        <f t="shared" si="51"/>
        <v>552592</v>
      </c>
      <c r="CD59" s="62">
        <f t="shared" si="52"/>
        <v>1343428.6184395109</v>
      </c>
      <c r="CE59" s="2">
        <v>11</v>
      </c>
      <c r="CF59" s="57">
        <f t="shared" si="53"/>
        <v>578968</v>
      </c>
      <c r="CG59" s="62">
        <f t="shared" si="54"/>
        <v>1464995.6740411264</v>
      </c>
      <c r="CH59" s="2">
        <v>10</v>
      </c>
      <c r="CI59" s="57">
        <f t="shared" si="55"/>
        <v>606603</v>
      </c>
      <c r="CJ59" s="62">
        <f t="shared" si="56"/>
        <v>1597563.4456849559</v>
      </c>
      <c r="CK59" s="2">
        <v>9</v>
      </c>
      <c r="CL59" s="57">
        <f t="shared" si="57"/>
        <v>635558</v>
      </c>
      <c r="CM59" s="62">
        <f t="shared" si="58"/>
        <v>1742129.8813984301</v>
      </c>
      <c r="CN59" s="2">
        <v>8</v>
      </c>
      <c r="CO59" s="57">
        <f t="shared" si="59"/>
        <v>665894</v>
      </c>
      <c r="CP59" s="62">
        <f t="shared" si="60"/>
        <v>1899775.2314982484</v>
      </c>
      <c r="CQ59" s="2">
        <v>7</v>
      </c>
      <c r="CR59" s="57">
        <f t="shared" si="61"/>
        <v>697679</v>
      </c>
      <c r="CS59" s="62">
        <f t="shared" si="62"/>
        <v>2071688.9507731129</v>
      </c>
      <c r="CT59" s="2">
        <v>6</v>
      </c>
      <c r="CU59" s="57">
        <f t="shared" si="63"/>
        <v>730980</v>
      </c>
      <c r="CV59" s="62">
        <f t="shared" si="64"/>
        <v>2259155.7484133979</v>
      </c>
      <c r="CW59" s="2">
        <v>5</v>
      </c>
      <c r="CX59" s="57">
        <f t="shared" si="65"/>
        <v>765871</v>
      </c>
      <c r="CY59" s="62">
        <f t="shared" si="66"/>
        <v>2463588.0137923355</v>
      </c>
      <c r="CZ59" s="2">
        <v>4</v>
      </c>
      <c r="DA59" s="57">
        <f t="shared" si="67"/>
        <v>0</v>
      </c>
      <c r="DB59" s="62">
        <f t="shared" si="68"/>
        <v>0</v>
      </c>
      <c r="DC59" s="2">
        <v>3</v>
      </c>
      <c r="DD59" s="57">
        <f t="shared" si="71"/>
        <v>0</v>
      </c>
      <c r="DE59" s="62">
        <f t="shared" si="72"/>
        <v>0</v>
      </c>
      <c r="DF59" s="2">
        <v>2</v>
      </c>
      <c r="DG59" s="57">
        <f t="shared" si="75"/>
        <v>0</v>
      </c>
      <c r="DH59" s="62">
        <f t="shared" si="76"/>
        <v>0</v>
      </c>
      <c r="DI59" s="2">
        <v>1</v>
      </c>
      <c r="DJ59" s="57">
        <f t="shared" si="79"/>
        <v>0</v>
      </c>
      <c r="DK59" s="62">
        <f t="shared" si="80"/>
        <v>0</v>
      </c>
      <c r="DL59" s="2">
        <v>0</v>
      </c>
      <c r="DM59" s="57">
        <f t="shared" ref="DM59:DM90" si="83">$E$58</f>
        <v>0</v>
      </c>
      <c r="DN59" s="62">
        <f t="shared" ref="DN59:DN90" si="84">SUM($G$10*$G$11*DM59*(EXP(-($G$10*DL59))),$G$10*$G$11*DM59*(EXP(-($G$10*(DL59+0.1)))),$G$10*$G$11*DM59*(EXP(-($G$10*(DL59+0.2)))),$G$10*$G$11*DM59*(EXP(-($G$10*(DL59+0.3)))),$G$10*$G$11*DM59*(EXP(-($G$10*(DL59+0.4)))),$G$10*$G$11*DM59*(EXP(-($G$10*(DL59+0.5)))),$G$10*$G$11*DM59*(EXP(-($G$10*(DL59+0.6)))),$G$10*$G$11*DM59*(EXP(-($G$10*(DL59+0.7)))),$G$10*$G$11*DM59*(EXP(-($G$10*(DL59+0.8)))),$G$10*$G$11*DM59*(EXP(-($G$10*(DL59+0.9)))))/10</f>
        <v>0</v>
      </c>
      <c r="DO59" s="1"/>
      <c r="DP59" s="1"/>
      <c r="DQ59" s="1"/>
      <c r="DR59" s="1"/>
      <c r="DS59" s="1"/>
      <c r="DT59" s="1"/>
      <c r="DU59" s="1"/>
      <c r="DV59" s="1"/>
      <c r="DW59" s="1"/>
      <c r="DX59" s="1"/>
      <c r="DY59" s="1"/>
      <c r="DZ59" s="1"/>
      <c r="EA59" s="361"/>
      <c r="EB59" s="361"/>
      <c r="EC59" s="361"/>
      <c r="ED59" s="361"/>
      <c r="EE59" s="361"/>
      <c r="EF59" s="361"/>
      <c r="EG59" s="361"/>
      <c r="EH59" s="361"/>
      <c r="EI59" s="361"/>
      <c r="EJ59" s="361"/>
      <c r="EK59" s="361"/>
      <c r="EL59" s="361"/>
      <c r="EM59" s="361"/>
      <c r="EN59" s="361"/>
      <c r="EO59" s="361"/>
      <c r="EP59" s="361"/>
      <c r="EQ59" s="361"/>
      <c r="ER59" s="361"/>
      <c r="ES59" s="361"/>
      <c r="ET59" s="361"/>
      <c r="EU59" s="361"/>
      <c r="EV59" s="361"/>
      <c r="EW59" s="361"/>
      <c r="EX59" s="361"/>
      <c r="EY59" s="361"/>
      <c r="EZ59" s="361"/>
      <c r="FA59" s="361"/>
      <c r="FB59" s="361"/>
      <c r="FC59" s="361"/>
      <c r="FD59" s="361"/>
      <c r="FE59" s="361"/>
      <c r="FF59" s="361"/>
      <c r="FG59" s="361"/>
      <c r="FH59" s="361"/>
      <c r="FI59" s="361"/>
      <c r="FJ59" s="361"/>
      <c r="FK59" s="361"/>
      <c r="FL59" s="361"/>
      <c r="FM59" s="361"/>
      <c r="FN59" s="361"/>
      <c r="FO59" s="361"/>
      <c r="FP59" s="361"/>
      <c r="FQ59" s="361"/>
      <c r="FR59" s="361"/>
      <c r="FS59" s="361"/>
      <c r="FT59" s="361"/>
      <c r="FU59" s="361"/>
      <c r="FV59" s="361"/>
      <c r="FW59" s="361"/>
      <c r="FX59" s="361"/>
      <c r="FY59" s="361"/>
      <c r="FZ59" s="361"/>
      <c r="GA59" s="361"/>
      <c r="GB59" s="361"/>
      <c r="GC59" s="361"/>
      <c r="GD59" s="361"/>
      <c r="GE59" s="361"/>
      <c r="GF59" s="361"/>
      <c r="GG59" s="361"/>
      <c r="GH59" s="361"/>
      <c r="GI59" s="361"/>
      <c r="GJ59" s="361"/>
      <c r="GK59" s="361"/>
      <c r="GL59" s="361"/>
      <c r="GM59" s="361"/>
      <c r="GN59" s="361"/>
      <c r="GO59" s="361"/>
      <c r="GP59" s="361"/>
      <c r="GQ59" s="361"/>
      <c r="GR59" s="361"/>
      <c r="GS59" s="361"/>
      <c r="GT59" s="361"/>
      <c r="GU59" s="361"/>
      <c r="GV59" s="361"/>
      <c r="GW59" s="361"/>
      <c r="GX59" s="361"/>
      <c r="GY59" s="361"/>
      <c r="GZ59" s="361"/>
      <c r="HA59" s="361"/>
      <c r="HB59" s="361"/>
      <c r="HC59" s="361"/>
      <c r="HD59" s="361"/>
      <c r="HE59" s="361"/>
      <c r="HF59" s="361"/>
      <c r="HG59" s="361"/>
      <c r="HH59" s="361"/>
      <c r="HI59" s="361"/>
      <c r="HJ59" s="361"/>
      <c r="HK59" s="361"/>
      <c r="HL59" s="361"/>
      <c r="HM59" s="361"/>
      <c r="HN59" s="361"/>
      <c r="HO59" s="361"/>
      <c r="HP59" s="361"/>
      <c r="HQ59" s="361"/>
      <c r="HR59" s="361"/>
      <c r="HS59" s="361"/>
      <c r="HT59" s="361"/>
      <c r="HU59" s="361"/>
      <c r="HV59" s="361"/>
      <c r="HW59" s="361"/>
      <c r="HX59" s="361"/>
      <c r="HY59" s="361"/>
      <c r="HZ59" s="361"/>
      <c r="IA59" s="361"/>
      <c r="IB59" s="361"/>
      <c r="IC59" s="361"/>
      <c r="ID59" s="361"/>
      <c r="IE59" s="361"/>
      <c r="IF59" s="361"/>
      <c r="IG59" s="361"/>
      <c r="IH59" s="361"/>
      <c r="II59" s="361"/>
      <c r="IJ59" s="361"/>
      <c r="IK59" s="361"/>
      <c r="IL59" s="361"/>
      <c r="IM59" s="361"/>
      <c r="IN59" s="361"/>
      <c r="IO59" s="361"/>
      <c r="IP59" s="361"/>
    </row>
    <row r="60" spans="2:250">
      <c r="B60" s="56">
        <f>'USER INPUTS'!J45</f>
        <v>2055</v>
      </c>
      <c r="C60" s="420">
        <f>IF(OR(AND(ClosureCalcYes=TRUE,WasteCapacity=""),AND(ClosureCalcYes=FALSE,ClosureYear="")),0,IF('USER INPUTS'!K45&gt;0,IF('USER INPUTS'!$K$4="Mg/year",'USER INPUTS'!K45,'USER INPUTS'!L45),0))</f>
        <v>0</v>
      </c>
      <c r="D60" s="420">
        <f t="shared" si="6"/>
        <v>12946986</v>
      </c>
      <c r="E60" s="420">
        <f>IF(ClosureCalcYes=FALSE,IF(AND(B60&lt;ClosureYear,C60=0,SUM(C60:$C$102)=0),$D$13,IF(B60&lt;=ClosureYear,C60,0)),IF(B60=$D$16,($D$14-F60),IF(B60&lt;$D$16,IF(SUM(C60:$C$102)=0,$D$13,C60),0)))</f>
        <v>0</v>
      </c>
      <c r="F60" s="66">
        <f t="shared" si="7"/>
        <v>12946986</v>
      </c>
      <c r="G60" s="284">
        <f>IF(SUM(C61:$C$101)=0,C60,0)</f>
        <v>0</v>
      </c>
      <c r="H60" s="284">
        <f t="shared" si="0"/>
        <v>0</v>
      </c>
      <c r="I60" s="2">
        <f t="shared" si="8"/>
        <v>2055</v>
      </c>
      <c r="J60" s="379">
        <f t="shared" si="1"/>
        <v>26670383.986142159</v>
      </c>
      <c r="K60" s="2">
        <v>36</v>
      </c>
      <c r="L60" s="57">
        <f t="shared" si="69"/>
        <v>189082</v>
      </c>
      <c r="M60" s="62">
        <f t="shared" si="70"/>
        <v>176010.05844019604</v>
      </c>
      <c r="N60" s="2">
        <v>35</v>
      </c>
      <c r="O60" s="57">
        <f t="shared" si="73"/>
        <v>293489</v>
      </c>
      <c r="P60" s="62">
        <f t="shared" si="74"/>
        <v>284348.47769052139</v>
      </c>
      <c r="Q60" s="2">
        <v>34</v>
      </c>
      <c r="R60" s="57">
        <f t="shared" si="77"/>
        <v>283523</v>
      </c>
      <c r="S60" s="62">
        <f t="shared" si="78"/>
        <v>285903.29059290315</v>
      </c>
      <c r="T60" s="2">
        <v>33</v>
      </c>
      <c r="U60" s="57">
        <f t="shared" si="81"/>
        <v>143321</v>
      </c>
      <c r="V60" s="62">
        <f t="shared" si="82"/>
        <v>150422.38397109645</v>
      </c>
      <c r="W60" s="2">
        <v>32</v>
      </c>
      <c r="X60" s="57">
        <f t="shared" ref="X60:X91" si="85">$E$27</f>
        <v>227851</v>
      </c>
      <c r="Y60" s="62">
        <f t="shared" ref="Y60:Y91" si="86">SUM($G$10*$G$11*X60*(EXP(-($G$10*W60))),$G$10*$G$11*X60*(EXP(-($G$10*(W60+0.1)))),$G$10*$G$11*X60*(EXP(-($G$10*(W60+0.2)))),$G$10*$G$11*X60*(EXP(-($G$10*(W60+0.3)))),$G$10*$G$11*X60*(EXP(-($G$10*(W60+0.4)))),$G$10*$G$11*X60*(EXP(-($G$10*(W60+0.5)))),$G$10*$G$11*X60*(EXP(-($G$10*(W60+0.6)))),$G$10*$G$11*X60*(EXP(-($G$10*(W60+0.7)))),$G$10*$G$11*X60*(EXP(-($G$10*(W60+0.8)))),$G$10*$G$11*X60*(EXP(-($G$10*(W60+0.9)))))/10</f>
        <v>248900.26318952366</v>
      </c>
      <c r="Z60" s="2">
        <v>31</v>
      </c>
      <c r="AA60" s="57">
        <f t="shared" si="15"/>
        <v>238727</v>
      </c>
      <c r="AB60" s="62">
        <f t="shared" si="16"/>
        <v>271423.68135404895</v>
      </c>
      <c r="AC60" s="2">
        <v>30</v>
      </c>
      <c r="AD60" s="57">
        <f t="shared" si="17"/>
        <v>250122</v>
      </c>
      <c r="AE60" s="62">
        <f t="shared" si="18"/>
        <v>295985.11297623941</v>
      </c>
      <c r="AF60" s="2">
        <v>29</v>
      </c>
      <c r="AG60" s="57">
        <f t="shared" si="19"/>
        <v>262060</v>
      </c>
      <c r="AH60" s="62">
        <f t="shared" si="20"/>
        <v>322768.01501373382</v>
      </c>
      <c r="AI60" s="2">
        <v>28</v>
      </c>
      <c r="AJ60" s="57">
        <f t="shared" si="21"/>
        <v>274569</v>
      </c>
      <c r="AK60" s="62">
        <f t="shared" si="22"/>
        <v>351975.98741978582</v>
      </c>
      <c r="AL60" s="2">
        <v>27</v>
      </c>
      <c r="AM60" s="57">
        <f t="shared" si="23"/>
        <v>287675</v>
      </c>
      <c r="AN60" s="62">
        <f t="shared" si="24"/>
        <v>383826.9235037638</v>
      </c>
      <c r="AO60" s="2">
        <v>26</v>
      </c>
      <c r="AP60" s="57">
        <f t="shared" si="25"/>
        <v>301406</v>
      </c>
      <c r="AQ60" s="62">
        <f t="shared" si="26"/>
        <v>418559.29033077572</v>
      </c>
      <c r="AR60" s="2">
        <v>25</v>
      </c>
      <c r="AS60" s="57">
        <f t="shared" si="27"/>
        <v>315793</v>
      </c>
      <c r="AT60" s="62">
        <f t="shared" si="28"/>
        <v>456435.45356653427</v>
      </c>
      <c r="AU60" s="2">
        <v>24</v>
      </c>
      <c r="AV60" s="57">
        <f t="shared" si="29"/>
        <v>330866</v>
      </c>
      <c r="AW60" s="62">
        <f t="shared" si="30"/>
        <v>497737.99285172735</v>
      </c>
      <c r="AX60" s="2">
        <v>23</v>
      </c>
      <c r="AY60" s="57">
        <f t="shared" si="31"/>
        <v>346659</v>
      </c>
      <c r="AZ60" s="62">
        <f t="shared" si="32"/>
        <v>542778.8421272859</v>
      </c>
      <c r="BA60" s="2">
        <v>22</v>
      </c>
      <c r="BB60" s="57">
        <f t="shared" si="33"/>
        <v>363206</v>
      </c>
      <c r="BC60" s="62">
        <f t="shared" si="34"/>
        <v>591895.75310249557</v>
      </c>
      <c r="BD60" s="2">
        <v>21</v>
      </c>
      <c r="BE60" s="57">
        <f t="shared" si="35"/>
        <v>380542</v>
      </c>
      <c r="BF60" s="62">
        <f t="shared" si="36"/>
        <v>645455.91529630893</v>
      </c>
      <c r="BG60" s="2">
        <v>20</v>
      </c>
      <c r="BH60" s="57">
        <f t="shared" si="37"/>
        <v>398706</v>
      </c>
      <c r="BI60" s="62">
        <f t="shared" si="38"/>
        <v>703863.65351338359</v>
      </c>
      <c r="BJ60" s="2">
        <v>19</v>
      </c>
      <c r="BK60" s="57">
        <f t="shared" si="39"/>
        <v>417737</v>
      </c>
      <c r="BL60" s="62">
        <f t="shared" si="40"/>
        <v>767556.74235217203</v>
      </c>
      <c r="BM60" s="2">
        <v>18</v>
      </c>
      <c r="BN60" s="57">
        <f t="shared" si="41"/>
        <v>437677</v>
      </c>
      <c r="BO60" s="62">
        <f t="shared" si="42"/>
        <v>837014.63519927277</v>
      </c>
      <c r="BP60" s="2">
        <v>17</v>
      </c>
      <c r="BQ60" s="57">
        <f t="shared" si="43"/>
        <v>458568</v>
      </c>
      <c r="BR60" s="62">
        <f t="shared" si="44"/>
        <v>912756.32547128736</v>
      </c>
      <c r="BS60" s="2">
        <v>16</v>
      </c>
      <c r="BT60" s="57">
        <f t="shared" si="45"/>
        <v>480456</v>
      </c>
      <c r="BU60" s="62">
        <f t="shared" si="46"/>
        <v>995351.57172726712</v>
      </c>
      <c r="BV60" s="2">
        <v>15</v>
      </c>
      <c r="BW60" s="57">
        <f t="shared" si="47"/>
        <v>503389</v>
      </c>
      <c r="BX60" s="62">
        <f t="shared" si="48"/>
        <v>1085421.4147775623</v>
      </c>
      <c r="BY60" s="2">
        <v>14</v>
      </c>
      <c r="BZ60" s="57">
        <f t="shared" si="49"/>
        <v>527417</v>
      </c>
      <c r="CA60" s="62">
        <f t="shared" si="50"/>
        <v>1183642.5472830227</v>
      </c>
      <c r="CB60" s="2">
        <v>13</v>
      </c>
      <c r="CC60" s="57">
        <f t="shared" si="51"/>
        <v>552592</v>
      </c>
      <c r="CD60" s="62">
        <f t="shared" si="52"/>
        <v>1290752.0288516781</v>
      </c>
      <c r="CE60" s="2">
        <v>12</v>
      </c>
      <c r="CF60" s="57">
        <f t="shared" si="53"/>
        <v>578968</v>
      </c>
      <c r="CG60" s="62">
        <f t="shared" si="54"/>
        <v>1407552.3720225536</v>
      </c>
      <c r="CH60" s="2">
        <v>11</v>
      </c>
      <c r="CI60" s="57">
        <f t="shared" si="55"/>
        <v>606603</v>
      </c>
      <c r="CJ60" s="62">
        <f t="shared" si="56"/>
        <v>1534922.0869899013</v>
      </c>
      <c r="CK60" s="2">
        <v>10</v>
      </c>
      <c r="CL60" s="57">
        <f t="shared" si="57"/>
        <v>635558</v>
      </c>
      <c r="CM60" s="62">
        <f t="shared" si="58"/>
        <v>1673819.991679301</v>
      </c>
      <c r="CN60" s="2">
        <v>9</v>
      </c>
      <c r="CO60" s="57">
        <f t="shared" si="59"/>
        <v>665894</v>
      </c>
      <c r="CP60" s="62">
        <f t="shared" si="60"/>
        <v>1825283.9791866771</v>
      </c>
      <c r="CQ60" s="2">
        <v>8</v>
      </c>
      <c r="CR60" s="57">
        <f t="shared" si="61"/>
        <v>697679</v>
      </c>
      <c r="CS60" s="62">
        <f t="shared" si="62"/>
        <v>1990456.8651113641</v>
      </c>
      <c r="CT60" s="2">
        <v>7</v>
      </c>
      <c r="CU60" s="57">
        <f t="shared" si="63"/>
        <v>730980</v>
      </c>
      <c r="CV60" s="62">
        <f t="shared" si="64"/>
        <v>2170572.9844758548</v>
      </c>
      <c r="CW60" s="2">
        <v>6</v>
      </c>
      <c r="CX60" s="57">
        <f t="shared" si="65"/>
        <v>765871</v>
      </c>
      <c r="CY60" s="62">
        <f t="shared" si="66"/>
        <v>2366989.3460739236</v>
      </c>
      <c r="CZ60" s="2">
        <v>5</v>
      </c>
      <c r="DA60" s="57">
        <f t="shared" si="67"/>
        <v>0</v>
      </c>
      <c r="DB60" s="62">
        <f t="shared" si="68"/>
        <v>0</v>
      </c>
      <c r="DC60" s="2">
        <v>4</v>
      </c>
      <c r="DD60" s="57">
        <f t="shared" si="71"/>
        <v>0</v>
      </c>
      <c r="DE60" s="62">
        <f t="shared" si="72"/>
        <v>0</v>
      </c>
      <c r="DF60" s="2">
        <v>3</v>
      </c>
      <c r="DG60" s="57">
        <f t="shared" si="75"/>
        <v>0</v>
      </c>
      <c r="DH60" s="62">
        <f t="shared" si="76"/>
        <v>0</v>
      </c>
      <c r="DI60" s="2">
        <v>2</v>
      </c>
      <c r="DJ60" s="57">
        <f t="shared" si="79"/>
        <v>0</v>
      </c>
      <c r="DK60" s="62">
        <f t="shared" si="80"/>
        <v>0</v>
      </c>
      <c r="DL60" s="2">
        <v>1</v>
      </c>
      <c r="DM60" s="57">
        <f t="shared" si="83"/>
        <v>0</v>
      </c>
      <c r="DN60" s="62">
        <f t="shared" si="84"/>
        <v>0</v>
      </c>
      <c r="DO60" s="2">
        <v>0</v>
      </c>
      <c r="DP60" s="57">
        <f t="shared" ref="DP60:DP91" si="87">$E$59</f>
        <v>0</v>
      </c>
      <c r="DQ60" s="62">
        <f t="shared" ref="DQ60:DQ91" si="88">SUM($G$10*$G$11*DP60*(EXP(-($G$10*DO60))),$G$10*$G$11*DP60*(EXP(-($G$10*(DO60+0.1)))),$G$10*$G$11*DP60*(EXP(-($G$10*(DO60+0.2)))),$G$10*$G$11*DP60*(EXP(-($G$10*(DO60+0.3)))),$G$10*$G$11*DP60*(EXP(-($G$10*(DO60+0.4)))),$G$10*$G$11*DP60*(EXP(-($G$10*(DO60+0.5)))),$G$10*$G$11*DP60*(EXP(-($G$10*(DO60+0.6)))),$G$10*$G$11*DP60*(EXP(-($G$10*(DO60+0.7)))),$G$10*$G$11*DP60*(EXP(-($G$10*(DO60+0.8)))),$G$10*$G$11*DP60*(EXP(-($G$10*(DO60+0.9)))))/10</f>
        <v>0</v>
      </c>
      <c r="DR60" s="1"/>
      <c r="DS60" s="1"/>
      <c r="DT60" s="1"/>
      <c r="DU60" s="1"/>
      <c r="DV60" s="1"/>
      <c r="DW60" s="1"/>
      <c r="DX60" s="1"/>
      <c r="DY60" s="1"/>
      <c r="DZ60" s="1"/>
      <c r="EA60" s="361"/>
      <c r="EB60" s="361"/>
      <c r="EC60" s="361"/>
      <c r="ED60" s="361"/>
      <c r="EE60" s="361"/>
      <c r="EF60" s="361"/>
      <c r="EG60" s="361"/>
      <c r="EH60" s="361"/>
      <c r="EI60" s="361"/>
      <c r="EJ60" s="361"/>
      <c r="EK60" s="361"/>
      <c r="EL60" s="361"/>
      <c r="EM60" s="361"/>
      <c r="EN60" s="361"/>
      <c r="EO60" s="361"/>
      <c r="EP60" s="361"/>
      <c r="EQ60" s="361"/>
      <c r="ER60" s="361"/>
      <c r="ES60" s="361"/>
      <c r="ET60" s="361"/>
      <c r="EU60" s="361"/>
      <c r="EV60" s="361"/>
      <c r="EW60" s="361"/>
      <c r="EX60" s="361"/>
      <c r="EY60" s="361"/>
      <c r="EZ60" s="361"/>
      <c r="FA60" s="361"/>
      <c r="FB60" s="361"/>
      <c r="FC60" s="361"/>
      <c r="FD60" s="361"/>
      <c r="FE60" s="361"/>
      <c r="FF60" s="361"/>
      <c r="FG60" s="361"/>
      <c r="FH60" s="361"/>
      <c r="FI60" s="361"/>
      <c r="FJ60" s="361"/>
      <c r="FK60" s="361"/>
      <c r="FL60" s="361"/>
      <c r="FM60" s="361"/>
      <c r="FN60" s="361"/>
      <c r="FO60" s="361"/>
      <c r="FP60" s="361"/>
      <c r="FQ60" s="361"/>
      <c r="FR60" s="361"/>
      <c r="FS60" s="361"/>
      <c r="FT60" s="361"/>
      <c r="FU60" s="361"/>
      <c r="FV60" s="361"/>
      <c r="FW60" s="361"/>
      <c r="FX60" s="361"/>
      <c r="FY60" s="361"/>
      <c r="FZ60" s="361"/>
      <c r="GA60" s="361"/>
      <c r="GB60" s="361"/>
      <c r="GC60" s="361"/>
      <c r="GD60" s="361"/>
      <c r="GE60" s="361"/>
      <c r="GF60" s="361"/>
      <c r="GG60" s="361"/>
      <c r="GH60" s="361"/>
      <c r="GI60" s="361"/>
      <c r="GJ60" s="361"/>
      <c r="GK60" s="361"/>
      <c r="GL60" s="361"/>
      <c r="GM60" s="361"/>
      <c r="GN60" s="361"/>
      <c r="GO60" s="361"/>
      <c r="GP60" s="361"/>
      <c r="GQ60" s="361"/>
      <c r="GR60" s="361"/>
      <c r="GS60" s="361"/>
      <c r="GT60" s="361"/>
      <c r="GU60" s="361"/>
      <c r="GV60" s="361"/>
      <c r="GW60" s="361"/>
      <c r="GX60" s="361"/>
      <c r="GY60" s="361"/>
      <c r="GZ60" s="361"/>
      <c r="HA60" s="361"/>
      <c r="HB60" s="361"/>
      <c r="HC60" s="361"/>
      <c r="HD60" s="361"/>
      <c r="HE60" s="361"/>
      <c r="HF60" s="361"/>
      <c r="HG60" s="361"/>
      <c r="HH60" s="361"/>
      <c r="HI60" s="361"/>
      <c r="HJ60" s="361"/>
      <c r="HK60" s="361"/>
      <c r="HL60" s="361"/>
      <c r="HM60" s="361"/>
      <c r="HN60" s="361"/>
      <c r="HO60" s="361"/>
      <c r="HP60" s="361"/>
      <c r="HQ60" s="361"/>
      <c r="HR60" s="361"/>
      <c r="HS60" s="361"/>
      <c r="HT60" s="361"/>
      <c r="HU60" s="361"/>
      <c r="HV60" s="361"/>
      <c r="HW60" s="361"/>
      <c r="HX60" s="361"/>
      <c r="HY60" s="361"/>
      <c r="HZ60" s="361"/>
      <c r="IA60" s="361"/>
      <c r="IB60" s="361"/>
      <c r="IC60" s="361"/>
      <c r="ID60" s="361"/>
      <c r="IE60" s="361"/>
      <c r="IF60" s="361"/>
      <c r="IG60" s="361"/>
      <c r="IH60" s="361"/>
      <c r="II60" s="361"/>
      <c r="IJ60" s="361"/>
      <c r="IK60" s="361"/>
      <c r="IL60" s="361"/>
      <c r="IM60" s="361"/>
      <c r="IN60" s="361"/>
      <c r="IO60" s="361"/>
      <c r="IP60" s="361"/>
    </row>
    <row r="61" spans="2:250">
      <c r="B61" s="56">
        <f>'USER INPUTS'!J46</f>
        <v>2056</v>
      </c>
      <c r="C61" s="420">
        <f>IF(OR(AND(ClosureCalcYes=TRUE,WasteCapacity=""),AND(ClosureCalcYes=FALSE,ClosureYear="")),0,IF('USER INPUTS'!K46&gt;0,IF('USER INPUTS'!$K$4="Mg/year",'USER INPUTS'!K46,'USER INPUTS'!L46),0))</f>
        <v>0</v>
      </c>
      <c r="D61" s="420">
        <f t="shared" si="6"/>
        <v>12946986</v>
      </c>
      <c r="E61" s="420">
        <f>IF(ClosureCalcYes=FALSE,IF(AND(B61&lt;ClosureYear,C61=0,SUM(C61:$C$102)=0),$D$13,IF(B61&lt;=ClosureYear,C61,0)),IF(B61=$D$16,($D$14-F61),IF(B61&lt;$D$16,IF(SUM(C61:$C$102)=0,$D$13,C61),0)))</f>
        <v>0</v>
      </c>
      <c r="F61" s="66">
        <f t="shared" si="7"/>
        <v>12946986</v>
      </c>
      <c r="G61" s="284">
        <f>IF(SUM(C62:$C$101)=0,C61,0)</f>
        <v>0</v>
      </c>
      <c r="H61" s="284">
        <f t="shared" si="0"/>
        <v>0</v>
      </c>
      <c r="I61" s="2">
        <f t="shared" si="8"/>
        <v>2056</v>
      </c>
      <c r="J61" s="379">
        <f t="shared" si="1"/>
        <v>25624623.272022627</v>
      </c>
      <c r="K61" s="2">
        <v>37</v>
      </c>
      <c r="L61" s="57">
        <f t="shared" si="69"/>
        <v>189082</v>
      </c>
      <c r="M61" s="62">
        <f t="shared" si="70"/>
        <v>169108.6053339236</v>
      </c>
      <c r="N61" s="2">
        <v>36</v>
      </c>
      <c r="O61" s="57">
        <f t="shared" si="73"/>
        <v>293489</v>
      </c>
      <c r="P61" s="62">
        <f t="shared" si="74"/>
        <v>273199.01440409286</v>
      </c>
      <c r="Q61" s="2">
        <v>35</v>
      </c>
      <c r="R61" s="57">
        <f t="shared" si="77"/>
        <v>283523</v>
      </c>
      <c r="S61" s="62">
        <f t="shared" si="78"/>
        <v>274692.86222055915</v>
      </c>
      <c r="T61" s="2">
        <v>34</v>
      </c>
      <c r="U61" s="57">
        <f t="shared" si="81"/>
        <v>143321</v>
      </c>
      <c r="V61" s="62">
        <f t="shared" si="82"/>
        <v>144524.23793154518</v>
      </c>
      <c r="W61" s="2">
        <v>33</v>
      </c>
      <c r="X61" s="57">
        <f t="shared" si="85"/>
        <v>227851</v>
      </c>
      <c r="Y61" s="62">
        <f t="shared" si="86"/>
        <v>239140.74427472806</v>
      </c>
      <c r="Z61" s="2">
        <v>32</v>
      </c>
      <c r="AA61" s="57">
        <f t="shared" ref="AA61:AA92" si="89">$E$28</f>
        <v>238727</v>
      </c>
      <c r="AB61" s="62">
        <f t="shared" ref="AB61:AB92" si="90">SUM($G$10*$G$11*AA61*(EXP(-($G$10*Z61))),$G$10*$G$11*AA61*(EXP(-($G$10*(Z61+0.1)))),$G$10*$G$11*AA61*(EXP(-($G$10*(Z61+0.2)))),$G$10*$G$11*AA61*(EXP(-($G$10*(Z61+0.3)))),$G$10*$G$11*AA61*(EXP(-($G$10*(Z61+0.4)))),$G$10*$G$11*AA61*(EXP(-($G$10*(Z61+0.5)))),$G$10*$G$11*AA61*(EXP(-($G$10*(Z61+0.6)))),$G$10*$G$11*AA61*(EXP(-($G$10*(Z61+0.7)))),$G$10*$G$11*AA61*(EXP(-($G$10*(Z61+0.8)))),$G$10*$G$11*AA61*(EXP(-($G$10*(Z61+0.9)))))/10</f>
        <v>260781.00658081556</v>
      </c>
      <c r="AC61" s="2">
        <v>31</v>
      </c>
      <c r="AD61" s="57">
        <f t="shared" si="17"/>
        <v>250122</v>
      </c>
      <c r="AE61" s="62">
        <f t="shared" si="18"/>
        <v>284379.3706938781</v>
      </c>
      <c r="AF61" s="2">
        <v>30</v>
      </c>
      <c r="AG61" s="57">
        <f t="shared" si="19"/>
        <v>262060</v>
      </c>
      <c r="AH61" s="62">
        <f t="shared" si="20"/>
        <v>310112.10012135393</v>
      </c>
      <c r="AI61" s="2">
        <v>29</v>
      </c>
      <c r="AJ61" s="57">
        <f t="shared" si="21"/>
        <v>274569</v>
      </c>
      <c r="AK61" s="62">
        <f t="shared" si="22"/>
        <v>338174.81154814124</v>
      </c>
      <c r="AL61" s="2">
        <v>28</v>
      </c>
      <c r="AM61" s="57">
        <f t="shared" si="23"/>
        <v>287675</v>
      </c>
      <c r="AN61" s="62">
        <f t="shared" si="24"/>
        <v>368776.85456474288</v>
      </c>
      <c r="AO61" s="2">
        <v>27</v>
      </c>
      <c r="AP61" s="57">
        <f t="shared" si="25"/>
        <v>301406</v>
      </c>
      <c r="AQ61" s="62">
        <f t="shared" si="26"/>
        <v>402147.34580890043</v>
      </c>
      <c r="AR61" s="2">
        <v>26</v>
      </c>
      <c r="AS61" s="57">
        <f t="shared" si="27"/>
        <v>315793</v>
      </c>
      <c r="AT61" s="62">
        <f t="shared" si="28"/>
        <v>438538.36344142666</v>
      </c>
      <c r="AU61" s="2">
        <v>25</v>
      </c>
      <c r="AV61" s="57">
        <f t="shared" si="29"/>
        <v>330866</v>
      </c>
      <c r="AW61" s="62">
        <f t="shared" si="30"/>
        <v>478221.40699681407</v>
      </c>
      <c r="AX61" s="2">
        <v>24</v>
      </c>
      <c r="AY61" s="57">
        <f t="shared" si="31"/>
        <v>346659</v>
      </c>
      <c r="AZ61" s="62">
        <f t="shared" si="32"/>
        <v>521496.17931122251</v>
      </c>
      <c r="BA61" s="2">
        <v>23</v>
      </c>
      <c r="BB61" s="57">
        <f t="shared" si="33"/>
        <v>363206</v>
      </c>
      <c r="BC61" s="62">
        <f t="shared" si="34"/>
        <v>568687.18865998869</v>
      </c>
      <c r="BD61" s="2">
        <v>22</v>
      </c>
      <c r="BE61" s="57">
        <f t="shared" si="35"/>
        <v>380542</v>
      </c>
      <c r="BF61" s="62">
        <f t="shared" si="36"/>
        <v>620147.22685509024</v>
      </c>
      <c r="BG61" s="2">
        <v>21</v>
      </c>
      <c r="BH61" s="57">
        <f t="shared" si="37"/>
        <v>398706</v>
      </c>
      <c r="BI61" s="62">
        <f t="shared" si="38"/>
        <v>676264.76489882893</v>
      </c>
      <c r="BJ61" s="2">
        <v>20</v>
      </c>
      <c r="BK61" s="57">
        <f t="shared" si="39"/>
        <v>417737</v>
      </c>
      <c r="BL61" s="62">
        <f t="shared" si="40"/>
        <v>737460.41200212762</v>
      </c>
      <c r="BM61" s="2">
        <v>19</v>
      </c>
      <c r="BN61" s="57">
        <f t="shared" si="41"/>
        <v>437677</v>
      </c>
      <c r="BO61" s="62">
        <f t="shared" si="42"/>
        <v>804194.82191539556</v>
      </c>
      <c r="BP61" s="2">
        <v>18</v>
      </c>
      <c r="BQ61" s="57">
        <f t="shared" si="43"/>
        <v>458568</v>
      </c>
      <c r="BR61" s="62">
        <f t="shared" si="44"/>
        <v>876966.63803229353</v>
      </c>
      <c r="BS61" s="2">
        <v>17</v>
      </c>
      <c r="BT61" s="57">
        <f t="shared" si="45"/>
        <v>480456</v>
      </c>
      <c r="BU61" s="62">
        <f t="shared" si="46"/>
        <v>956323.27835922432</v>
      </c>
      <c r="BV61" s="2">
        <v>16</v>
      </c>
      <c r="BW61" s="57">
        <f t="shared" si="47"/>
        <v>503389</v>
      </c>
      <c r="BX61" s="62">
        <f t="shared" si="48"/>
        <v>1042861.4323480554</v>
      </c>
      <c r="BY61" s="2">
        <v>15</v>
      </c>
      <c r="BZ61" s="57">
        <f t="shared" si="49"/>
        <v>527417</v>
      </c>
      <c r="CA61" s="62">
        <f t="shared" si="50"/>
        <v>1137231.2591608826</v>
      </c>
      <c r="CB61" s="2">
        <v>14</v>
      </c>
      <c r="CC61" s="57">
        <f t="shared" si="51"/>
        <v>552592</v>
      </c>
      <c r="CD61" s="62">
        <f t="shared" si="52"/>
        <v>1240140.917885127</v>
      </c>
      <c r="CE61" s="2">
        <v>13</v>
      </c>
      <c r="CF61" s="57">
        <f t="shared" si="53"/>
        <v>578968</v>
      </c>
      <c r="CG61" s="62">
        <f t="shared" si="54"/>
        <v>1352361.4540930714</v>
      </c>
      <c r="CH61" s="2">
        <v>12</v>
      </c>
      <c r="CI61" s="57">
        <f t="shared" si="55"/>
        <v>606603</v>
      </c>
      <c r="CJ61" s="62">
        <f t="shared" si="56"/>
        <v>1474736.9311015408</v>
      </c>
      <c r="CK61" s="2">
        <v>11</v>
      </c>
      <c r="CL61" s="57">
        <f t="shared" si="57"/>
        <v>635558</v>
      </c>
      <c r="CM61" s="62">
        <f t="shared" si="58"/>
        <v>1608188.5710475021</v>
      </c>
      <c r="CN61" s="2">
        <v>10</v>
      </c>
      <c r="CO61" s="57">
        <f t="shared" si="59"/>
        <v>665894</v>
      </c>
      <c r="CP61" s="62">
        <f t="shared" si="60"/>
        <v>1753713.5706564884</v>
      </c>
      <c r="CQ61" s="2">
        <v>9</v>
      </c>
      <c r="CR61" s="57">
        <f t="shared" si="61"/>
        <v>697679</v>
      </c>
      <c r="CS61" s="62">
        <f t="shared" si="62"/>
        <v>1912409.9350872387</v>
      </c>
      <c r="CT61" s="2">
        <v>8</v>
      </c>
      <c r="CU61" s="57">
        <f t="shared" si="63"/>
        <v>730980</v>
      </c>
      <c r="CV61" s="62">
        <f t="shared" si="64"/>
        <v>2085463.6003937409</v>
      </c>
      <c r="CW61" s="2">
        <v>7</v>
      </c>
      <c r="CX61" s="57">
        <f t="shared" si="65"/>
        <v>765871</v>
      </c>
      <c r="CY61" s="62">
        <f t="shared" si="66"/>
        <v>2274178.3662938895</v>
      </c>
      <c r="CZ61" s="2">
        <v>6</v>
      </c>
      <c r="DA61" s="57">
        <f t="shared" si="67"/>
        <v>0</v>
      </c>
      <c r="DB61" s="62">
        <f t="shared" si="68"/>
        <v>0</v>
      </c>
      <c r="DC61" s="2">
        <v>5</v>
      </c>
      <c r="DD61" s="57">
        <f t="shared" si="71"/>
        <v>0</v>
      </c>
      <c r="DE61" s="62">
        <f t="shared" si="72"/>
        <v>0</v>
      </c>
      <c r="DF61" s="2">
        <v>4</v>
      </c>
      <c r="DG61" s="57">
        <f t="shared" si="75"/>
        <v>0</v>
      </c>
      <c r="DH61" s="62">
        <f t="shared" si="76"/>
        <v>0</v>
      </c>
      <c r="DI61" s="2">
        <v>3</v>
      </c>
      <c r="DJ61" s="57">
        <f t="shared" si="79"/>
        <v>0</v>
      </c>
      <c r="DK61" s="62">
        <f t="shared" si="80"/>
        <v>0</v>
      </c>
      <c r="DL61" s="2">
        <v>2</v>
      </c>
      <c r="DM61" s="57">
        <f t="shared" si="83"/>
        <v>0</v>
      </c>
      <c r="DN61" s="62">
        <f t="shared" si="84"/>
        <v>0</v>
      </c>
      <c r="DO61" s="2">
        <v>1</v>
      </c>
      <c r="DP61" s="57">
        <f t="shared" si="87"/>
        <v>0</v>
      </c>
      <c r="DQ61" s="62">
        <f t="shared" si="88"/>
        <v>0</v>
      </c>
      <c r="DR61" s="2">
        <v>0</v>
      </c>
      <c r="DS61" s="57">
        <f t="shared" ref="DS61:DS92" si="91">$E$60</f>
        <v>0</v>
      </c>
      <c r="DT61" s="62">
        <f t="shared" ref="DT61:DT92" si="92">SUM($G$10*$G$11*DS61*(EXP(-($G$10*DR61))),$G$10*$G$11*DS61*(EXP(-($G$10*(DR61+0.1)))),$G$10*$G$11*DS61*(EXP(-($G$10*(DR61+0.2)))),$G$10*$G$11*DS61*(EXP(-($G$10*(DR61+0.3)))),$G$10*$G$11*DS61*(EXP(-($G$10*(DR61+0.4)))),$G$10*$G$11*DS61*(EXP(-($G$10*(DR61+0.5)))),$G$10*$G$11*DS61*(EXP(-($G$10*(DR61+0.6)))),$G$10*$G$11*DS61*(EXP(-($G$10*(DR61+0.7)))),$G$10*$G$11*DS61*(EXP(-($G$10*(DR61+0.8)))),$G$10*$G$11*DS61*(EXP(-($G$10*(DR61+0.9)))))/10</f>
        <v>0</v>
      </c>
      <c r="DU61" s="1"/>
      <c r="DV61" s="1"/>
      <c r="DW61" s="1"/>
      <c r="DX61" s="1"/>
      <c r="DY61" s="1"/>
      <c r="DZ61" s="1"/>
      <c r="EA61" s="361"/>
      <c r="EB61" s="361"/>
      <c r="EC61" s="361"/>
      <c r="ED61" s="361"/>
      <c r="EE61" s="361"/>
      <c r="EF61" s="361"/>
      <c r="EG61" s="361"/>
      <c r="EH61" s="361"/>
      <c r="EI61" s="361"/>
      <c r="EJ61" s="361"/>
      <c r="EK61" s="361"/>
      <c r="EL61" s="361"/>
      <c r="EM61" s="361"/>
      <c r="EN61" s="361"/>
      <c r="EO61" s="361"/>
      <c r="EP61" s="361"/>
      <c r="EQ61" s="361"/>
      <c r="ER61" s="361"/>
      <c r="ES61" s="361"/>
      <c r="ET61" s="361"/>
      <c r="EU61" s="361"/>
      <c r="EV61" s="361"/>
      <c r="EW61" s="361"/>
      <c r="EX61" s="361"/>
      <c r="EY61" s="361"/>
      <c r="EZ61" s="361"/>
      <c r="FA61" s="361"/>
      <c r="FB61" s="361"/>
      <c r="FC61" s="361"/>
      <c r="FD61" s="361"/>
      <c r="FE61" s="361"/>
      <c r="FF61" s="361"/>
      <c r="FG61" s="361"/>
      <c r="FH61" s="361"/>
      <c r="FI61" s="361"/>
      <c r="FJ61" s="361"/>
      <c r="FK61" s="361"/>
      <c r="FL61" s="361"/>
      <c r="FM61" s="361"/>
      <c r="FN61" s="361"/>
      <c r="FO61" s="361"/>
      <c r="FP61" s="361"/>
      <c r="FQ61" s="361"/>
      <c r="FR61" s="361"/>
      <c r="FS61" s="361"/>
      <c r="FT61" s="361"/>
      <c r="FU61" s="361"/>
      <c r="FV61" s="361"/>
      <c r="FW61" s="361"/>
      <c r="FX61" s="361"/>
      <c r="FY61" s="361"/>
      <c r="FZ61" s="361"/>
      <c r="GA61" s="361"/>
      <c r="GB61" s="361"/>
      <c r="GC61" s="361"/>
      <c r="GD61" s="361"/>
      <c r="GE61" s="361"/>
      <c r="GF61" s="361"/>
      <c r="GG61" s="361"/>
      <c r="GH61" s="361"/>
      <c r="GI61" s="361"/>
      <c r="GJ61" s="361"/>
      <c r="GK61" s="361"/>
      <c r="GL61" s="361"/>
      <c r="GM61" s="361"/>
      <c r="GN61" s="361"/>
      <c r="GO61" s="361"/>
      <c r="GP61" s="361"/>
      <c r="GQ61" s="361"/>
      <c r="GR61" s="361"/>
      <c r="GS61" s="361"/>
      <c r="GT61" s="361"/>
      <c r="GU61" s="361"/>
      <c r="GV61" s="361"/>
      <c r="GW61" s="361"/>
      <c r="GX61" s="361"/>
      <c r="GY61" s="361"/>
      <c r="GZ61" s="361"/>
      <c r="HA61" s="361"/>
      <c r="HB61" s="361"/>
      <c r="HC61" s="361"/>
      <c r="HD61" s="361"/>
      <c r="HE61" s="361"/>
      <c r="HF61" s="361"/>
      <c r="HG61" s="361"/>
      <c r="HH61" s="361"/>
      <c r="HI61" s="361"/>
      <c r="HJ61" s="361"/>
      <c r="HK61" s="361"/>
      <c r="HL61" s="361"/>
      <c r="HM61" s="361"/>
      <c r="HN61" s="361"/>
      <c r="HO61" s="361"/>
      <c r="HP61" s="361"/>
      <c r="HQ61" s="361"/>
      <c r="HR61" s="361"/>
      <c r="HS61" s="361"/>
      <c r="HT61" s="361"/>
      <c r="HU61" s="361"/>
      <c r="HV61" s="361"/>
      <c r="HW61" s="361"/>
      <c r="HX61" s="361"/>
      <c r="HY61" s="361"/>
      <c r="HZ61" s="361"/>
      <c r="IA61" s="361"/>
      <c r="IB61" s="361"/>
      <c r="IC61" s="361"/>
      <c r="ID61" s="361"/>
      <c r="IE61" s="361"/>
      <c r="IF61" s="361"/>
      <c r="IG61" s="361"/>
      <c r="IH61" s="361"/>
      <c r="II61" s="361"/>
      <c r="IJ61" s="361"/>
      <c r="IK61" s="361"/>
      <c r="IL61" s="361"/>
      <c r="IM61" s="361"/>
      <c r="IN61" s="361"/>
      <c r="IO61" s="361"/>
      <c r="IP61" s="361"/>
    </row>
    <row r="62" spans="2:250">
      <c r="B62" s="56">
        <f>'USER INPUTS'!J47</f>
        <v>2057</v>
      </c>
      <c r="C62" s="420">
        <f>IF(OR(AND(ClosureCalcYes=TRUE,WasteCapacity=""),AND(ClosureCalcYes=FALSE,ClosureYear="")),0,IF('USER INPUTS'!K47&gt;0,IF('USER INPUTS'!$K$4="Mg/year",'USER INPUTS'!K47,'USER INPUTS'!L47),0))</f>
        <v>0</v>
      </c>
      <c r="D62" s="420">
        <f t="shared" si="6"/>
        <v>12946986</v>
      </c>
      <c r="E62" s="420">
        <f>IF(ClosureCalcYes=FALSE,IF(AND(B62&lt;ClosureYear,C62=0,SUM(C62:$C$102)=0),$D$13,IF(B62&lt;=ClosureYear,C62,0)),IF(B62=$D$16,($D$14-F62),IF(B62&lt;$D$16,IF(SUM(C62:$C$102)=0,$D$13,C62),0)))</f>
        <v>0</v>
      </c>
      <c r="F62" s="66">
        <f t="shared" si="7"/>
        <v>12946986</v>
      </c>
      <c r="G62" s="284">
        <f>IF(SUM(C63:$C$101)=0,C62,0)</f>
        <v>0</v>
      </c>
      <c r="H62" s="284">
        <f t="shared" si="0"/>
        <v>0</v>
      </c>
      <c r="I62" s="2">
        <f t="shared" si="8"/>
        <v>2057</v>
      </c>
      <c r="J62" s="379">
        <f t="shared" si="1"/>
        <v>24619867.422016189</v>
      </c>
      <c r="K62" s="2">
        <v>38</v>
      </c>
      <c r="L62" s="57">
        <f t="shared" si="69"/>
        <v>189082</v>
      </c>
      <c r="M62" s="62">
        <f t="shared" si="70"/>
        <v>162477.76207461202</v>
      </c>
      <c r="N62" s="2">
        <v>37</v>
      </c>
      <c r="O62" s="57">
        <f t="shared" si="73"/>
        <v>293489</v>
      </c>
      <c r="P62" s="62">
        <f t="shared" si="74"/>
        <v>262486.72782627592</v>
      </c>
      <c r="Q62" s="2">
        <v>36</v>
      </c>
      <c r="R62" s="57">
        <f t="shared" si="77"/>
        <v>283523</v>
      </c>
      <c r="S62" s="62">
        <f t="shared" si="78"/>
        <v>263922.00103203743</v>
      </c>
      <c r="T62" s="2">
        <v>35</v>
      </c>
      <c r="U62" s="57">
        <f t="shared" si="81"/>
        <v>143321</v>
      </c>
      <c r="V62" s="62">
        <f t="shared" si="82"/>
        <v>138857.3615061662</v>
      </c>
      <c r="W62" s="2">
        <v>34</v>
      </c>
      <c r="X62" s="57">
        <f t="shared" si="85"/>
        <v>227851</v>
      </c>
      <c r="Y62" s="62">
        <f t="shared" si="86"/>
        <v>229763.90157018509</v>
      </c>
      <c r="Z62" s="2">
        <v>33</v>
      </c>
      <c r="AA62" s="57">
        <f t="shared" si="89"/>
        <v>238727</v>
      </c>
      <c r="AB62" s="62">
        <f t="shared" si="90"/>
        <v>250555.63705436009</v>
      </c>
      <c r="AC62" s="2">
        <v>32</v>
      </c>
      <c r="AD62" s="57">
        <f t="shared" ref="AD62:AD93" si="93">$E$29</f>
        <v>250122</v>
      </c>
      <c r="AE62" s="62">
        <f t="shared" ref="AE62:AE93" si="94">SUM($G$10*$G$11*AD62*(EXP(-($G$10*AC62))),$G$10*$G$11*AD62*(EXP(-($G$10*(AC62+0.1)))),$G$10*$G$11*AD62*(EXP(-($G$10*(AC62+0.2)))),$G$10*$G$11*AD62*(EXP(-($G$10*(AC62+0.3)))),$G$10*$G$11*AD62*(EXP(-($G$10*(AC62+0.4)))),$G$10*$G$11*AD62*(EXP(-($G$10*(AC62+0.5)))),$G$10*$G$11*AD62*(EXP(-($G$10*(AC62+0.6)))),$G$10*$G$11*AD62*(EXP(-($G$10*(AC62+0.7)))),$G$10*$G$11*AD62*(EXP(-($G$10*(AC62+0.8)))),$G$10*$G$11*AD62*(EXP(-($G$10*(AC62+0.9)))))/10</f>
        <v>273228.69607546169</v>
      </c>
      <c r="AF62" s="2">
        <v>31</v>
      </c>
      <c r="AG62" s="57">
        <f t="shared" si="19"/>
        <v>262060</v>
      </c>
      <c r="AH62" s="62">
        <f t="shared" si="20"/>
        <v>297952.43074994476</v>
      </c>
      <c r="AI62" s="2">
        <v>30</v>
      </c>
      <c r="AJ62" s="57">
        <f t="shared" si="21"/>
        <v>274569</v>
      </c>
      <c r="AK62" s="62">
        <f t="shared" si="22"/>
        <v>324914.78752278117</v>
      </c>
      <c r="AL62" s="2">
        <v>29</v>
      </c>
      <c r="AM62" s="57">
        <f t="shared" si="23"/>
        <v>287675</v>
      </c>
      <c r="AN62" s="62">
        <f t="shared" si="24"/>
        <v>354316.90726961714</v>
      </c>
      <c r="AO62" s="2">
        <v>28</v>
      </c>
      <c r="AP62" s="57">
        <f t="shared" si="25"/>
        <v>301406</v>
      </c>
      <c r="AQ62" s="62">
        <f t="shared" si="26"/>
        <v>386378.92283632874</v>
      </c>
      <c r="AR62" s="2">
        <v>27</v>
      </c>
      <c r="AS62" s="57">
        <f t="shared" si="27"/>
        <v>315793</v>
      </c>
      <c r="AT62" s="62">
        <f t="shared" si="28"/>
        <v>421343.02825766604</v>
      </c>
      <c r="AU62" s="2">
        <v>26</v>
      </c>
      <c r="AV62" s="57">
        <f t="shared" si="29"/>
        <v>330866</v>
      </c>
      <c r="AW62" s="62">
        <f t="shared" si="30"/>
        <v>459470.07741910394</v>
      </c>
      <c r="AX62" s="2">
        <v>25</v>
      </c>
      <c r="AY62" s="57">
        <f t="shared" si="31"/>
        <v>346659</v>
      </c>
      <c r="AZ62" s="62">
        <f t="shared" si="32"/>
        <v>501048.02164050878</v>
      </c>
      <c r="BA62" s="2">
        <v>24</v>
      </c>
      <c r="BB62" s="57">
        <f t="shared" si="33"/>
        <v>363206</v>
      </c>
      <c r="BC62" s="62">
        <f t="shared" si="34"/>
        <v>546388.64504574193</v>
      </c>
      <c r="BD62" s="2">
        <v>23</v>
      </c>
      <c r="BE62" s="57">
        <f t="shared" si="35"/>
        <v>380542</v>
      </c>
      <c r="BF62" s="62">
        <f t="shared" si="36"/>
        <v>595830.90628197044</v>
      </c>
      <c r="BG62" s="2">
        <v>22</v>
      </c>
      <c r="BH62" s="57">
        <f t="shared" si="37"/>
        <v>398706</v>
      </c>
      <c r="BI62" s="62">
        <f t="shared" si="38"/>
        <v>649748.04418562376</v>
      </c>
      <c r="BJ62" s="2">
        <v>21</v>
      </c>
      <c r="BK62" s="57">
        <f t="shared" si="39"/>
        <v>417737</v>
      </c>
      <c r="BL62" s="62">
        <f t="shared" si="40"/>
        <v>708544.17564456561</v>
      </c>
      <c r="BM62" s="2">
        <v>20</v>
      </c>
      <c r="BN62" s="57">
        <f t="shared" si="41"/>
        <v>437677</v>
      </c>
      <c r="BO62" s="62">
        <f t="shared" si="42"/>
        <v>772661.8919172954</v>
      </c>
      <c r="BP62" s="2">
        <v>19</v>
      </c>
      <c r="BQ62" s="57">
        <f t="shared" si="43"/>
        <v>458568</v>
      </c>
      <c r="BR62" s="62">
        <f t="shared" si="44"/>
        <v>842580.28431034554</v>
      </c>
      <c r="BS62" s="2">
        <v>18</v>
      </c>
      <c r="BT62" s="57">
        <f t="shared" si="45"/>
        <v>480456</v>
      </c>
      <c r="BU62" s="62">
        <f t="shared" si="46"/>
        <v>918825.3062630702</v>
      </c>
      <c r="BV62" s="2">
        <v>17</v>
      </c>
      <c r="BW62" s="57">
        <f t="shared" si="47"/>
        <v>503389</v>
      </c>
      <c r="BX62" s="62">
        <f t="shared" si="48"/>
        <v>1001970.2506992763</v>
      </c>
      <c r="BY62" s="2">
        <v>16</v>
      </c>
      <c r="BZ62" s="57">
        <f t="shared" si="49"/>
        <v>527417</v>
      </c>
      <c r="CA62" s="62">
        <f t="shared" si="50"/>
        <v>1092639.7836756746</v>
      </c>
      <c r="CB62" s="2">
        <v>15</v>
      </c>
      <c r="CC62" s="57">
        <f t="shared" si="51"/>
        <v>552592</v>
      </c>
      <c r="CD62" s="62">
        <f t="shared" si="52"/>
        <v>1191514.2969646987</v>
      </c>
      <c r="CE62" s="2">
        <v>14</v>
      </c>
      <c r="CF62" s="57">
        <f t="shared" si="53"/>
        <v>578968</v>
      </c>
      <c r="CG62" s="62">
        <f t="shared" si="54"/>
        <v>1299334.6030093022</v>
      </c>
      <c r="CH62" s="2">
        <v>13</v>
      </c>
      <c r="CI62" s="57">
        <f t="shared" si="55"/>
        <v>606603</v>
      </c>
      <c r="CJ62" s="62">
        <f t="shared" si="56"/>
        <v>1416911.6689302679</v>
      </c>
      <c r="CK62" s="2">
        <v>12</v>
      </c>
      <c r="CL62" s="57">
        <f t="shared" si="57"/>
        <v>635558</v>
      </c>
      <c r="CM62" s="62">
        <f t="shared" si="58"/>
        <v>1545130.5952279055</v>
      </c>
      <c r="CN62" s="2">
        <v>11</v>
      </c>
      <c r="CO62" s="57">
        <f t="shared" si="59"/>
        <v>665894</v>
      </c>
      <c r="CP62" s="62">
        <f t="shared" si="60"/>
        <v>1684949.4779848657</v>
      </c>
      <c r="CQ62" s="2">
        <v>10</v>
      </c>
      <c r="CR62" s="57">
        <f t="shared" si="61"/>
        <v>697679</v>
      </c>
      <c r="CS62" s="62">
        <f t="shared" si="62"/>
        <v>1837423.2689617989</v>
      </c>
      <c r="CT62" s="2">
        <v>9</v>
      </c>
      <c r="CU62" s="57">
        <f t="shared" si="63"/>
        <v>730980</v>
      </c>
      <c r="CV62" s="62">
        <f t="shared" si="64"/>
        <v>2003691.4029948867</v>
      </c>
      <c r="CW62" s="2">
        <v>8</v>
      </c>
      <c r="CX62" s="57">
        <f t="shared" si="65"/>
        <v>765871</v>
      </c>
      <c r="CY62" s="62">
        <f t="shared" si="66"/>
        <v>2185006.5570838531</v>
      </c>
      <c r="CZ62" s="2">
        <v>7</v>
      </c>
      <c r="DA62" s="57">
        <f t="shared" si="67"/>
        <v>0</v>
      </c>
      <c r="DB62" s="62">
        <f t="shared" si="68"/>
        <v>0</v>
      </c>
      <c r="DC62" s="2">
        <v>6</v>
      </c>
      <c r="DD62" s="57">
        <f t="shared" si="71"/>
        <v>0</v>
      </c>
      <c r="DE62" s="62">
        <f t="shared" si="72"/>
        <v>0</v>
      </c>
      <c r="DF62" s="2">
        <v>5</v>
      </c>
      <c r="DG62" s="57">
        <f t="shared" si="75"/>
        <v>0</v>
      </c>
      <c r="DH62" s="62">
        <f t="shared" si="76"/>
        <v>0</v>
      </c>
      <c r="DI62" s="2">
        <v>4</v>
      </c>
      <c r="DJ62" s="57">
        <f t="shared" si="79"/>
        <v>0</v>
      </c>
      <c r="DK62" s="62">
        <f t="shared" si="80"/>
        <v>0</v>
      </c>
      <c r="DL62" s="2">
        <v>3</v>
      </c>
      <c r="DM62" s="57">
        <f t="shared" si="83"/>
        <v>0</v>
      </c>
      <c r="DN62" s="62">
        <f t="shared" si="84"/>
        <v>0</v>
      </c>
      <c r="DO62" s="2">
        <v>2</v>
      </c>
      <c r="DP62" s="57">
        <f t="shared" si="87"/>
        <v>0</v>
      </c>
      <c r="DQ62" s="62">
        <f t="shared" si="88"/>
        <v>0</v>
      </c>
      <c r="DR62" s="2">
        <v>1</v>
      </c>
      <c r="DS62" s="57">
        <f t="shared" si="91"/>
        <v>0</v>
      </c>
      <c r="DT62" s="62">
        <f t="shared" si="92"/>
        <v>0</v>
      </c>
      <c r="DU62" s="2">
        <v>0</v>
      </c>
      <c r="DV62" s="57">
        <f t="shared" ref="DV62:DV93" si="95">$E$61</f>
        <v>0</v>
      </c>
      <c r="DW62" s="62">
        <f t="shared" ref="DW62:DW93" si="96">SUM($G$10*$G$11*DV62*(EXP(-($G$10*DU62))),$G$10*$G$11*DV62*(EXP(-($G$10*(DU62+0.1)))),$G$10*$G$11*DV62*(EXP(-($G$10*(DU62+0.2)))),$G$10*$G$11*DV62*(EXP(-($G$10*(DU62+0.3)))),$G$10*$G$11*DV62*(EXP(-($G$10*(DU62+0.4)))),$G$10*$G$11*DV62*(EXP(-($G$10*(DU62+0.5)))),$G$10*$G$11*DV62*(EXP(-($G$10*(DU62+0.6)))),$G$10*$G$11*DV62*(EXP(-($G$10*(DU62+0.7)))),$G$10*$G$11*DV62*(EXP(-($G$10*(DU62+0.8)))),$G$10*$G$11*DV62*(EXP(-($G$10*(DU62+0.9)))))/10</f>
        <v>0</v>
      </c>
      <c r="DX62" s="1"/>
      <c r="DY62" s="1"/>
      <c r="DZ62" s="1"/>
      <c r="EA62" s="361"/>
      <c r="EB62" s="361"/>
      <c r="EC62" s="361"/>
      <c r="ED62" s="361"/>
      <c r="EE62" s="361"/>
      <c r="EF62" s="361"/>
      <c r="EG62" s="361"/>
      <c r="EH62" s="361"/>
      <c r="EI62" s="361"/>
      <c r="EJ62" s="361"/>
      <c r="EK62" s="361"/>
      <c r="EL62" s="361"/>
      <c r="EM62" s="361"/>
      <c r="EN62" s="361"/>
      <c r="EO62" s="361"/>
      <c r="EP62" s="361"/>
      <c r="EQ62" s="361"/>
      <c r="ER62" s="361"/>
      <c r="ES62" s="361"/>
      <c r="ET62" s="361"/>
      <c r="EU62" s="361"/>
      <c r="EV62" s="361"/>
      <c r="EW62" s="361"/>
      <c r="EX62" s="361"/>
      <c r="EY62" s="361"/>
      <c r="EZ62" s="361"/>
      <c r="FA62" s="361"/>
      <c r="FB62" s="361"/>
      <c r="FC62" s="361"/>
      <c r="FD62" s="361"/>
      <c r="FE62" s="361"/>
      <c r="FF62" s="361"/>
      <c r="FG62" s="361"/>
      <c r="FH62" s="361"/>
      <c r="FI62" s="361"/>
      <c r="FJ62" s="361"/>
      <c r="FK62" s="361"/>
      <c r="FL62" s="361"/>
      <c r="FM62" s="361"/>
      <c r="FN62" s="361"/>
      <c r="FO62" s="361"/>
      <c r="FP62" s="361"/>
      <c r="FQ62" s="361"/>
      <c r="FR62" s="361"/>
      <c r="FS62" s="361"/>
      <c r="FT62" s="361"/>
      <c r="FU62" s="361"/>
      <c r="FV62" s="361"/>
      <c r="FW62" s="361"/>
      <c r="FX62" s="361"/>
      <c r="FY62" s="361"/>
      <c r="FZ62" s="361"/>
      <c r="GA62" s="361"/>
      <c r="GB62" s="361"/>
      <c r="GC62" s="361"/>
      <c r="GD62" s="361"/>
      <c r="GE62" s="361"/>
      <c r="GF62" s="361"/>
      <c r="GG62" s="361"/>
      <c r="GH62" s="361"/>
      <c r="GI62" s="361"/>
      <c r="GJ62" s="361"/>
      <c r="GK62" s="361"/>
      <c r="GL62" s="361"/>
      <c r="GM62" s="361"/>
      <c r="GN62" s="361"/>
      <c r="GO62" s="361"/>
      <c r="GP62" s="361"/>
      <c r="GQ62" s="361"/>
      <c r="GR62" s="361"/>
      <c r="GS62" s="361"/>
      <c r="GT62" s="361"/>
      <c r="GU62" s="361"/>
      <c r="GV62" s="361"/>
      <c r="GW62" s="361"/>
      <c r="GX62" s="361"/>
      <c r="GY62" s="361"/>
      <c r="GZ62" s="361"/>
      <c r="HA62" s="361"/>
      <c r="HB62" s="361"/>
      <c r="HC62" s="361"/>
      <c r="HD62" s="361"/>
      <c r="HE62" s="361"/>
      <c r="HF62" s="361"/>
      <c r="HG62" s="361"/>
      <c r="HH62" s="361"/>
      <c r="HI62" s="361"/>
      <c r="HJ62" s="361"/>
      <c r="HK62" s="361"/>
      <c r="HL62" s="361"/>
      <c r="HM62" s="361"/>
      <c r="HN62" s="361"/>
      <c r="HO62" s="361"/>
      <c r="HP62" s="361"/>
      <c r="HQ62" s="361"/>
      <c r="HR62" s="361"/>
      <c r="HS62" s="361"/>
      <c r="HT62" s="361"/>
      <c r="HU62" s="361"/>
      <c r="HV62" s="361"/>
      <c r="HW62" s="361"/>
      <c r="HX62" s="361"/>
      <c r="HY62" s="361"/>
      <c r="HZ62" s="361"/>
      <c r="IA62" s="361"/>
      <c r="IB62" s="361"/>
      <c r="IC62" s="361"/>
      <c r="ID62" s="361"/>
      <c r="IE62" s="361"/>
      <c r="IF62" s="361"/>
      <c r="IG62" s="361"/>
      <c r="IH62" s="361"/>
      <c r="II62" s="361"/>
      <c r="IJ62" s="361"/>
      <c r="IK62" s="361"/>
      <c r="IL62" s="361"/>
      <c r="IM62" s="361"/>
      <c r="IN62" s="361"/>
      <c r="IO62" s="361"/>
      <c r="IP62" s="361"/>
    </row>
    <row r="63" spans="2:250">
      <c r="B63" s="56">
        <f>'USER INPUTS'!J48</f>
        <v>2058</v>
      </c>
      <c r="C63" s="420">
        <f>IF(OR(AND(ClosureCalcYes=TRUE,WasteCapacity=""),AND(ClosureCalcYes=FALSE,ClosureYear="")),0,IF('USER INPUTS'!K48&gt;0,IF('USER INPUTS'!$K$4="Mg/year",'USER INPUTS'!K48,'USER INPUTS'!L48),0))</f>
        <v>0</v>
      </c>
      <c r="D63" s="420">
        <f t="shared" ref="D63:D102" si="97">C62+D62</f>
        <v>12946986</v>
      </c>
      <c r="E63" s="420">
        <f>IF(ClosureCalcYes=FALSE,IF(AND(B63&lt;ClosureYear,C63=0,SUM(C63:$C$102)=0),$D$13,IF(B63&lt;=ClosureYear,C63,0)),IF(B63=$D$16,($D$14-F63),IF(B63&lt;$D$16,IF(SUM(C63:$C$102)=0,$D$13,C63),0)))</f>
        <v>0</v>
      </c>
      <c r="F63" s="66">
        <f t="shared" ref="F63:F102" si="98">E62+F62</f>
        <v>12946986</v>
      </c>
      <c r="G63" s="284">
        <f>IF(SUM(C64:$C$101)=0,C63,0)</f>
        <v>0</v>
      </c>
      <c r="H63" s="284">
        <f t="shared" ref="H63:H102" si="99">IF(G63&gt;0,B63,0)</f>
        <v>0</v>
      </c>
      <c r="I63" s="2">
        <f t="shared" si="8"/>
        <v>2058</v>
      </c>
      <c r="J63" s="379">
        <f t="shared" si="1"/>
        <v>23654508.612403493</v>
      </c>
      <c r="K63" s="2">
        <v>39</v>
      </c>
      <c r="L63" s="57">
        <f t="shared" si="69"/>
        <v>189082</v>
      </c>
      <c r="M63" s="62">
        <f t="shared" si="70"/>
        <v>156106.91789839108</v>
      </c>
      <c r="N63" s="2">
        <v>38</v>
      </c>
      <c r="O63" s="57">
        <f t="shared" si="73"/>
        <v>293489</v>
      </c>
      <c r="P63" s="62">
        <f t="shared" si="74"/>
        <v>252194.47601313615</v>
      </c>
      <c r="Q63" s="2">
        <v>37</v>
      </c>
      <c r="R63" s="57">
        <f t="shared" si="77"/>
        <v>283523</v>
      </c>
      <c r="S63" s="62">
        <f t="shared" si="78"/>
        <v>253573.47135153011</v>
      </c>
      <c r="T63" s="2">
        <v>36</v>
      </c>
      <c r="U63" s="57">
        <f t="shared" si="81"/>
        <v>143321</v>
      </c>
      <c r="V63" s="62">
        <f t="shared" si="82"/>
        <v>133412.68648368082</v>
      </c>
      <c r="W63" s="2">
        <v>35</v>
      </c>
      <c r="X63" s="57">
        <f t="shared" si="85"/>
        <v>227851</v>
      </c>
      <c r="Y63" s="62">
        <f t="shared" si="86"/>
        <v>220754.73012706771</v>
      </c>
      <c r="Z63" s="2">
        <v>34</v>
      </c>
      <c r="AA63" s="57">
        <f t="shared" si="89"/>
        <v>238727</v>
      </c>
      <c r="AB63" s="62">
        <f t="shared" si="90"/>
        <v>240731.21000191174</v>
      </c>
      <c r="AC63" s="2">
        <v>33</v>
      </c>
      <c r="AD63" s="57">
        <f t="shared" si="93"/>
        <v>250122</v>
      </c>
      <c r="AE63" s="62">
        <f t="shared" si="94"/>
        <v>262515.24566266342</v>
      </c>
      <c r="AF63" s="2">
        <v>32</v>
      </c>
      <c r="AG63" s="57">
        <f t="shared" ref="AG63:AG94" si="100">$E$30</f>
        <v>262060</v>
      </c>
      <c r="AH63" s="62">
        <f t="shared" ref="AH63:AH94" si="101">SUM($G$10*$G$11*AG63*(EXP(-($G$10*AF63))),$G$10*$G$11*AG63*(EXP(-($G$10*(AF63+0.1)))),$G$10*$G$11*AG63*(EXP(-($G$10*(AF63+0.2)))),$G$10*$G$11*AG63*(EXP(-($G$10*(AF63+0.3)))),$G$10*$G$11*AG63*(EXP(-($G$10*(AF63+0.4)))),$G$10*$G$11*AG63*(EXP(-($G$10*(AF63+0.5)))),$G$10*$G$11*AG63*(EXP(-($G$10*(AF63+0.6)))),$G$10*$G$11*AG63*(EXP(-($G$10*(AF63+0.7)))),$G$10*$G$11*AG63*(EXP(-($G$10*(AF63+0.8)))),$G$10*$G$11*AG63*(EXP(-($G$10*(AF63+0.9)))))/10</f>
        <v>286269.54883431084</v>
      </c>
      <c r="AI63" s="2">
        <v>31</v>
      </c>
      <c r="AJ63" s="57">
        <f t="shared" si="21"/>
        <v>274569</v>
      </c>
      <c r="AK63" s="62">
        <f t="shared" si="22"/>
        <v>312174.69647630921</v>
      </c>
      <c r="AL63" s="2">
        <v>30</v>
      </c>
      <c r="AM63" s="57">
        <f t="shared" si="23"/>
        <v>287675</v>
      </c>
      <c r="AN63" s="62">
        <f t="shared" si="24"/>
        <v>340423.94261776126</v>
      </c>
      <c r="AO63" s="2">
        <v>29</v>
      </c>
      <c r="AP63" s="57">
        <f t="shared" si="25"/>
        <v>301406</v>
      </c>
      <c r="AQ63" s="62">
        <f t="shared" si="26"/>
        <v>371228.7885721951</v>
      </c>
      <c r="AR63" s="2">
        <v>28</v>
      </c>
      <c r="AS63" s="57">
        <f t="shared" si="27"/>
        <v>315793</v>
      </c>
      <c r="AT63" s="62">
        <f t="shared" si="28"/>
        <v>404821.93181042443</v>
      </c>
      <c r="AU63" s="2">
        <v>27</v>
      </c>
      <c r="AV63" s="57">
        <f t="shared" si="29"/>
        <v>330866</v>
      </c>
      <c r="AW63" s="62">
        <f t="shared" si="30"/>
        <v>441453.99799077539</v>
      </c>
      <c r="AX63" s="2">
        <v>26</v>
      </c>
      <c r="AY63" s="57">
        <f t="shared" si="31"/>
        <v>346659</v>
      </c>
      <c r="AZ63" s="62">
        <f t="shared" si="32"/>
        <v>481401.64770036563</v>
      </c>
      <c r="BA63" s="2">
        <v>25</v>
      </c>
      <c r="BB63" s="57">
        <f t="shared" si="33"/>
        <v>363206</v>
      </c>
      <c r="BC63" s="62">
        <f t="shared" si="34"/>
        <v>524964.43983269623</v>
      </c>
      <c r="BD63" s="2">
        <v>24</v>
      </c>
      <c r="BE63" s="57">
        <f t="shared" si="35"/>
        <v>380542</v>
      </c>
      <c r="BF63" s="62">
        <f t="shared" si="36"/>
        <v>572468.04227627511</v>
      </c>
      <c r="BG63" s="2">
        <v>23</v>
      </c>
      <c r="BH63" s="57">
        <f t="shared" si="37"/>
        <v>398706</v>
      </c>
      <c r="BI63" s="62">
        <f t="shared" si="38"/>
        <v>624271.05896342429</v>
      </c>
      <c r="BJ63" s="2">
        <v>22</v>
      </c>
      <c r="BK63" s="57">
        <f t="shared" si="39"/>
        <v>417737</v>
      </c>
      <c r="BL63" s="62">
        <f t="shared" si="40"/>
        <v>680761.76113218721</v>
      </c>
      <c r="BM63" s="2">
        <v>21</v>
      </c>
      <c r="BN63" s="57">
        <f t="shared" si="41"/>
        <v>437677</v>
      </c>
      <c r="BO63" s="62">
        <f t="shared" si="42"/>
        <v>742365.38578959147</v>
      </c>
      <c r="BP63" s="2">
        <v>20</v>
      </c>
      <c r="BQ63" s="57">
        <f t="shared" si="43"/>
        <v>458568</v>
      </c>
      <c r="BR63" s="62">
        <f t="shared" si="44"/>
        <v>809542.2388033421</v>
      </c>
      <c r="BS63" s="2">
        <v>19</v>
      </c>
      <c r="BT63" s="57">
        <f t="shared" si="45"/>
        <v>480456</v>
      </c>
      <c r="BU63" s="62">
        <f t="shared" si="46"/>
        <v>882797.6506834568</v>
      </c>
      <c r="BV63" s="2">
        <v>18</v>
      </c>
      <c r="BW63" s="57">
        <f t="shared" si="47"/>
        <v>503389</v>
      </c>
      <c r="BX63" s="62">
        <f t="shared" si="48"/>
        <v>962682.43521667051</v>
      </c>
      <c r="BY63" s="2">
        <v>17</v>
      </c>
      <c r="BZ63" s="57">
        <f t="shared" si="49"/>
        <v>527417</v>
      </c>
      <c r="CA63" s="62">
        <f t="shared" si="50"/>
        <v>1049796.7649532673</v>
      </c>
      <c r="CB63" s="2">
        <v>16</v>
      </c>
      <c r="CC63" s="57">
        <f t="shared" si="51"/>
        <v>552592</v>
      </c>
      <c r="CD63" s="62">
        <f t="shared" si="52"/>
        <v>1144794.3531226874</v>
      </c>
      <c r="CE63" s="2">
        <v>15</v>
      </c>
      <c r="CF63" s="57">
        <f t="shared" si="53"/>
        <v>578968</v>
      </c>
      <c r="CG63" s="62">
        <f t="shared" si="54"/>
        <v>1248386.9644965141</v>
      </c>
      <c r="CH63" s="2">
        <v>14</v>
      </c>
      <c r="CI63" s="57">
        <f t="shared" si="55"/>
        <v>606603</v>
      </c>
      <c r="CJ63" s="62">
        <f t="shared" si="56"/>
        <v>1361353.7677198942</v>
      </c>
      <c r="CK63" s="2">
        <v>13</v>
      </c>
      <c r="CL63" s="57">
        <f t="shared" si="57"/>
        <v>635558</v>
      </c>
      <c r="CM63" s="62">
        <f t="shared" si="58"/>
        <v>1484545.1580061147</v>
      </c>
      <c r="CN63" s="2">
        <v>12</v>
      </c>
      <c r="CO63" s="57">
        <f t="shared" si="59"/>
        <v>665894</v>
      </c>
      <c r="CP63" s="62">
        <f t="shared" si="60"/>
        <v>1618881.6639530789</v>
      </c>
      <c r="CQ63" s="2">
        <v>11</v>
      </c>
      <c r="CR63" s="57">
        <f t="shared" si="61"/>
        <v>697679</v>
      </c>
      <c r="CS63" s="62">
        <f t="shared" si="62"/>
        <v>1765376.8720712352</v>
      </c>
      <c r="CT63" s="2">
        <v>10</v>
      </c>
      <c r="CU63" s="57">
        <f t="shared" si="63"/>
        <v>730980</v>
      </c>
      <c r="CV63" s="62">
        <f t="shared" si="64"/>
        <v>1925125.5393177893</v>
      </c>
      <c r="CW63" s="2">
        <v>9</v>
      </c>
      <c r="CX63" s="57">
        <f t="shared" si="65"/>
        <v>765871</v>
      </c>
      <c r="CY63" s="62">
        <f t="shared" si="66"/>
        <v>2099331.2245247443</v>
      </c>
      <c r="CZ63" s="2">
        <v>8</v>
      </c>
      <c r="DA63" s="57">
        <f t="shared" si="67"/>
        <v>0</v>
      </c>
      <c r="DB63" s="62">
        <f t="shared" si="68"/>
        <v>0</v>
      </c>
      <c r="DC63" s="2">
        <v>7</v>
      </c>
      <c r="DD63" s="57">
        <f t="shared" si="71"/>
        <v>0</v>
      </c>
      <c r="DE63" s="62">
        <f t="shared" si="72"/>
        <v>0</v>
      </c>
      <c r="DF63" s="2">
        <v>6</v>
      </c>
      <c r="DG63" s="57">
        <f t="shared" si="75"/>
        <v>0</v>
      </c>
      <c r="DH63" s="62">
        <f t="shared" si="76"/>
        <v>0</v>
      </c>
      <c r="DI63" s="2">
        <v>5</v>
      </c>
      <c r="DJ63" s="57">
        <f t="shared" si="79"/>
        <v>0</v>
      </c>
      <c r="DK63" s="62">
        <f t="shared" si="80"/>
        <v>0</v>
      </c>
      <c r="DL63" s="2">
        <v>4</v>
      </c>
      <c r="DM63" s="57">
        <f t="shared" si="83"/>
        <v>0</v>
      </c>
      <c r="DN63" s="62">
        <f t="shared" si="84"/>
        <v>0</v>
      </c>
      <c r="DO63" s="2">
        <v>3</v>
      </c>
      <c r="DP63" s="57">
        <f t="shared" si="87"/>
        <v>0</v>
      </c>
      <c r="DQ63" s="62">
        <f t="shared" si="88"/>
        <v>0</v>
      </c>
      <c r="DR63" s="2">
        <v>2</v>
      </c>
      <c r="DS63" s="57">
        <f t="shared" si="91"/>
        <v>0</v>
      </c>
      <c r="DT63" s="62">
        <f t="shared" si="92"/>
        <v>0</v>
      </c>
      <c r="DU63" s="2">
        <v>1</v>
      </c>
      <c r="DV63" s="57">
        <f t="shared" si="95"/>
        <v>0</v>
      </c>
      <c r="DW63" s="62">
        <f t="shared" si="96"/>
        <v>0</v>
      </c>
      <c r="DX63" s="2">
        <v>0</v>
      </c>
      <c r="DY63" s="57">
        <f t="shared" ref="DY63:DY94" si="102">$E$62</f>
        <v>0</v>
      </c>
      <c r="DZ63" s="62">
        <f t="shared" ref="DZ63:DZ94" si="103">SUM($G$10*$G$11*DY63*(EXP(-($G$10*DX63))),$G$10*$G$11*DY63*(EXP(-($G$10*(DX63+0.1)))),$G$10*$G$11*DY63*(EXP(-($G$10*(DX63+0.2)))),$G$10*$G$11*DY63*(EXP(-($G$10*(DX63+0.3)))),$G$10*$G$11*DY63*(EXP(-($G$10*(DX63+0.4)))),$G$10*$G$11*DY63*(EXP(-($G$10*(DX63+0.5)))),$G$10*$G$11*DY63*(EXP(-($G$10*(DX63+0.6)))),$G$10*$G$11*DY63*(EXP(-($G$10*(DX63+0.7)))),$G$10*$G$11*DY63*(EXP(-($G$10*(DX63+0.8)))),$G$10*$G$11*DY63*(EXP(-($G$10*(DX63+0.9)))))/10</f>
        <v>0</v>
      </c>
      <c r="EA63" s="361"/>
      <c r="EB63" s="361"/>
      <c r="EC63" s="361"/>
      <c r="ED63" s="361"/>
      <c r="EE63" s="361"/>
      <c r="EF63" s="361"/>
      <c r="EG63" s="361"/>
      <c r="EH63" s="361"/>
      <c r="EI63" s="361"/>
      <c r="EJ63" s="361"/>
      <c r="EK63" s="361"/>
      <c r="EL63" s="361"/>
      <c r="EM63" s="361"/>
      <c r="EN63" s="361"/>
      <c r="EO63" s="361"/>
      <c r="EP63" s="361"/>
      <c r="EQ63" s="361"/>
      <c r="ER63" s="361"/>
      <c r="ES63" s="361"/>
      <c r="ET63" s="361"/>
      <c r="EU63" s="361"/>
      <c r="EV63" s="361"/>
      <c r="EW63" s="361"/>
      <c r="EX63" s="361"/>
      <c r="EY63" s="361"/>
      <c r="EZ63" s="361"/>
      <c r="FA63" s="361"/>
      <c r="FB63" s="361"/>
      <c r="FC63" s="361"/>
      <c r="FD63" s="361"/>
      <c r="FE63" s="361"/>
      <c r="FF63" s="361"/>
      <c r="FG63" s="361"/>
      <c r="FH63" s="361"/>
      <c r="FI63" s="361"/>
      <c r="FJ63" s="361"/>
      <c r="FK63" s="361"/>
      <c r="FL63" s="361"/>
      <c r="FM63" s="361"/>
      <c r="FN63" s="361"/>
      <c r="FO63" s="361"/>
      <c r="FP63" s="361"/>
      <c r="FQ63" s="361"/>
      <c r="FR63" s="361"/>
      <c r="FS63" s="361"/>
      <c r="FT63" s="361"/>
      <c r="FU63" s="361"/>
      <c r="FV63" s="361"/>
      <c r="FW63" s="361"/>
      <c r="FX63" s="361"/>
      <c r="FY63" s="361"/>
      <c r="FZ63" s="361"/>
      <c r="GA63" s="361"/>
      <c r="GB63" s="361"/>
      <c r="GC63" s="361"/>
      <c r="GD63" s="361"/>
      <c r="GE63" s="361"/>
      <c r="GF63" s="361"/>
      <c r="GG63" s="361"/>
      <c r="GH63" s="361"/>
      <c r="GI63" s="361"/>
      <c r="GJ63" s="361"/>
      <c r="GK63" s="361"/>
      <c r="GL63" s="361"/>
      <c r="GM63" s="361"/>
      <c r="GN63" s="361"/>
      <c r="GO63" s="361"/>
      <c r="GP63" s="361"/>
      <c r="GQ63" s="361"/>
      <c r="GR63" s="361"/>
      <c r="GS63" s="361"/>
      <c r="GT63" s="361"/>
      <c r="GU63" s="361"/>
      <c r="GV63" s="361"/>
      <c r="GW63" s="361"/>
      <c r="GX63" s="361"/>
      <c r="GY63" s="361"/>
      <c r="GZ63" s="361"/>
      <c r="HA63" s="361"/>
      <c r="HB63" s="361"/>
      <c r="HC63" s="361"/>
      <c r="HD63" s="361"/>
      <c r="HE63" s="361"/>
      <c r="HF63" s="361"/>
      <c r="HG63" s="361"/>
      <c r="HH63" s="361"/>
      <c r="HI63" s="361"/>
      <c r="HJ63" s="361"/>
      <c r="HK63" s="361"/>
      <c r="HL63" s="361"/>
      <c r="HM63" s="361"/>
      <c r="HN63" s="361"/>
      <c r="HO63" s="361"/>
      <c r="HP63" s="361"/>
      <c r="HQ63" s="361"/>
      <c r="HR63" s="361"/>
      <c r="HS63" s="361"/>
      <c r="HT63" s="361"/>
      <c r="HU63" s="361"/>
      <c r="HV63" s="361"/>
      <c r="HW63" s="361"/>
      <c r="HX63" s="361"/>
      <c r="HY63" s="361"/>
      <c r="HZ63" s="361"/>
      <c r="IA63" s="361"/>
      <c r="IB63" s="361"/>
      <c r="IC63" s="361"/>
      <c r="ID63" s="361"/>
      <c r="IE63" s="361"/>
      <c r="IF63" s="361"/>
      <c r="IG63" s="361"/>
      <c r="IH63" s="361"/>
      <c r="II63" s="361"/>
      <c r="IJ63" s="361"/>
      <c r="IK63" s="361"/>
      <c r="IL63" s="361"/>
      <c r="IM63" s="361"/>
      <c r="IN63" s="361"/>
      <c r="IO63" s="361"/>
      <c r="IP63" s="361"/>
    </row>
    <row r="64" spans="2:250">
      <c r="B64" s="56">
        <f>'USER INPUTS'!J49</f>
        <v>2059</v>
      </c>
      <c r="C64" s="420">
        <f>IF(OR(AND(ClosureCalcYes=TRUE,WasteCapacity=""),AND(ClosureCalcYes=FALSE,ClosureYear="")),0,IF('USER INPUTS'!K49&gt;0,IF('USER INPUTS'!$K$4="Mg/year",'USER INPUTS'!K49,'USER INPUTS'!L49),0))</f>
        <v>0</v>
      </c>
      <c r="D64" s="420">
        <f t="shared" si="97"/>
        <v>12946986</v>
      </c>
      <c r="E64" s="420">
        <f>IF(ClosureCalcYes=FALSE,IF(AND(B64&lt;ClosureYear,C64=0,SUM(C64:$C$102)=0),$D$13,IF(B64&lt;=ClosureYear,C64,0)),IF(B64=$D$16,($D$14-F64),IF(B64&lt;$D$16,IF(SUM(C64:$C$102)=0,$D$13,C64),0)))</f>
        <v>0</v>
      </c>
      <c r="F64" s="66">
        <f t="shared" si="98"/>
        <v>12946986</v>
      </c>
      <c r="G64" s="284">
        <f>IF(SUM(C65:$C$101)=0,C64,0)</f>
        <v>0</v>
      </c>
      <c r="H64" s="284">
        <f t="shared" si="99"/>
        <v>0</v>
      </c>
      <c r="I64" s="2">
        <f t="shared" si="8"/>
        <v>2059</v>
      </c>
      <c r="J64" s="379">
        <f t="shared" si="1"/>
        <v>22727002.06313495</v>
      </c>
      <c r="K64" s="2">
        <v>40</v>
      </c>
      <c r="L64" s="57">
        <f t="shared" si="69"/>
        <v>189082</v>
      </c>
      <c r="M64" s="62">
        <f t="shared" si="70"/>
        <v>149985.87809539292</v>
      </c>
      <c r="N64" s="2">
        <v>39</v>
      </c>
      <c r="O64" s="57">
        <f t="shared" si="73"/>
        <v>293489</v>
      </c>
      <c r="P64" s="62">
        <f t="shared" si="74"/>
        <v>242305.78916597512</v>
      </c>
      <c r="Q64" s="2">
        <v>38</v>
      </c>
      <c r="R64" s="57">
        <f t="shared" si="77"/>
        <v>283523</v>
      </c>
      <c r="S64" s="62">
        <f t="shared" si="78"/>
        <v>243630.7133237443</v>
      </c>
      <c r="T64" s="2">
        <v>37</v>
      </c>
      <c r="U64" s="57">
        <f t="shared" si="81"/>
        <v>143321</v>
      </c>
      <c r="V64" s="62">
        <f t="shared" si="82"/>
        <v>128181.50022246041</v>
      </c>
      <c r="W64" s="2">
        <v>36</v>
      </c>
      <c r="X64" s="57">
        <f t="shared" si="85"/>
        <v>227851</v>
      </c>
      <c r="Y64" s="62">
        <f t="shared" si="86"/>
        <v>212098.81334900786</v>
      </c>
      <c r="Z64" s="2">
        <v>35</v>
      </c>
      <c r="AA64" s="57">
        <f t="shared" si="89"/>
        <v>238727</v>
      </c>
      <c r="AB64" s="62">
        <f t="shared" si="90"/>
        <v>231292.00424419684</v>
      </c>
      <c r="AC64" s="2">
        <v>34</v>
      </c>
      <c r="AD64" s="57">
        <f t="shared" si="93"/>
        <v>250122</v>
      </c>
      <c r="AE64" s="62">
        <f t="shared" si="94"/>
        <v>252221.87564916475</v>
      </c>
      <c r="AF64" s="2">
        <v>33</v>
      </c>
      <c r="AG64" s="57">
        <f t="shared" si="100"/>
        <v>262060</v>
      </c>
      <c r="AH64" s="62">
        <f t="shared" si="101"/>
        <v>275044.7592709061</v>
      </c>
      <c r="AI64" s="2">
        <v>32</v>
      </c>
      <c r="AJ64" s="57">
        <f t="shared" ref="AJ64:AJ95" si="104">$E$31</f>
        <v>274569</v>
      </c>
      <c r="AK64" s="62">
        <f t="shared" ref="AK64:AK95" si="105">SUM($G$10*$G$11*AJ64*(EXP(-($G$10*AI64))),$G$10*$G$11*AJ64*(EXP(-($G$10*(AI64+0.1)))),$G$10*$G$11*AJ64*(EXP(-($G$10*(AI64+0.2)))),$G$10*$G$11*AJ64*(EXP(-($G$10*(AI64+0.3)))),$G$10*$G$11*AJ64*(EXP(-($G$10*(AI64+0.4)))),$G$10*$G$11*AJ64*(EXP(-($G$10*(AI64+0.5)))),$G$10*$G$11*AJ64*(EXP(-($G$10*(AI64+0.6)))),$G$10*$G$11*AJ64*(EXP(-($G$10*(AI64+0.7)))),$G$10*$G$11*AJ64*(EXP(-($G$10*(AI64+0.8)))),$G$10*$G$11*AJ64*(EXP(-($G$10*(AI64+0.9)))))/10</f>
        <v>299934.15154501982</v>
      </c>
      <c r="AL64" s="2">
        <v>31</v>
      </c>
      <c r="AM64" s="57">
        <f t="shared" si="23"/>
        <v>287675</v>
      </c>
      <c r="AN64" s="62">
        <f t="shared" si="24"/>
        <v>327075.72890174144</v>
      </c>
      <c r="AO64" s="2">
        <v>30</v>
      </c>
      <c r="AP64" s="57">
        <f t="shared" si="25"/>
        <v>301406</v>
      </c>
      <c r="AQ64" s="62">
        <f t="shared" si="26"/>
        <v>356672.69956947572</v>
      </c>
      <c r="AR64" s="2">
        <v>29</v>
      </c>
      <c r="AS64" s="57">
        <f t="shared" si="27"/>
        <v>315793</v>
      </c>
      <c r="AT64" s="62">
        <f t="shared" si="28"/>
        <v>388948.63682069775</v>
      </c>
      <c r="AU64" s="2">
        <v>28</v>
      </c>
      <c r="AV64" s="57">
        <f t="shared" si="29"/>
        <v>330866</v>
      </c>
      <c r="AW64" s="62">
        <f t="shared" si="30"/>
        <v>424144.33914110792</v>
      </c>
      <c r="AX64" s="2">
        <v>27</v>
      </c>
      <c r="AY64" s="57">
        <f t="shared" si="31"/>
        <v>346659</v>
      </c>
      <c r="AZ64" s="62">
        <f t="shared" si="32"/>
        <v>462525.61910103849</v>
      </c>
      <c r="BA64" s="2">
        <v>26</v>
      </c>
      <c r="BB64" s="57">
        <f t="shared" si="33"/>
        <v>363206</v>
      </c>
      <c r="BC64" s="62">
        <f t="shared" si="34"/>
        <v>504380.28972176963</v>
      </c>
      <c r="BD64" s="2">
        <v>25</v>
      </c>
      <c r="BE64" s="57">
        <f t="shared" si="35"/>
        <v>380542</v>
      </c>
      <c r="BF64" s="62">
        <f t="shared" si="36"/>
        <v>550021.24927125068</v>
      </c>
      <c r="BG64" s="2">
        <v>24</v>
      </c>
      <c r="BH64" s="57">
        <f t="shared" si="37"/>
        <v>398706</v>
      </c>
      <c r="BI64" s="62">
        <f t="shared" si="38"/>
        <v>599793.04062049533</v>
      </c>
      <c r="BJ64" s="2">
        <v>23</v>
      </c>
      <c r="BK64" s="57">
        <f t="shared" si="39"/>
        <v>417737</v>
      </c>
      <c r="BL64" s="62">
        <f t="shared" si="40"/>
        <v>654068.71067454189</v>
      </c>
      <c r="BM64" s="2">
        <v>22</v>
      </c>
      <c r="BN64" s="57">
        <f t="shared" si="41"/>
        <v>437677</v>
      </c>
      <c r="BO64" s="62">
        <f t="shared" si="42"/>
        <v>713256.82265887933</v>
      </c>
      <c r="BP64" s="2">
        <v>21</v>
      </c>
      <c r="BQ64" s="57">
        <f t="shared" si="43"/>
        <v>458568</v>
      </c>
      <c r="BR64" s="62">
        <f t="shared" si="44"/>
        <v>777799.63358997914</v>
      </c>
      <c r="BS64" s="2">
        <v>20</v>
      </c>
      <c r="BT64" s="57">
        <f t="shared" si="45"/>
        <v>480456</v>
      </c>
      <c r="BU64" s="62">
        <f t="shared" si="46"/>
        <v>848182.65968514699</v>
      </c>
      <c r="BV64" s="2">
        <v>19</v>
      </c>
      <c r="BW64" s="57">
        <f t="shared" si="47"/>
        <v>503389</v>
      </c>
      <c r="BX64" s="62">
        <f t="shared" si="48"/>
        <v>924935.11701361765</v>
      </c>
      <c r="BY64" s="2">
        <v>18</v>
      </c>
      <c r="BZ64" s="57">
        <f t="shared" si="49"/>
        <v>527417</v>
      </c>
      <c r="CA64" s="62">
        <f t="shared" si="50"/>
        <v>1008633.6450233732</v>
      </c>
      <c r="CB64" s="2">
        <v>17</v>
      </c>
      <c r="CC64" s="57">
        <f t="shared" si="51"/>
        <v>552592</v>
      </c>
      <c r="CD64" s="62">
        <f t="shared" si="52"/>
        <v>1099906.3244814936</v>
      </c>
      <c r="CE64" s="2">
        <v>16</v>
      </c>
      <c r="CF64" s="57">
        <f t="shared" si="53"/>
        <v>578968</v>
      </c>
      <c r="CG64" s="62">
        <f t="shared" si="54"/>
        <v>1199437.011463677</v>
      </c>
      <c r="CH64" s="2">
        <v>15</v>
      </c>
      <c r="CI64" s="57">
        <f t="shared" si="55"/>
        <v>606603</v>
      </c>
      <c r="CJ64" s="62">
        <f t="shared" si="56"/>
        <v>1307974.3229754991</v>
      </c>
      <c r="CK64" s="2">
        <v>14</v>
      </c>
      <c r="CL64" s="57">
        <f t="shared" si="57"/>
        <v>635558</v>
      </c>
      <c r="CM64" s="62">
        <f t="shared" si="58"/>
        <v>1426335.3097569919</v>
      </c>
      <c r="CN64" s="2">
        <v>13</v>
      </c>
      <c r="CO64" s="57">
        <f t="shared" si="59"/>
        <v>665894</v>
      </c>
      <c r="CP64" s="62">
        <f t="shared" si="60"/>
        <v>1555404.4059634586</v>
      </c>
      <c r="CQ64" s="2">
        <v>12</v>
      </c>
      <c r="CR64" s="57">
        <f t="shared" si="61"/>
        <v>697679</v>
      </c>
      <c r="CS64" s="62">
        <f t="shared" si="62"/>
        <v>1696155.4548098047</v>
      </c>
      <c r="CT64" s="2">
        <v>11</v>
      </c>
      <c r="CU64" s="57">
        <f t="shared" si="63"/>
        <v>730980</v>
      </c>
      <c r="CV64" s="62">
        <f t="shared" si="64"/>
        <v>1849640.2872189521</v>
      </c>
      <c r="CW64" s="2">
        <v>10</v>
      </c>
      <c r="CX64" s="57">
        <f t="shared" si="65"/>
        <v>765871</v>
      </c>
      <c r="CY64" s="62">
        <f t="shared" si="66"/>
        <v>2017015.2698060884</v>
      </c>
      <c r="CZ64" s="2">
        <v>9</v>
      </c>
      <c r="DA64" s="57">
        <f t="shared" si="67"/>
        <v>0</v>
      </c>
      <c r="DB64" s="62">
        <f t="shared" si="68"/>
        <v>0</v>
      </c>
      <c r="DC64" s="2">
        <v>8</v>
      </c>
      <c r="DD64" s="57">
        <f t="shared" si="71"/>
        <v>0</v>
      </c>
      <c r="DE64" s="62">
        <f t="shared" si="72"/>
        <v>0</v>
      </c>
      <c r="DF64" s="2">
        <v>7</v>
      </c>
      <c r="DG64" s="57">
        <f t="shared" si="75"/>
        <v>0</v>
      </c>
      <c r="DH64" s="62">
        <f t="shared" si="76"/>
        <v>0</v>
      </c>
      <c r="DI64" s="2">
        <v>6</v>
      </c>
      <c r="DJ64" s="57">
        <f t="shared" si="79"/>
        <v>0</v>
      </c>
      <c r="DK64" s="62">
        <f t="shared" si="80"/>
        <v>0</v>
      </c>
      <c r="DL64" s="2">
        <v>5</v>
      </c>
      <c r="DM64" s="57">
        <f t="shared" si="83"/>
        <v>0</v>
      </c>
      <c r="DN64" s="62">
        <f t="shared" si="84"/>
        <v>0</v>
      </c>
      <c r="DO64" s="2">
        <v>4</v>
      </c>
      <c r="DP64" s="57">
        <f t="shared" si="87"/>
        <v>0</v>
      </c>
      <c r="DQ64" s="62">
        <f t="shared" si="88"/>
        <v>0</v>
      </c>
      <c r="DR64" s="2">
        <v>3</v>
      </c>
      <c r="DS64" s="57">
        <f t="shared" si="91"/>
        <v>0</v>
      </c>
      <c r="DT64" s="62">
        <f t="shared" si="92"/>
        <v>0</v>
      </c>
      <c r="DU64" s="2">
        <v>2</v>
      </c>
      <c r="DV64" s="57">
        <f t="shared" si="95"/>
        <v>0</v>
      </c>
      <c r="DW64" s="62">
        <f t="shared" si="96"/>
        <v>0</v>
      </c>
      <c r="DX64" s="2">
        <v>1</v>
      </c>
      <c r="DY64" s="57">
        <f t="shared" si="102"/>
        <v>0</v>
      </c>
      <c r="DZ64" s="62">
        <f t="shared" si="103"/>
        <v>0</v>
      </c>
      <c r="EA64" s="2">
        <v>0</v>
      </c>
      <c r="EB64" s="57">
        <f>$E$63</f>
        <v>0</v>
      </c>
      <c r="EC64" s="62">
        <f t="shared" ref="EC64:EC95" si="106">SUM($G$10*$G$11*EB64*(EXP(-($G$10*EA64))),$G$10*$G$11*EB64*(EXP(-($G$10*(EA64+0.1)))),$G$10*$G$11*EB64*(EXP(-($G$10*(EA64+0.2)))),$G$10*$G$11*EB64*(EXP(-($G$10*(EA64+0.3)))),$G$10*$G$11*EB64*(EXP(-($G$10*(EA64+0.4)))),$G$10*$G$11*EB64*(EXP(-($G$10*(EA64+0.5)))),$G$10*$G$11*EB64*(EXP(-($G$10*(EA64+0.6)))),$G$10*$G$11*EB64*(EXP(-($G$10*(EA64+0.7)))),$G$10*$G$11*EB64*(EXP(-($G$10*(EA64+0.8)))),$G$10*$G$11*EB64*(EXP(-($G$10*(EA64+0.9)))))/10</f>
        <v>0</v>
      </c>
      <c r="ED64" s="2"/>
      <c r="EE64" s="2"/>
      <c r="EF64" s="2"/>
      <c r="EG64" s="2"/>
      <c r="EH64" s="2"/>
      <c r="EI64" s="2"/>
      <c r="EJ64" s="2"/>
      <c r="EK64" s="2"/>
      <c r="EL64" s="2"/>
      <c r="EM64" s="2"/>
      <c r="EN64" s="2"/>
      <c r="EO64" s="2"/>
      <c r="EP64" s="2"/>
      <c r="EQ64" s="2"/>
      <c r="ER64" s="1"/>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row>
    <row r="65" spans="2:250">
      <c r="B65" s="56">
        <f>'USER INPUTS'!J50</f>
        <v>2060</v>
      </c>
      <c r="C65" s="420">
        <f>IF(OR(AND(ClosureCalcYes=TRUE,WasteCapacity=""),AND(ClosureCalcYes=FALSE,ClosureYear="")),0,IF('USER INPUTS'!K50&gt;0,IF('USER INPUTS'!$K$4="Mg/year",'USER INPUTS'!K50,'USER INPUTS'!L50),0))</f>
        <v>0</v>
      </c>
      <c r="D65" s="420">
        <f t="shared" si="97"/>
        <v>12946986</v>
      </c>
      <c r="E65" s="420">
        <f>IF(ClosureCalcYes=FALSE,IF(AND(B65&lt;ClosureYear,C65=0,SUM(C65:$C$102)=0),$D$13,IF(B65&lt;=ClosureYear,C65,0)),IF(B65=$D$16,($D$14-F65),IF(B65&lt;$D$16,IF(SUM(C65:$C$102)=0,$D$13,C65),0)))</f>
        <v>0</v>
      </c>
      <c r="F65" s="66">
        <f t="shared" si="98"/>
        <v>12946986</v>
      </c>
      <c r="G65" s="284">
        <f>IF(SUM(C66:$C$101)=0,C65,0)</f>
        <v>0</v>
      </c>
      <c r="H65" s="284">
        <f t="shared" si="99"/>
        <v>0</v>
      </c>
      <c r="I65" s="2">
        <f t="shared" si="8"/>
        <v>2060</v>
      </c>
      <c r="J65" s="379">
        <f t="shared" si="1"/>
        <v>21835863.565853123</v>
      </c>
      <c r="K65" s="2">
        <v>41</v>
      </c>
      <c r="L65" s="57">
        <f t="shared" si="69"/>
        <v>189082</v>
      </c>
      <c r="M65" s="62">
        <f t="shared" si="70"/>
        <v>144104.84769604128</v>
      </c>
      <c r="N65" s="2">
        <v>40</v>
      </c>
      <c r="O65" s="57">
        <f t="shared" si="73"/>
        <v>293489</v>
      </c>
      <c r="P65" s="62">
        <f t="shared" si="74"/>
        <v>232804.84327613827</v>
      </c>
      <c r="Q65" s="2">
        <v>39</v>
      </c>
      <c r="R65" s="57">
        <f t="shared" si="77"/>
        <v>283523</v>
      </c>
      <c r="S65" s="62">
        <f t="shared" si="78"/>
        <v>234077.81641460076</v>
      </c>
      <c r="T65" s="2">
        <v>38</v>
      </c>
      <c r="U65" s="57">
        <f t="shared" si="81"/>
        <v>143321</v>
      </c>
      <c r="V65" s="62">
        <f t="shared" si="82"/>
        <v>123155.43170844115</v>
      </c>
      <c r="W65" s="2">
        <v>37</v>
      </c>
      <c r="X65" s="57">
        <f t="shared" si="85"/>
        <v>227851</v>
      </c>
      <c r="Y65" s="62">
        <f t="shared" si="86"/>
        <v>203782.29992246657</v>
      </c>
      <c r="Z65" s="2">
        <v>36</v>
      </c>
      <c r="AA65" s="57">
        <f t="shared" si="89"/>
        <v>238727</v>
      </c>
      <c r="AB65" s="62">
        <f t="shared" si="90"/>
        <v>222222.91503819864</v>
      </c>
      <c r="AC65" s="2">
        <v>35</v>
      </c>
      <c r="AD65" s="57">
        <f t="shared" si="93"/>
        <v>250122</v>
      </c>
      <c r="AE65" s="62">
        <f t="shared" si="94"/>
        <v>242332.11444690794</v>
      </c>
      <c r="AF65" s="2">
        <v>34</v>
      </c>
      <c r="AG65" s="57">
        <f t="shared" si="100"/>
        <v>262060</v>
      </c>
      <c r="AH65" s="62">
        <f t="shared" si="101"/>
        <v>264260.10000167968</v>
      </c>
      <c r="AI65" s="2">
        <v>33</v>
      </c>
      <c r="AJ65" s="57">
        <f t="shared" si="104"/>
        <v>274569</v>
      </c>
      <c r="AK65" s="62">
        <f t="shared" si="105"/>
        <v>288173.56524556753</v>
      </c>
      <c r="AL65" s="2">
        <v>32</v>
      </c>
      <c r="AM65" s="57">
        <f t="shared" ref="AM65:AM96" si="107">$E$32</f>
        <v>287675</v>
      </c>
      <c r="AN65" s="62">
        <f t="shared" ref="AN65:AN96" si="108">SUM($G$10*$G$11*AM65*(EXP(-($G$10*AL65))),$G$10*$G$11*AM65*(EXP(-($G$10*(AL65+0.1)))),$G$10*$G$11*AM65*(EXP(-($G$10*(AL65+0.2)))),$G$10*$G$11*AM65*(EXP(-($G$10*(AL65+0.3)))),$G$10*$G$11*AM65*(EXP(-($G$10*(AL65+0.4)))),$G$10*$G$11*AM65*(EXP(-($G$10*(AL65+0.5)))),$G$10*$G$11*AM65*(EXP(-($G$10*(AL65+0.6)))),$G$10*$G$11*AM65*(EXP(-($G$10*(AL65+0.7)))),$G$10*$G$11*AM65*(EXP(-($G$10*(AL65+0.8)))),$G$10*$G$11*AM65*(EXP(-($G$10*(AL65+0.9)))))/10</f>
        <v>314250.90613184142</v>
      </c>
      <c r="AO65" s="2">
        <v>31</v>
      </c>
      <c r="AP65" s="57">
        <f t="shared" si="25"/>
        <v>301406</v>
      </c>
      <c r="AQ65" s="62">
        <f t="shared" si="26"/>
        <v>342687.36298030172</v>
      </c>
      <c r="AR65" s="2">
        <v>30</v>
      </c>
      <c r="AS65" s="57">
        <f t="shared" si="27"/>
        <v>315793</v>
      </c>
      <c r="AT65" s="62">
        <f t="shared" si="28"/>
        <v>373697.74263001885</v>
      </c>
      <c r="AU65" s="2">
        <v>29</v>
      </c>
      <c r="AV65" s="57">
        <f t="shared" si="29"/>
        <v>330866</v>
      </c>
      <c r="AW65" s="62">
        <f t="shared" si="30"/>
        <v>407513.40172301786</v>
      </c>
      <c r="AX65" s="2">
        <v>28</v>
      </c>
      <c r="AY65" s="57">
        <f t="shared" si="31"/>
        <v>346659</v>
      </c>
      <c r="AZ65" s="62">
        <f t="shared" si="32"/>
        <v>444389.73016966786</v>
      </c>
      <c r="BA65" s="2">
        <v>27</v>
      </c>
      <c r="BB65" s="57">
        <f t="shared" si="33"/>
        <v>363206</v>
      </c>
      <c r="BC65" s="62">
        <f t="shared" si="34"/>
        <v>484603.25568126544</v>
      </c>
      <c r="BD65" s="2">
        <v>26</v>
      </c>
      <c r="BE65" s="57">
        <f t="shared" si="35"/>
        <v>380542</v>
      </c>
      <c r="BF65" s="62">
        <f t="shared" si="36"/>
        <v>528454.60760918516</v>
      </c>
      <c r="BG65" s="2">
        <v>25</v>
      </c>
      <c r="BH65" s="57">
        <f t="shared" si="37"/>
        <v>398706</v>
      </c>
      <c r="BI65" s="62">
        <f t="shared" si="38"/>
        <v>576274.81910523225</v>
      </c>
      <c r="BJ65" s="2">
        <v>24</v>
      </c>
      <c r="BK65" s="57">
        <f t="shared" si="39"/>
        <v>417737</v>
      </c>
      <c r="BL65" s="62">
        <f t="shared" si="40"/>
        <v>628422.30969607621</v>
      </c>
      <c r="BM65" s="2">
        <v>23</v>
      </c>
      <c r="BN65" s="57">
        <f t="shared" si="41"/>
        <v>437677</v>
      </c>
      <c r="BO65" s="62">
        <f t="shared" si="42"/>
        <v>685289.62261399277</v>
      </c>
      <c r="BP65" s="2">
        <v>22</v>
      </c>
      <c r="BQ65" s="57">
        <f t="shared" si="43"/>
        <v>458568</v>
      </c>
      <c r="BR65" s="62">
        <f t="shared" si="44"/>
        <v>747301.67372979852</v>
      </c>
      <c r="BS65" s="2">
        <v>21</v>
      </c>
      <c r="BT65" s="57">
        <f t="shared" si="45"/>
        <v>480456</v>
      </c>
      <c r="BU65" s="62">
        <f t="shared" si="46"/>
        <v>814924.94189761824</v>
      </c>
      <c r="BV65" s="2">
        <v>20</v>
      </c>
      <c r="BW65" s="57">
        <f t="shared" si="47"/>
        <v>503389</v>
      </c>
      <c r="BX65" s="62">
        <f t="shared" si="48"/>
        <v>888667.89232780202</v>
      </c>
      <c r="BY65" s="2">
        <v>19</v>
      </c>
      <c r="BZ65" s="57">
        <f t="shared" si="49"/>
        <v>527417</v>
      </c>
      <c r="CA65" s="62">
        <f t="shared" si="50"/>
        <v>969084.55411217012</v>
      </c>
      <c r="CB65" s="2">
        <v>18</v>
      </c>
      <c r="CC65" s="57">
        <f t="shared" si="51"/>
        <v>552592</v>
      </c>
      <c r="CD65" s="62">
        <f t="shared" si="52"/>
        <v>1056778.3806186675</v>
      </c>
      <c r="CE65" s="2">
        <v>17</v>
      </c>
      <c r="CF65" s="57">
        <f t="shared" si="53"/>
        <v>578968</v>
      </c>
      <c r="CG65" s="62">
        <f t="shared" si="54"/>
        <v>1152406.4135427247</v>
      </c>
      <c r="CH65" s="2">
        <v>16</v>
      </c>
      <c r="CI65" s="57">
        <f t="shared" si="55"/>
        <v>606603</v>
      </c>
      <c r="CJ65" s="62">
        <f t="shared" si="56"/>
        <v>1256687.9161972697</v>
      </c>
      <c r="CK65" s="2">
        <v>15</v>
      </c>
      <c r="CL65" s="57">
        <f t="shared" si="57"/>
        <v>635558</v>
      </c>
      <c r="CM65" s="62">
        <f t="shared" si="58"/>
        <v>1370407.9023045753</v>
      </c>
      <c r="CN65" s="2">
        <v>14</v>
      </c>
      <c r="CO65" s="57">
        <f t="shared" si="59"/>
        <v>665894</v>
      </c>
      <c r="CP65" s="62">
        <f t="shared" si="60"/>
        <v>1494416.1268606833</v>
      </c>
      <c r="CQ65" s="2">
        <v>13</v>
      </c>
      <c r="CR65" s="57">
        <f t="shared" si="61"/>
        <v>697679</v>
      </c>
      <c r="CS65" s="62">
        <f t="shared" si="62"/>
        <v>1629648.2481418659</v>
      </c>
      <c r="CT65" s="2">
        <v>12</v>
      </c>
      <c r="CU65" s="57">
        <f t="shared" si="63"/>
        <v>730980</v>
      </c>
      <c r="CV65" s="62">
        <f t="shared" si="64"/>
        <v>1777114.8541906395</v>
      </c>
      <c r="CW65" s="2">
        <v>11</v>
      </c>
      <c r="CX65" s="57">
        <f t="shared" si="65"/>
        <v>765871</v>
      </c>
      <c r="CY65" s="62">
        <f t="shared" si="66"/>
        <v>1937926.9698386632</v>
      </c>
      <c r="CZ65" s="2">
        <v>10</v>
      </c>
      <c r="DA65" s="57">
        <f t="shared" si="67"/>
        <v>0</v>
      </c>
      <c r="DB65" s="62">
        <f t="shared" si="68"/>
        <v>0</v>
      </c>
      <c r="DC65" s="2">
        <v>9</v>
      </c>
      <c r="DD65" s="57">
        <f t="shared" si="71"/>
        <v>0</v>
      </c>
      <c r="DE65" s="62">
        <f t="shared" si="72"/>
        <v>0</v>
      </c>
      <c r="DF65" s="2">
        <v>8</v>
      </c>
      <c r="DG65" s="57">
        <f t="shared" si="75"/>
        <v>0</v>
      </c>
      <c r="DH65" s="62">
        <f t="shared" si="76"/>
        <v>0</v>
      </c>
      <c r="DI65" s="2">
        <v>7</v>
      </c>
      <c r="DJ65" s="57">
        <f t="shared" si="79"/>
        <v>0</v>
      </c>
      <c r="DK65" s="62">
        <f t="shared" si="80"/>
        <v>0</v>
      </c>
      <c r="DL65" s="2">
        <v>6</v>
      </c>
      <c r="DM65" s="57">
        <f t="shared" si="83"/>
        <v>0</v>
      </c>
      <c r="DN65" s="62">
        <f t="shared" si="84"/>
        <v>0</v>
      </c>
      <c r="DO65" s="2">
        <v>5</v>
      </c>
      <c r="DP65" s="57">
        <f t="shared" si="87"/>
        <v>0</v>
      </c>
      <c r="DQ65" s="62">
        <f t="shared" si="88"/>
        <v>0</v>
      </c>
      <c r="DR65" s="2">
        <v>4</v>
      </c>
      <c r="DS65" s="57">
        <f t="shared" si="91"/>
        <v>0</v>
      </c>
      <c r="DT65" s="62">
        <f t="shared" si="92"/>
        <v>0</v>
      </c>
      <c r="DU65" s="2">
        <v>3</v>
      </c>
      <c r="DV65" s="57">
        <f t="shared" si="95"/>
        <v>0</v>
      </c>
      <c r="DW65" s="62">
        <f t="shared" si="96"/>
        <v>0</v>
      </c>
      <c r="DX65" s="2">
        <v>2</v>
      </c>
      <c r="DY65" s="57">
        <f t="shared" si="102"/>
        <v>0</v>
      </c>
      <c r="DZ65" s="62">
        <f t="shared" si="103"/>
        <v>0</v>
      </c>
      <c r="EA65" s="2">
        <v>1</v>
      </c>
      <c r="EB65" s="57">
        <f t="shared" ref="EB65:EB128" si="109">$E$63</f>
        <v>0</v>
      </c>
      <c r="EC65" s="62">
        <f t="shared" si="106"/>
        <v>0</v>
      </c>
      <c r="ED65" s="2">
        <v>0</v>
      </c>
      <c r="EE65" s="57">
        <f>$E$64</f>
        <v>0</v>
      </c>
      <c r="EF65" s="62">
        <f t="shared" ref="EF65:EF96" si="110">SUM($G$10*$G$11*EE65*(EXP(-($G$10*ED65))),$G$10*$G$11*EE65*(EXP(-($G$10*(ED65+0.1)))),$G$10*$G$11*EE65*(EXP(-($G$10*(ED65+0.2)))),$G$10*$G$11*EE65*(EXP(-($G$10*(ED65+0.3)))),$G$10*$G$11*EE65*(EXP(-($G$10*(ED65+0.4)))),$G$10*$G$11*EE65*(EXP(-($G$10*(ED65+0.5)))),$G$10*$G$11*EE65*(EXP(-($G$10*(ED65+0.6)))),$G$10*$G$11*EE65*(EXP(-($G$10*(ED65+0.7)))),$G$10*$G$11*EE65*(EXP(-($G$10*(ED65+0.8)))),$G$10*$G$11*EE65*(EXP(-($G$10*(ED65+0.9)))))/10</f>
        <v>0</v>
      </c>
      <c r="EG65" s="2"/>
      <c r="EH65" s="2"/>
      <c r="EI65" s="62"/>
      <c r="EJ65" s="2"/>
      <c r="EK65" s="2"/>
      <c r="EL65" s="2"/>
      <c r="EM65" s="2"/>
      <c r="EN65" s="2"/>
      <c r="EO65" s="2"/>
      <c r="EP65" s="2"/>
      <c r="EQ65" s="2"/>
      <c r="ER65" s="1"/>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row>
    <row r="66" spans="2:250">
      <c r="B66" s="56">
        <f>'USER INPUTS'!J51</f>
        <v>2061</v>
      </c>
      <c r="C66" s="420">
        <f>IF(OR(AND(ClosureCalcYes=TRUE,WasteCapacity=""),AND(ClosureCalcYes=FALSE,ClosureYear="")),0,IF('USER INPUTS'!K51&gt;0,IF('USER INPUTS'!$K$4="Mg/year",'USER INPUTS'!K51,'USER INPUTS'!L51),0))</f>
        <v>0</v>
      </c>
      <c r="D66" s="420">
        <f t="shared" si="97"/>
        <v>12946986</v>
      </c>
      <c r="E66" s="420">
        <f>IF(ClosureCalcYes=FALSE,IF(AND(B66&lt;ClosureYear,C66=0,SUM(C66:$C$102)=0),$D$13,IF(B66&lt;=ClosureYear,C66,0)),IF(B66=$D$16,($D$14-F66),IF(B66&lt;$D$16,IF(SUM(C66:$C$102)=0,$D$13,C66),0)))</f>
        <v>0</v>
      </c>
      <c r="F66" s="66">
        <f t="shared" si="98"/>
        <v>12946986</v>
      </c>
      <c r="G66" s="284">
        <f>IF(SUM(C67:$C$101)=0,C66,0)</f>
        <v>0</v>
      </c>
      <c r="H66" s="284">
        <f t="shared" si="99"/>
        <v>0</v>
      </c>
      <c r="I66" s="2">
        <f t="shared" si="8"/>
        <v>2061</v>
      </c>
      <c r="J66" s="379">
        <f t="shared" si="1"/>
        <v>20979667.108842671</v>
      </c>
      <c r="K66" s="2">
        <v>42</v>
      </c>
      <c r="L66" s="57">
        <f t="shared" si="69"/>
        <v>189082</v>
      </c>
      <c r="M66" s="62">
        <f t="shared" si="70"/>
        <v>138454.41579701047</v>
      </c>
      <c r="N66" s="2">
        <v>41</v>
      </c>
      <c r="O66" s="57">
        <f t="shared" si="73"/>
        <v>293489</v>
      </c>
      <c r="P66" s="62">
        <f t="shared" si="74"/>
        <v>223676.43480322539</v>
      </c>
      <c r="Q66" s="2">
        <v>40</v>
      </c>
      <c r="R66" s="57">
        <f t="shared" si="77"/>
        <v>283523</v>
      </c>
      <c r="S66" s="62">
        <f t="shared" si="78"/>
        <v>224899.49395098473</v>
      </c>
      <c r="T66" s="2">
        <v>39</v>
      </c>
      <c r="U66" s="57">
        <f t="shared" si="81"/>
        <v>143321</v>
      </c>
      <c r="V66" s="62">
        <f t="shared" si="82"/>
        <v>118326.43815971543</v>
      </c>
      <c r="W66" s="2">
        <v>38</v>
      </c>
      <c r="X66" s="57">
        <f t="shared" si="85"/>
        <v>227851</v>
      </c>
      <c r="Y66" s="62">
        <f t="shared" si="86"/>
        <v>195791.88165167719</v>
      </c>
      <c r="Z66" s="2">
        <v>37</v>
      </c>
      <c r="AA66" s="57">
        <f t="shared" si="89"/>
        <v>238727</v>
      </c>
      <c r="AB66" s="62">
        <f t="shared" si="90"/>
        <v>213509.42990634526</v>
      </c>
      <c r="AC66" s="2">
        <v>36</v>
      </c>
      <c r="AD66" s="57">
        <f t="shared" si="93"/>
        <v>250122</v>
      </c>
      <c r="AE66" s="62">
        <f t="shared" si="94"/>
        <v>232830.13632804138</v>
      </c>
      <c r="AF66" s="2">
        <v>35</v>
      </c>
      <c r="AG66" s="57">
        <f t="shared" si="100"/>
        <v>262060</v>
      </c>
      <c r="AH66" s="62">
        <f t="shared" si="101"/>
        <v>253898.3132709506</v>
      </c>
      <c r="AI66" s="2">
        <v>34</v>
      </c>
      <c r="AJ66" s="57">
        <f t="shared" si="104"/>
        <v>274569</v>
      </c>
      <c r="AK66" s="62">
        <f t="shared" si="105"/>
        <v>276874.11813081428</v>
      </c>
      <c r="AL66" s="2">
        <v>33</v>
      </c>
      <c r="AM66" s="57">
        <f t="shared" si="107"/>
        <v>287675</v>
      </c>
      <c r="AN66" s="62">
        <f t="shared" si="108"/>
        <v>301928.9518555213</v>
      </c>
      <c r="AO66" s="2">
        <v>32</v>
      </c>
      <c r="AP66" s="57">
        <f t="shared" ref="AP66:AP97" si="111">$E$33</f>
        <v>301406</v>
      </c>
      <c r="AQ66" s="62">
        <f t="shared" ref="AQ66:AQ97" si="112">SUM($G$10*$G$11*AP66*(EXP(-($G$10*AO66))),$G$10*$G$11*AP66*(EXP(-($G$10*(AO66+0.1)))),$G$10*$G$11*AP66*(EXP(-($G$10*(AO66+0.2)))),$G$10*$G$11*AP66*(EXP(-($G$10*(AO66+0.3)))),$G$10*$G$11*AP66*(EXP(-($G$10*(AO66+0.4)))),$G$10*$G$11*AP66*(EXP(-($G$10*(AO66+0.5)))),$G$10*$G$11*AP66*(EXP(-($G$10*(AO66+0.6)))),$G$10*$G$11*AP66*(EXP(-($G$10*(AO66+0.7)))),$G$10*$G$11*AP66*(EXP(-($G$10*(AO66+0.8)))),$G$10*$G$11*AP66*(EXP(-($G$10*(AO66+0.9)))))/10</f>
        <v>329250.39928243263</v>
      </c>
      <c r="AR66" s="2">
        <v>31</v>
      </c>
      <c r="AS66" s="57">
        <f t="shared" si="27"/>
        <v>315793</v>
      </c>
      <c r="AT66" s="62">
        <f t="shared" si="28"/>
        <v>359044.84455398499</v>
      </c>
      <c r="AU66" s="2">
        <v>30</v>
      </c>
      <c r="AV66" s="57">
        <f t="shared" si="29"/>
        <v>330866</v>
      </c>
      <c r="AW66" s="62">
        <f t="shared" si="30"/>
        <v>391534.57268851367</v>
      </c>
      <c r="AX66" s="2">
        <v>29</v>
      </c>
      <c r="AY66" s="57">
        <f t="shared" si="31"/>
        <v>346659</v>
      </c>
      <c r="AZ66" s="62">
        <f t="shared" si="32"/>
        <v>426964.9596147674</v>
      </c>
      <c r="BA66" s="2">
        <v>28</v>
      </c>
      <c r="BB66" s="57">
        <f t="shared" si="33"/>
        <v>363206</v>
      </c>
      <c r="BC66" s="62">
        <f t="shared" si="34"/>
        <v>465601.69023739285</v>
      </c>
      <c r="BD66" s="2">
        <v>27</v>
      </c>
      <c r="BE66" s="57">
        <f t="shared" si="35"/>
        <v>380542</v>
      </c>
      <c r="BF66" s="62">
        <f t="shared" si="36"/>
        <v>507733.60606228997</v>
      </c>
      <c r="BG66" s="2">
        <v>26</v>
      </c>
      <c r="BH66" s="57">
        <f t="shared" si="37"/>
        <v>398706</v>
      </c>
      <c r="BI66" s="62">
        <f t="shared" si="38"/>
        <v>553678.76024572249</v>
      </c>
      <c r="BJ66" s="2">
        <v>25</v>
      </c>
      <c r="BK66" s="57">
        <f t="shared" si="39"/>
        <v>417737</v>
      </c>
      <c r="BL66" s="62">
        <f t="shared" si="40"/>
        <v>603781.51848370081</v>
      </c>
      <c r="BM66" s="2">
        <v>24</v>
      </c>
      <c r="BN66" s="57">
        <f t="shared" si="41"/>
        <v>437677</v>
      </c>
      <c r="BO66" s="62">
        <f t="shared" si="42"/>
        <v>658419.03216820536</v>
      </c>
      <c r="BP66" s="2">
        <v>23</v>
      </c>
      <c r="BQ66" s="57">
        <f t="shared" si="43"/>
        <v>458568</v>
      </c>
      <c r="BR66" s="62">
        <f t="shared" si="44"/>
        <v>717999.55598044535</v>
      </c>
      <c r="BS66" s="2">
        <v>22</v>
      </c>
      <c r="BT66" s="57">
        <f t="shared" si="45"/>
        <v>480456</v>
      </c>
      <c r="BU66" s="62">
        <f t="shared" si="46"/>
        <v>782971.27787705208</v>
      </c>
      <c r="BV66" s="2">
        <v>21</v>
      </c>
      <c r="BW66" s="57">
        <f t="shared" si="47"/>
        <v>503389</v>
      </c>
      <c r="BX66" s="62">
        <f t="shared" si="48"/>
        <v>853822.72586230619</v>
      </c>
      <c r="BY66" s="2">
        <v>20</v>
      </c>
      <c r="BZ66" s="57">
        <f t="shared" si="49"/>
        <v>527417</v>
      </c>
      <c r="CA66" s="62">
        <f t="shared" si="50"/>
        <v>931086.20523661096</v>
      </c>
      <c r="CB66" s="2">
        <v>19</v>
      </c>
      <c r="CC66" s="57">
        <f t="shared" si="51"/>
        <v>552592</v>
      </c>
      <c r="CD66" s="62">
        <f t="shared" si="52"/>
        <v>1015341.50762291</v>
      </c>
      <c r="CE66" s="2">
        <v>18</v>
      </c>
      <c r="CF66" s="57">
        <f t="shared" si="53"/>
        <v>578968</v>
      </c>
      <c r="CG66" s="62">
        <f t="shared" si="54"/>
        <v>1107219.9117432546</v>
      </c>
      <c r="CH66" s="2">
        <v>17</v>
      </c>
      <c r="CI66" s="57">
        <f t="shared" si="55"/>
        <v>606603</v>
      </c>
      <c r="CJ66" s="62">
        <f t="shared" si="56"/>
        <v>1207412.4781926763</v>
      </c>
      <c r="CK66" s="2">
        <v>16</v>
      </c>
      <c r="CL66" s="57">
        <f t="shared" si="57"/>
        <v>635558</v>
      </c>
      <c r="CM66" s="62">
        <f t="shared" si="58"/>
        <v>1316673.4398651249</v>
      </c>
      <c r="CN66" s="2">
        <v>15</v>
      </c>
      <c r="CO66" s="57">
        <f t="shared" si="59"/>
        <v>665894</v>
      </c>
      <c r="CP66" s="62">
        <f t="shared" si="60"/>
        <v>1435819.2323866631</v>
      </c>
      <c r="CQ66" s="2">
        <v>14</v>
      </c>
      <c r="CR66" s="57">
        <f t="shared" si="61"/>
        <v>697679</v>
      </c>
      <c r="CS66" s="62">
        <f t="shared" si="62"/>
        <v>1565748.8263477895</v>
      </c>
      <c r="CT66" s="2">
        <v>13</v>
      </c>
      <c r="CU66" s="57">
        <f t="shared" si="63"/>
        <v>730980</v>
      </c>
      <c r="CV66" s="62">
        <f t="shared" si="64"/>
        <v>1707433.1840670872</v>
      </c>
      <c r="CW66" s="2">
        <v>12</v>
      </c>
      <c r="CX66" s="57">
        <f t="shared" si="65"/>
        <v>765871</v>
      </c>
      <c r="CY66" s="62">
        <f t="shared" si="66"/>
        <v>1861939.7664694507</v>
      </c>
      <c r="CZ66" s="2">
        <v>11</v>
      </c>
      <c r="DA66" s="57">
        <f t="shared" si="67"/>
        <v>0</v>
      </c>
      <c r="DB66" s="62">
        <f t="shared" si="68"/>
        <v>0</v>
      </c>
      <c r="DC66" s="2">
        <v>10</v>
      </c>
      <c r="DD66" s="57">
        <f t="shared" si="71"/>
        <v>0</v>
      </c>
      <c r="DE66" s="62">
        <f t="shared" si="72"/>
        <v>0</v>
      </c>
      <c r="DF66" s="2">
        <v>9</v>
      </c>
      <c r="DG66" s="57">
        <f t="shared" si="75"/>
        <v>0</v>
      </c>
      <c r="DH66" s="62">
        <f t="shared" si="76"/>
        <v>0</v>
      </c>
      <c r="DI66" s="2">
        <v>8</v>
      </c>
      <c r="DJ66" s="57">
        <f t="shared" si="79"/>
        <v>0</v>
      </c>
      <c r="DK66" s="62">
        <f t="shared" si="80"/>
        <v>0</v>
      </c>
      <c r="DL66" s="2">
        <v>7</v>
      </c>
      <c r="DM66" s="57">
        <f t="shared" si="83"/>
        <v>0</v>
      </c>
      <c r="DN66" s="62">
        <f t="shared" si="84"/>
        <v>0</v>
      </c>
      <c r="DO66" s="2">
        <v>6</v>
      </c>
      <c r="DP66" s="57">
        <f t="shared" si="87"/>
        <v>0</v>
      </c>
      <c r="DQ66" s="62">
        <f t="shared" si="88"/>
        <v>0</v>
      </c>
      <c r="DR66" s="2">
        <v>5</v>
      </c>
      <c r="DS66" s="57">
        <f t="shared" si="91"/>
        <v>0</v>
      </c>
      <c r="DT66" s="62">
        <f t="shared" si="92"/>
        <v>0</v>
      </c>
      <c r="DU66" s="2">
        <v>4</v>
      </c>
      <c r="DV66" s="57">
        <f t="shared" si="95"/>
        <v>0</v>
      </c>
      <c r="DW66" s="62">
        <f t="shared" si="96"/>
        <v>0</v>
      </c>
      <c r="DX66" s="2">
        <v>3</v>
      </c>
      <c r="DY66" s="57">
        <f t="shared" si="102"/>
        <v>0</v>
      </c>
      <c r="DZ66" s="62">
        <f t="shared" si="103"/>
        <v>0</v>
      </c>
      <c r="EA66" s="2">
        <v>2</v>
      </c>
      <c r="EB66" s="57">
        <f t="shared" si="109"/>
        <v>0</v>
      </c>
      <c r="EC66" s="62">
        <f t="shared" si="106"/>
        <v>0</v>
      </c>
      <c r="ED66" s="2">
        <v>1</v>
      </c>
      <c r="EE66" s="57">
        <f t="shared" ref="EE66:EE129" si="113">$E$64</f>
        <v>0</v>
      </c>
      <c r="EF66" s="62">
        <f t="shared" si="110"/>
        <v>0</v>
      </c>
      <c r="EG66" s="2">
        <v>0</v>
      </c>
      <c r="EH66" s="57">
        <f>$E$65</f>
        <v>0</v>
      </c>
      <c r="EI66" s="62">
        <f t="shared" ref="EI66:EI97" si="114">SUM($G$10*$G$11*EH66*(EXP(-($G$10*EG66))),$G$10*$G$11*EH66*(EXP(-($G$10*(EG66+0.1)))),$G$10*$G$11*EH66*(EXP(-($G$10*(EG66+0.2)))),$G$10*$G$11*EH66*(EXP(-($G$10*(EG66+0.3)))),$G$10*$G$11*EH66*(EXP(-($G$10*(EG66+0.4)))),$G$10*$G$11*EH66*(EXP(-($G$10*(EG66+0.5)))),$G$10*$G$11*EH66*(EXP(-($G$10*(EG66+0.6)))),$G$10*$G$11*EH66*(EXP(-($G$10*(EG66+0.7)))),$G$10*$G$11*EH66*(EXP(-($G$10*(EG66+0.8)))),$G$10*$G$11*EH66*(EXP(-($G$10*(EG66+0.9)))))/10</f>
        <v>0</v>
      </c>
      <c r="EJ66" s="2"/>
      <c r="EK66" s="2"/>
      <c r="EL66" s="2"/>
      <c r="EM66" s="2"/>
      <c r="EN66" s="2"/>
      <c r="EO66" s="2"/>
      <c r="EP66" s="2"/>
      <c r="EQ66" s="2"/>
      <c r="ER66" s="1"/>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row>
    <row r="67" spans="2:250">
      <c r="B67" s="56">
        <f>'USER INPUTS'!J52</f>
        <v>2062</v>
      </c>
      <c r="C67" s="420">
        <f>IF(OR(AND(ClosureCalcYes=TRUE,WasteCapacity=""),AND(ClosureCalcYes=FALSE,ClosureYear="")),0,IF('USER INPUTS'!K52&gt;0,IF('USER INPUTS'!$K$4="Mg/year",'USER INPUTS'!K52,'USER INPUTS'!L52),0))</f>
        <v>0</v>
      </c>
      <c r="D67" s="420">
        <f t="shared" si="97"/>
        <v>12946986</v>
      </c>
      <c r="E67" s="420">
        <f>IF(ClosureCalcYes=FALSE,IF(AND(B67&lt;ClosureYear,C67=0,SUM(C67:$C$102)=0),$D$13,IF(B67&lt;=ClosureYear,C67,0)),IF(B67=$D$16,($D$14-F67),IF(B67&lt;$D$16,IF(SUM(C67:$C$102)=0,$D$13,C67),0)))</f>
        <v>0</v>
      </c>
      <c r="F67" s="66">
        <f t="shared" si="98"/>
        <v>12946986</v>
      </c>
      <c r="G67" s="284">
        <f>IF(SUM(C68:$C$101)=0,C67,0)</f>
        <v>0</v>
      </c>
      <c r="H67" s="284">
        <f t="shared" si="99"/>
        <v>0</v>
      </c>
      <c r="I67" s="2">
        <f t="shared" si="8"/>
        <v>2062</v>
      </c>
      <c r="J67" s="379">
        <f t="shared" si="1"/>
        <v>20157042.595107391</v>
      </c>
      <c r="K67" s="2">
        <v>43</v>
      </c>
      <c r="L67" s="57">
        <f t="shared" si="69"/>
        <v>189082</v>
      </c>
      <c r="M67" s="62">
        <f t="shared" si="70"/>
        <v>133025.54050177225</v>
      </c>
      <c r="N67" s="2">
        <v>42</v>
      </c>
      <c r="O67" s="57">
        <f t="shared" si="73"/>
        <v>293489</v>
      </c>
      <c r="P67" s="62">
        <f t="shared" si="74"/>
        <v>214905.95634618209</v>
      </c>
      <c r="Q67" s="2">
        <v>41</v>
      </c>
      <c r="R67" s="57">
        <f t="shared" si="77"/>
        <v>283523</v>
      </c>
      <c r="S67" s="62">
        <f t="shared" si="78"/>
        <v>216081.05865880792</v>
      </c>
      <c r="T67" s="2">
        <v>40</v>
      </c>
      <c r="U67" s="57">
        <f t="shared" si="81"/>
        <v>143321</v>
      </c>
      <c r="V67" s="62">
        <f t="shared" si="82"/>
        <v>113686.79215636503</v>
      </c>
      <c r="W67" s="2">
        <v>39</v>
      </c>
      <c r="X67" s="57">
        <f t="shared" si="85"/>
        <v>227851</v>
      </c>
      <c r="Y67" s="62">
        <f t="shared" si="86"/>
        <v>188114.77216269294</v>
      </c>
      <c r="Z67" s="2">
        <v>38</v>
      </c>
      <c r="AA67" s="57">
        <f t="shared" si="89"/>
        <v>238727</v>
      </c>
      <c r="AB67" s="62">
        <f t="shared" si="90"/>
        <v>205137.60541344975</v>
      </c>
      <c r="AC67" s="2">
        <v>37</v>
      </c>
      <c r="AD67" s="57">
        <f t="shared" si="93"/>
        <v>250122</v>
      </c>
      <c r="AE67" s="62">
        <f t="shared" si="94"/>
        <v>223700.73610037781</v>
      </c>
      <c r="AF67" s="2">
        <v>36</v>
      </c>
      <c r="AG67" s="57">
        <f t="shared" si="100"/>
        <v>262060</v>
      </c>
      <c r="AH67" s="62">
        <f t="shared" si="101"/>
        <v>243942.81800931747</v>
      </c>
      <c r="AI67" s="2">
        <v>35</v>
      </c>
      <c r="AJ67" s="57">
        <f t="shared" si="104"/>
        <v>274569</v>
      </c>
      <c r="AK67" s="62">
        <f t="shared" si="105"/>
        <v>266017.72867469909</v>
      </c>
      <c r="AL67" s="2">
        <v>34</v>
      </c>
      <c r="AM67" s="57">
        <f t="shared" si="107"/>
        <v>287675</v>
      </c>
      <c r="AN67" s="62">
        <f t="shared" si="108"/>
        <v>290090.14831711509</v>
      </c>
      <c r="AO67" s="2">
        <v>33</v>
      </c>
      <c r="AP67" s="57">
        <f t="shared" si="111"/>
        <v>301406</v>
      </c>
      <c r="AQ67" s="62">
        <f t="shared" si="112"/>
        <v>316340.30646724696</v>
      </c>
      <c r="AR67" s="2">
        <v>32</v>
      </c>
      <c r="AS67" s="57">
        <f t="shared" ref="AS67:AS98" si="115">$E$34</f>
        <v>315793</v>
      </c>
      <c r="AT67" s="62">
        <f t="shared" ref="AT67:AT98" si="116">SUM($G$10*$G$11*AS67*(EXP(-($G$10*AR67))),$G$10*$G$11*AS67*(EXP(-($G$10*(AR67+0.1)))),$G$10*$G$11*AS67*(EXP(-($G$10*(AR67+0.2)))),$G$10*$G$11*AS67*(EXP(-($G$10*(AR67+0.3)))),$G$10*$G$11*AS67*(EXP(-($G$10*(AR67+0.4)))),$G$10*$G$11*AS67*(EXP(-($G$10*(AR67+0.5)))),$G$10*$G$11*AS67*(EXP(-($G$10*(AR67+0.6)))),$G$10*$G$11*AS67*(EXP(-($G$10*(AR67+0.7)))),$G$10*$G$11*AS67*(EXP(-($G$10*(AR67+0.8)))),$G$10*$G$11*AS67*(EXP(-($G$10*(AR67+0.9)))))/10</f>
        <v>344966.49482955626</v>
      </c>
      <c r="AU67" s="2">
        <v>31</v>
      </c>
      <c r="AV67" s="57">
        <f t="shared" si="29"/>
        <v>330866</v>
      </c>
      <c r="AW67" s="62">
        <f t="shared" si="30"/>
        <v>376182.28250214166</v>
      </c>
      <c r="AX67" s="2">
        <v>30</v>
      </c>
      <c r="AY67" s="57">
        <f t="shared" si="31"/>
        <v>346659</v>
      </c>
      <c r="AZ67" s="62">
        <f t="shared" si="32"/>
        <v>410223.42408596672</v>
      </c>
      <c r="BA67" s="2">
        <v>29</v>
      </c>
      <c r="BB67" s="57">
        <f t="shared" si="33"/>
        <v>363206</v>
      </c>
      <c r="BC67" s="62">
        <f t="shared" si="34"/>
        <v>447345.18683155847</v>
      </c>
      <c r="BD67" s="2">
        <v>28</v>
      </c>
      <c r="BE67" s="57">
        <f t="shared" si="35"/>
        <v>380542</v>
      </c>
      <c r="BF67" s="62">
        <f t="shared" si="36"/>
        <v>487825.08660737425</v>
      </c>
      <c r="BG67" s="2">
        <v>27</v>
      </c>
      <c r="BH67" s="57">
        <f t="shared" si="37"/>
        <v>398706</v>
      </c>
      <c r="BI67" s="62">
        <f t="shared" si="38"/>
        <v>531968.70552704134</v>
      </c>
      <c r="BJ67" s="2">
        <v>26</v>
      </c>
      <c r="BK67" s="57">
        <f t="shared" si="39"/>
        <v>417737</v>
      </c>
      <c r="BL67" s="62">
        <f t="shared" si="40"/>
        <v>580106.90651449293</v>
      </c>
      <c r="BM67" s="2">
        <v>25</v>
      </c>
      <c r="BN67" s="57">
        <f t="shared" si="41"/>
        <v>437677</v>
      </c>
      <c r="BO67" s="62">
        <f t="shared" si="42"/>
        <v>632602.0526441054</v>
      </c>
      <c r="BP67" s="2">
        <v>24</v>
      </c>
      <c r="BQ67" s="57">
        <f t="shared" si="43"/>
        <v>458568</v>
      </c>
      <c r="BR67" s="62">
        <f t="shared" si="44"/>
        <v>689846.39070206927</v>
      </c>
      <c r="BS67" s="2">
        <v>23</v>
      </c>
      <c r="BT67" s="57">
        <f t="shared" si="45"/>
        <v>480456</v>
      </c>
      <c r="BU67" s="62">
        <f t="shared" si="46"/>
        <v>752270.53494387085</v>
      </c>
      <c r="BV67" s="2">
        <v>22</v>
      </c>
      <c r="BW67" s="57">
        <f t="shared" si="47"/>
        <v>503389</v>
      </c>
      <c r="BX67" s="62">
        <f t="shared" si="48"/>
        <v>820343.85791675281</v>
      </c>
      <c r="BY67" s="2">
        <v>21</v>
      </c>
      <c r="BZ67" s="57">
        <f t="shared" si="49"/>
        <v>527417</v>
      </c>
      <c r="CA67" s="62">
        <f t="shared" si="50"/>
        <v>894577.79293174832</v>
      </c>
      <c r="CB67" s="2">
        <v>20</v>
      </c>
      <c r="CC67" s="57">
        <f t="shared" si="51"/>
        <v>552592</v>
      </c>
      <c r="CD67" s="62">
        <f t="shared" si="52"/>
        <v>975529.3976570901</v>
      </c>
      <c r="CE67" s="2">
        <v>19</v>
      </c>
      <c r="CF67" s="57">
        <f t="shared" si="53"/>
        <v>578968</v>
      </c>
      <c r="CG67" s="62">
        <f t="shared" si="54"/>
        <v>1063805.1980220866</v>
      </c>
      <c r="CH67" s="2">
        <v>18</v>
      </c>
      <c r="CI67" s="57">
        <f t="shared" si="55"/>
        <v>606603</v>
      </c>
      <c r="CJ67" s="62">
        <f t="shared" si="56"/>
        <v>1160069.1577482582</v>
      </c>
      <c r="CK67" s="2">
        <v>17</v>
      </c>
      <c r="CL67" s="57">
        <f t="shared" si="57"/>
        <v>635558</v>
      </c>
      <c r="CM67" s="62">
        <f t="shared" si="58"/>
        <v>1265045.9358347734</v>
      </c>
      <c r="CN67" s="2">
        <v>16</v>
      </c>
      <c r="CO67" s="57">
        <f t="shared" si="59"/>
        <v>665894</v>
      </c>
      <c r="CP67" s="62">
        <f t="shared" si="60"/>
        <v>1379519.9550089012</v>
      </c>
      <c r="CQ67" s="2">
        <v>15</v>
      </c>
      <c r="CR67" s="57">
        <f t="shared" si="61"/>
        <v>697679</v>
      </c>
      <c r="CS67" s="62">
        <f t="shared" si="62"/>
        <v>1504354.9367201009</v>
      </c>
      <c r="CT67" s="2">
        <v>14</v>
      </c>
      <c r="CU67" s="57">
        <f t="shared" si="63"/>
        <v>730980</v>
      </c>
      <c r="CV67" s="62">
        <f t="shared" si="64"/>
        <v>1640483.7713098819</v>
      </c>
      <c r="CW67" s="2">
        <v>13</v>
      </c>
      <c r="CX67" s="57">
        <f t="shared" si="65"/>
        <v>765871</v>
      </c>
      <c r="CY67" s="62">
        <f t="shared" si="66"/>
        <v>1788932.0639615911</v>
      </c>
      <c r="CZ67" s="2">
        <v>12</v>
      </c>
      <c r="DA67" s="57">
        <f t="shared" si="67"/>
        <v>0</v>
      </c>
      <c r="DB67" s="62">
        <f t="shared" si="68"/>
        <v>0</v>
      </c>
      <c r="DC67" s="2">
        <v>11</v>
      </c>
      <c r="DD67" s="57">
        <f t="shared" si="71"/>
        <v>0</v>
      </c>
      <c r="DE67" s="62">
        <f t="shared" si="72"/>
        <v>0</v>
      </c>
      <c r="DF67" s="2">
        <v>10</v>
      </c>
      <c r="DG67" s="57">
        <f t="shared" si="75"/>
        <v>0</v>
      </c>
      <c r="DH67" s="62">
        <f t="shared" si="76"/>
        <v>0</v>
      </c>
      <c r="DI67" s="2">
        <v>9</v>
      </c>
      <c r="DJ67" s="57">
        <f t="shared" si="79"/>
        <v>0</v>
      </c>
      <c r="DK67" s="62">
        <f t="shared" si="80"/>
        <v>0</v>
      </c>
      <c r="DL67" s="2">
        <v>8</v>
      </c>
      <c r="DM67" s="57">
        <f t="shared" si="83"/>
        <v>0</v>
      </c>
      <c r="DN67" s="62">
        <f t="shared" si="84"/>
        <v>0</v>
      </c>
      <c r="DO67" s="2">
        <v>7</v>
      </c>
      <c r="DP67" s="57">
        <f t="shared" si="87"/>
        <v>0</v>
      </c>
      <c r="DQ67" s="62">
        <f t="shared" si="88"/>
        <v>0</v>
      </c>
      <c r="DR67" s="2">
        <v>6</v>
      </c>
      <c r="DS67" s="57">
        <f t="shared" si="91"/>
        <v>0</v>
      </c>
      <c r="DT67" s="62">
        <f t="shared" si="92"/>
        <v>0</v>
      </c>
      <c r="DU67" s="2">
        <v>5</v>
      </c>
      <c r="DV67" s="57">
        <f t="shared" si="95"/>
        <v>0</v>
      </c>
      <c r="DW67" s="62">
        <f t="shared" si="96"/>
        <v>0</v>
      </c>
      <c r="DX67" s="2">
        <v>4</v>
      </c>
      <c r="DY67" s="57">
        <f t="shared" si="102"/>
        <v>0</v>
      </c>
      <c r="DZ67" s="62">
        <f t="shared" si="103"/>
        <v>0</v>
      </c>
      <c r="EA67" s="2">
        <v>3</v>
      </c>
      <c r="EB67" s="57">
        <f t="shared" si="109"/>
        <v>0</v>
      </c>
      <c r="EC67" s="62">
        <f t="shared" si="106"/>
        <v>0</v>
      </c>
      <c r="ED67" s="2">
        <v>2</v>
      </c>
      <c r="EE67" s="57">
        <f t="shared" si="113"/>
        <v>0</v>
      </c>
      <c r="EF67" s="62">
        <f t="shared" si="110"/>
        <v>0</v>
      </c>
      <c r="EG67" s="2">
        <v>1</v>
      </c>
      <c r="EH67" s="57">
        <f t="shared" ref="EH67:EH130" si="117">$E$65</f>
        <v>0</v>
      </c>
      <c r="EI67" s="62">
        <f t="shared" si="114"/>
        <v>0</v>
      </c>
      <c r="EJ67" s="2">
        <v>0</v>
      </c>
      <c r="EK67" s="57">
        <f>$E$66</f>
        <v>0</v>
      </c>
      <c r="EL67" s="62">
        <f t="shared" ref="EL67:EL98" si="118">SUM($G$10*$G$11*EK67*(EXP(-($G$10*EJ67))),$G$10*$G$11*EK67*(EXP(-($G$10*(EJ67+0.1)))),$G$10*$G$11*EK67*(EXP(-($G$10*(EJ67+0.2)))),$G$10*$G$11*EK67*(EXP(-($G$10*(EJ67+0.3)))),$G$10*$G$11*EK67*(EXP(-($G$10*(EJ67+0.4)))),$G$10*$G$11*EK67*(EXP(-($G$10*(EJ67+0.5)))),$G$10*$G$11*EK67*(EXP(-($G$10*(EJ67+0.6)))),$G$10*$G$11*EK67*(EXP(-($G$10*(EJ67+0.7)))),$G$10*$G$11*EK67*(EXP(-($G$10*(EJ67+0.8)))),$G$10*$G$11*EK67*(EXP(-($G$10*(EJ67+0.9)))))/10</f>
        <v>0</v>
      </c>
      <c r="EM67" s="2"/>
      <c r="EN67" s="2"/>
      <c r="EO67" s="62"/>
      <c r="EP67" s="2"/>
      <c r="EQ67" s="2"/>
      <c r="ER67" s="6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row>
    <row r="68" spans="2:250">
      <c r="B68" s="56">
        <f>'USER INPUTS'!J53</f>
        <v>2063</v>
      </c>
      <c r="C68" s="420">
        <f>IF(OR(AND(ClosureCalcYes=TRUE,WasteCapacity=""),AND(ClosureCalcYes=FALSE,ClosureYear="")),0,IF('USER INPUTS'!K53&gt;0,IF('USER INPUTS'!$K$4="Mg/year",'USER INPUTS'!K53,'USER INPUTS'!L53),0))</f>
        <v>0</v>
      </c>
      <c r="D68" s="420">
        <f t="shared" si="97"/>
        <v>12946986</v>
      </c>
      <c r="E68" s="420">
        <f>IF(ClosureCalcYes=FALSE,IF(AND(B68&lt;ClosureYear,C68=0,SUM(C68:$C$102)=0),$D$13,IF(B68&lt;=ClosureYear,C68,0)),IF(B68=$D$16,($D$14-F68),IF(B68&lt;$D$16,IF(SUM(C68:$C$102)=0,$D$13,C68),0)))</f>
        <v>0</v>
      </c>
      <c r="F68" s="66">
        <f t="shared" si="98"/>
        <v>12946986</v>
      </c>
      <c r="G68" s="284">
        <f>IF(SUM(C69:$C$101)=0,C68,0)</f>
        <v>0</v>
      </c>
      <c r="H68" s="284">
        <f t="shared" si="99"/>
        <v>0</v>
      </c>
      <c r="I68" s="2">
        <f t="shared" si="8"/>
        <v>2063</v>
      </c>
      <c r="J68" s="379">
        <f t="shared" si="1"/>
        <v>19366673.649922717</v>
      </c>
      <c r="K68" s="2">
        <v>44</v>
      </c>
      <c r="L68" s="57">
        <f t="shared" si="69"/>
        <v>189082</v>
      </c>
      <c r="M68" s="62">
        <f t="shared" si="70"/>
        <v>127809.53445163244</v>
      </c>
      <c r="N68" s="2">
        <v>43</v>
      </c>
      <c r="O68" s="57">
        <f t="shared" si="73"/>
        <v>293489</v>
      </c>
      <c r="P68" s="62">
        <f t="shared" si="74"/>
        <v>206479.37326834197</v>
      </c>
      <c r="Q68" s="2">
        <v>42</v>
      </c>
      <c r="R68" s="57">
        <f t="shared" si="77"/>
        <v>283523</v>
      </c>
      <c r="S68" s="62">
        <f t="shared" si="78"/>
        <v>207608.39916023629</v>
      </c>
      <c r="T68" s="2">
        <v>41</v>
      </c>
      <c r="U68" s="57">
        <f t="shared" si="81"/>
        <v>143321</v>
      </c>
      <c r="V68" s="62">
        <f t="shared" si="82"/>
        <v>109229.06927494069</v>
      </c>
      <c r="W68" s="2">
        <v>40</v>
      </c>
      <c r="X68" s="57">
        <f t="shared" si="85"/>
        <v>227851</v>
      </c>
      <c r="Y68" s="62">
        <f t="shared" si="86"/>
        <v>180738.68644246084</v>
      </c>
      <c r="Z68" s="2">
        <v>39</v>
      </c>
      <c r="AA68" s="57">
        <f t="shared" si="89"/>
        <v>238727</v>
      </c>
      <c r="AB68" s="62">
        <f t="shared" si="90"/>
        <v>197094.04485423895</v>
      </c>
      <c r="AC68" s="2">
        <v>38</v>
      </c>
      <c r="AD68" s="57">
        <f t="shared" si="93"/>
        <v>250122</v>
      </c>
      <c r="AE68" s="62">
        <f t="shared" si="94"/>
        <v>214929.30477584386</v>
      </c>
      <c r="AF68" s="2">
        <v>37</v>
      </c>
      <c r="AG68" s="57">
        <f t="shared" si="100"/>
        <v>262060</v>
      </c>
      <c r="AH68" s="62">
        <f t="shared" si="101"/>
        <v>234377.68330040941</v>
      </c>
      <c r="AI68" s="2">
        <v>36</v>
      </c>
      <c r="AJ68" s="57">
        <f t="shared" si="104"/>
        <v>274569</v>
      </c>
      <c r="AK68" s="62">
        <f t="shared" si="105"/>
        <v>255587.02433793904</v>
      </c>
      <c r="AL68" s="2">
        <v>35</v>
      </c>
      <c r="AM68" s="57">
        <f t="shared" si="107"/>
        <v>287675</v>
      </c>
      <c r="AN68" s="62">
        <f t="shared" si="108"/>
        <v>278715.55090521526</v>
      </c>
      <c r="AO68" s="2">
        <v>34</v>
      </c>
      <c r="AP68" s="57">
        <f t="shared" si="111"/>
        <v>301406</v>
      </c>
      <c r="AQ68" s="62">
        <f t="shared" si="112"/>
        <v>303936.42563194025</v>
      </c>
      <c r="AR68" s="2">
        <v>33</v>
      </c>
      <c r="AS68" s="57">
        <f t="shared" si="115"/>
        <v>315793</v>
      </c>
      <c r="AT68" s="62">
        <f t="shared" si="116"/>
        <v>331440.16509363224</v>
      </c>
      <c r="AU68" s="2">
        <v>32</v>
      </c>
      <c r="AV68" s="57">
        <f t="shared" ref="AV68:AV99" si="119">$E$35</f>
        <v>330866</v>
      </c>
      <c r="AW68" s="62">
        <f t="shared" ref="AW68:AW99" si="120">SUM($G$10*$G$11*AV68*(EXP(-($G$10*AU68))),$G$10*$G$11*AV68*(EXP(-($G$10*(AU68+0.1)))),$G$10*$G$11*AV68*(EXP(-($G$10*(AU68+0.2)))),$G$10*$G$11*AV68*(EXP(-($G$10*(AU68+0.3)))),$G$10*$G$11*AV68*(EXP(-($G$10*(AU68+0.4)))),$G$10*$G$11*AV68*(EXP(-($G$10*(AU68+0.5)))),$G$10*$G$11*AV68*(EXP(-($G$10*(AU68+0.6)))),$G$10*$G$11*AV68*(EXP(-($G$10*(AU68+0.7)))),$G$10*$G$11*AV68*(EXP(-($G$10*(AU68+0.8)))),$G$10*$G$11*AV68*(EXP(-($G$10*(AU68+0.9)))))/10</f>
        <v>361431.96422427346</v>
      </c>
      <c r="AX68" s="2">
        <v>31</v>
      </c>
      <c r="AY68" s="57">
        <f t="shared" si="31"/>
        <v>346659</v>
      </c>
      <c r="AZ68" s="62">
        <f t="shared" si="32"/>
        <v>394138.33355470165</v>
      </c>
      <c r="BA68" s="2">
        <v>30</v>
      </c>
      <c r="BB68" s="57">
        <f t="shared" si="33"/>
        <v>363206</v>
      </c>
      <c r="BC68" s="62">
        <f t="shared" si="34"/>
        <v>429804.53116338432</v>
      </c>
      <c r="BD68" s="2">
        <v>29</v>
      </c>
      <c r="BE68" s="57">
        <f t="shared" si="35"/>
        <v>380542</v>
      </c>
      <c r="BF68" s="62">
        <f t="shared" si="36"/>
        <v>468697.1913659327</v>
      </c>
      <c r="BG68" s="2">
        <v>28</v>
      </c>
      <c r="BH68" s="57">
        <f t="shared" si="37"/>
        <v>398706</v>
      </c>
      <c r="BI68" s="62">
        <f t="shared" si="38"/>
        <v>511109.9142299135</v>
      </c>
      <c r="BJ68" s="2">
        <v>27</v>
      </c>
      <c r="BK68" s="57">
        <f t="shared" si="39"/>
        <v>417737</v>
      </c>
      <c r="BL68" s="62">
        <f t="shared" si="40"/>
        <v>557360.58935844875</v>
      </c>
      <c r="BM68" s="2">
        <v>26</v>
      </c>
      <c r="BN68" s="57">
        <f t="shared" si="41"/>
        <v>437677</v>
      </c>
      <c r="BO68" s="62">
        <f t="shared" si="42"/>
        <v>607797.37136653857</v>
      </c>
      <c r="BP68" s="2">
        <v>25</v>
      </c>
      <c r="BQ68" s="57">
        <f t="shared" si="43"/>
        <v>458568</v>
      </c>
      <c r="BR68" s="62">
        <f t="shared" si="44"/>
        <v>662797.12682389573</v>
      </c>
      <c r="BS68" s="2">
        <v>24</v>
      </c>
      <c r="BT68" s="57">
        <f t="shared" si="45"/>
        <v>480456</v>
      </c>
      <c r="BU68" s="62">
        <f t="shared" si="46"/>
        <v>722773.58535953995</v>
      </c>
      <c r="BV68" s="2">
        <v>23</v>
      </c>
      <c r="BW68" s="57">
        <f t="shared" si="47"/>
        <v>503389</v>
      </c>
      <c r="BX68" s="62">
        <f t="shared" si="48"/>
        <v>788177.71515989001</v>
      </c>
      <c r="BY68" s="2">
        <v>22</v>
      </c>
      <c r="BZ68" s="57">
        <f t="shared" si="49"/>
        <v>527417</v>
      </c>
      <c r="CA68" s="62">
        <f t="shared" si="50"/>
        <v>859500.89594901784</v>
      </c>
      <c r="CB68" s="2">
        <v>21</v>
      </c>
      <c r="CC68" s="57">
        <f t="shared" si="51"/>
        <v>552592</v>
      </c>
      <c r="CD68" s="62">
        <f t="shared" si="52"/>
        <v>937278.34285155905</v>
      </c>
      <c r="CE68" s="2">
        <v>20</v>
      </c>
      <c r="CF68" s="57">
        <f t="shared" si="53"/>
        <v>578968</v>
      </c>
      <c r="CG68" s="62">
        <f t="shared" si="54"/>
        <v>1022092.7995749665</v>
      </c>
      <c r="CH68" s="2">
        <v>19</v>
      </c>
      <c r="CI68" s="57">
        <f t="shared" si="55"/>
        <v>606603</v>
      </c>
      <c r="CJ68" s="62">
        <f t="shared" si="56"/>
        <v>1114582.1954508568</v>
      </c>
      <c r="CK68" s="2">
        <v>18</v>
      </c>
      <c r="CL68" s="57">
        <f t="shared" si="57"/>
        <v>635558</v>
      </c>
      <c r="CM68" s="62">
        <f t="shared" si="58"/>
        <v>1215442.7751926177</v>
      </c>
      <c r="CN68" s="2">
        <v>17</v>
      </c>
      <c r="CO68" s="57">
        <f t="shared" si="59"/>
        <v>665894</v>
      </c>
      <c r="CP68" s="62">
        <f t="shared" si="60"/>
        <v>1325428.2038724406</v>
      </c>
      <c r="CQ68" s="2">
        <v>16</v>
      </c>
      <c r="CR68" s="57">
        <f t="shared" si="61"/>
        <v>697679</v>
      </c>
      <c r="CS68" s="62">
        <f t="shared" si="62"/>
        <v>1445368.3359373347</v>
      </c>
      <c r="CT68" s="2">
        <v>15</v>
      </c>
      <c r="CU68" s="57">
        <f t="shared" si="63"/>
        <v>730980</v>
      </c>
      <c r="CV68" s="62">
        <f t="shared" si="64"/>
        <v>1576159.4825753097</v>
      </c>
      <c r="CW68" s="2">
        <v>14</v>
      </c>
      <c r="CX68" s="57">
        <f t="shared" si="65"/>
        <v>765871</v>
      </c>
      <c r="CY68" s="62">
        <f t="shared" si="66"/>
        <v>1718787.0344152651</v>
      </c>
      <c r="CZ68" s="2">
        <v>13</v>
      </c>
      <c r="DA68" s="57">
        <f t="shared" si="67"/>
        <v>0</v>
      </c>
      <c r="DB68" s="62">
        <f t="shared" si="68"/>
        <v>0</v>
      </c>
      <c r="DC68" s="2">
        <v>12</v>
      </c>
      <c r="DD68" s="57">
        <f t="shared" si="71"/>
        <v>0</v>
      </c>
      <c r="DE68" s="62">
        <f t="shared" si="72"/>
        <v>0</v>
      </c>
      <c r="DF68" s="2">
        <v>11</v>
      </c>
      <c r="DG68" s="57">
        <f t="shared" si="75"/>
        <v>0</v>
      </c>
      <c r="DH68" s="62">
        <f t="shared" si="76"/>
        <v>0</v>
      </c>
      <c r="DI68" s="2">
        <v>10</v>
      </c>
      <c r="DJ68" s="57">
        <f t="shared" si="79"/>
        <v>0</v>
      </c>
      <c r="DK68" s="62">
        <f t="shared" si="80"/>
        <v>0</v>
      </c>
      <c r="DL68" s="2">
        <v>9</v>
      </c>
      <c r="DM68" s="57">
        <f t="shared" si="83"/>
        <v>0</v>
      </c>
      <c r="DN68" s="62">
        <f t="shared" si="84"/>
        <v>0</v>
      </c>
      <c r="DO68" s="2">
        <v>8</v>
      </c>
      <c r="DP68" s="57">
        <f t="shared" si="87"/>
        <v>0</v>
      </c>
      <c r="DQ68" s="62">
        <f t="shared" si="88"/>
        <v>0</v>
      </c>
      <c r="DR68" s="2">
        <v>7</v>
      </c>
      <c r="DS68" s="57">
        <f t="shared" si="91"/>
        <v>0</v>
      </c>
      <c r="DT68" s="62">
        <f t="shared" si="92"/>
        <v>0</v>
      </c>
      <c r="DU68" s="2">
        <v>6</v>
      </c>
      <c r="DV68" s="57">
        <f t="shared" si="95"/>
        <v>0</v>
      </c>
      <c r="DW68" s="62">
        <f t="shared" si="96"/>
        <v>0</v>
      </c>
      <c r="DX68" s="2">
        <v>5</v>
      </c>
      <c r="DY68" s="57">
        <f t="shared" si="102"/>
        <v>0</v>
      </c>
      <c r="DZ68" s="62">
        <f t="shared" si="103"/>
        <v>0</v>
      </c>
      <c r="EA68" s="2">
        <v>4</v>
      </c>
      <c r="EB68" s="57">
        <f t="shared" si="109"/>
        <v>0</v>
      </c>
      <c r="EC68" s="62">
        <f t="shared" si="106"/>
        <v>0</v>
      </c>
      <c r="ED68" s="2">
        <v>3</v>
      </c>
      <c r="EE68" s="57">
        <f t="shared" si="113"/>
        <v>0</v>
      </c>
      <c r="EF68" s="62">
        <f t="shared" si="110"/>
        <v>0</v>
      </c>
      <c r="EG68" s="2">
        <v>2</v>
      </c>
      <c r="EH68" s="57">
        <f t="shared" si="117"/>
        <v>0</v>
      </c>
      <c r="EI68" s="62">
        <f t="shared" si="114"/>
        <v>0</v>
      </c>
      <c r="EJ68" s="2">
        <v>1</v>
      </c>
      <c r="EK68" s="57">
        <f t="shared" ref="EK68:EK131" si="121">$E$66</f>
        <v>0</v>
      </c>
      <c r="EL68" s="62">
        <f t="shared" si="118"/>
        <v>0</v>
      </c>
      <c r="EM68" s="2">
        <v>0</v>
      </c>
      <c r="EN68" s="57">
        <f>$E$67</f>
        <v>0</v>
      </c>
      <c r="EO68" s="62">
        <f t="shared" ref="EO68:EO99" si="122">SUM($G$10*$G$11*EN68*(EXP(-($G$10*EM68))),$G$10*$G$11*EN68*(EXP(-($G$10*(EM68+0.1)))),$G$10*$G$11*EN68*(EXP(-($G$10*(EM68+0.2)))),$G$10*$G$11*EN68*(EXP(-($G$10*(EM68+0.3)))),$G$10*$G$11*EN68*(EXP(-($G$10*(EM68+0.4)))),$G$10*$G$11*EN68*(EXP(-($G$10*(EM68+0.5)))),$G$10*$G$11*EN68*(EXP(-($G$10*(EM68+0.6)))),$G$10*$G$11*EN68*(EXP(-($G$10*(EM68+0.7)))),$G$10*$G$11*EN68*(EXP(-($G$10*(EM68+0.8)))),$G$10*$G$11*EN68*(EXP(-($G$10*(EM68+0.9)))))/10</f>
        <v>0</v>
      </c>
      <c r="EP68" s="2"/>
      <c r="EQ68" s="2"/>
      <c r="ER68" s="6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row>
    <row r="69" spans="2:250">
      <c r="B69" s="56">
        <f>'USER INPUTS'!J54</f>
        <v>2064</v>
      </c>
      <c r="C69" s="420">
        <f>IF(OR(AND(ClosureCalcYes=TRUE,WasteCapacity=""),AND(ClosureCalcYes=FALSE,ClosureYear="")),0,IF('USER INPUTS'!K54&gt;0,IF('USER INPUTS'!$K$4="Mg/year",'USER INPUTS'!K54,'USER INPUTS'!L54),0))</f>
        <v>0</v>
      </c>
      <c r="D69" s="420">
        <f t="shared" si="97"/>
        <v>12946986</v>
      </c>
      <c r="E69" s="420">
        <f>IF(ClosureCalcYes=FALSE,IF(AND(B69&lt;ClosureYear,C69=0,SUM(C69:$C$102)=0),$D$13,IF(B69&lt;=ClosureYear,C69,0)),IF(B69=$D$16,($D$14-F69),IF(B69&lt;$D$16,IF(SUM(C69:$C$102)=0,$D$13,C69),0)))</f>
        <v>0</v>
      </c>
      <c r="F69" s="66">
        <f t="shared" si="98"/>
        <v>12946986</v>
      </c>
      <c r="G69" s="284">
        <f>IF(SUM(C70:$C$101)=0,C69,0)</f>
        <v>0</v>
      </c>
      <c r="H69" s="284">
        <f t="shared" si="99"/>
        <v>0</v>
      </c>
      <c r="I69" s="2">
        <f t="shared" si="8"/>
        <v>2064</v>
      </c>
      <c r="J69" s="379">
        <f t="shared" si="1"/>
        <v>18607295.514355324</v>
      </c>
      <c r="K69" s="2">
        <v>45</v>
      </c>
      <c r="L69" s="57">
        <f t="shared" si="69"/>
        <v>189082</v>
      </c>
      <c r="M69" s="62">
        <f t="shared" si="70"/>
        <v>122798.05092410345</v>
      </c>
      <c r="N69" s="2">
        <v>44</v>
      </c>
      <c r="O69" s="57">
        <f t="shared" si="73"/>
        <v>293489</v>
      </c>
      <c r="P69" s="62">
        <f t="shared" si="74"/>
        <v>198383.20123901349</v>
      </c>
      <c r="Q69" s="2">
        <v>43</v>
      </c>
      <c r="R69" s="57">
        <f t="shared" si="77"/>
        <v>283523</v>
      </c>
      <c r="S69" s="62">
        <f t="shared" si="78"/>
        <v>199467.9573924751</v>
      </c>
      <c r="T69" s="2">
        <v>42</v>
      </c>
      <c r="U69" s="57">
        <f t="shared" si="81"/>
        <v>143321</v>
      </c>
      <c r="V69" s="62">
        <f t="shared" si="82"/>
        <v>104946.13620780055</v>
      </c>
      <c r="W69" s="2">
        <v>41</v>
      </c>
      <c r="X69" s="57">
        <f t="shared" si="85"/>
        <v>227851</v>
      </c>
      <c r="Y69" s="62">
        <f t="shared" si="86"/>
        <v>173651.82118017954</v>
      </c>
      <c r="Z69" s="2">
        <v>40</v>
      </c>
      <c r="AA69" s="57">
        <f t="shared" si="89"/>
        <v>238727</v>
      </c>
      <c r="AB69" s="62">
        <f t="shared" si="90"/>
        <v>189365.87681576709</v>
      </c>
      <c r="AC69" s="2">
        <v>39</v>
      </c>
      <c r="AD69" s="57">
        <f t="shared" si="93"/>
        <v>250122</v>
      </c>
      <c r="AE69" s="62">
        <f t="shared" si="94"/>
        <v>206501.80619298175</v>
      </c>
      <c r="AF69" s="2">
        <v>38</v>
      </c>
      <c r="AG69" s="57">
        <f t="shared" si="100"/>
        <v>262060</v>
      </c>
      <c r="AH69" s="62">
        <f t="shared" si="101"/>
        <v>225187.60288802121</v>
      </c>
      <c r="AI69" s="2">
        <v>37</v>
      </c>
      <c r="AJ69" s="57">
        <f t="shared" si="104"/>
        <v>274569</v>
      </c>
      <c r="AK69" s="62">
        <f t="shared" si="105"/>
        <v>245565.31376825963</v>
      </c>
      <c r="AL69" s="2">
        <v>36</v>
      </c>
      <c r="AM69" s="57">
        <f t="shared" si="107"/>
        <v>287675</v>
      </c>
      <c r="AN69" s="62">
        <f t="shared" si="108"/>
        <v>267786.95783725259</v>
      </c>
      <c r="AO69" s="2">
        <v>35</v>
      </c>
      <c r="AP69" s="57">
        <f t="shared" si="111"/>
        <v>301406</v>
      </c>
      <c r="AQ69" s="62">
        <f t="shared" si="112"/>
        <v>292018.90792087361</v>
      </c>
      <c r="AR69" s="2">
        <v>34</v>
      </c>
      <c r="AS69" s="57">
        <f t="shared" si="115"/>
        <v>315793</v>
      </c>
      <c r="AT69" s="62">
        <f t="shared" si="116"/>
        <v>318444.21033286431</v>
      </c>
      <c r="AU69" s="2">
        <v>33</v>
      </c>
      <c r="AV69" s="57">
        <f t="shared" si="119"/>
        <v>330866</v>
      </c>
      <c r="AW69" s="62">
        <f t="shared" si="120"/>
        <v>347260.01419876219</v>
      </c>
      <c r="AX69" s="2">
        <v>32</v>
      </c>
      <c r="AY69" s="57">
        <f t="shared" ref="AY69:AY100" si="123">$E$36</f>
        <v>346659</v>
      </c>
      <c r="AZ69" s="62">
        <f t="shared" ref="AZ69:AZ100" si="124">SUM($G$10*$G$11*AY69*(EXP(-($G$10*AX69))),$G$10*$G$11*AY69*(EXP(-($G$10*(AX69+0.1)))),$G$10*$G$11*AY69*(EXP(-($G$10*(AX69+0.2)))),$G$10*$G$11*AY69*(EXP(-($G$10*(AX69+0.3)))),$G$10*$G$11*AY69*(EXP(-($G$10*(AX69+0.4)))),$G$10*$G$11*AY69*(EXP(-($G$10*(AX69+0.5)))),$G$10*$G$11*AY69*(EXP(-($G$10*(AX69+0.6)))),$G$10*$G$11*AY69*(EXP(-($G$10*(AX69+0.7)))),$G$10*$G$11*AY69*(EXP(-($G$10*(AX69+0.8)))),$G$10*$G$11*AY69*(EXP(-($G$10*(AX69+0.9)))))/10</f>
        <v>378683.94844445307</v>
      </c>
      <c r="BA69" s="2">
        <v>31</v>
      </c>
      <c r="BB69" s="57">
        <f t="shared" si="33"/>
        <v>363206</v>
      </c>
      <c r="BC69" s="62">
        <f t="shared" si="34"/>
        <v>412951.65444159525</v>
      </c>
      <c r="BD69" s="2">
        <v>30</v>
      </c>
      <c r="BE69" s="57">
        <f t="shared" si="35"/>
        <v>380542</v>
      </c>
      <c r="BF69" s="62">
        <f t="shared" si="36"/>
        <v>450319.31162474351</v>
      </c>
      <c r="BG69" s="2">
        <v>29</v>
      </c>
      <c r="BH69" s="57">
        <f t="shared" si="37"/>
        <v>398706</v>
      </c>
      <c r="BI69" s="62">
        <f t="shared" si="38"/>
        <v>491069.00783815066</v>
      </c>
      <c r="BJ69" s="2">
        <v>28</v>
      </c>
      <c r="BK69" s="57">
        <f t="shared" si="39"/>
        <v>417737</v>
      </c>
      <c r="BL69" s="62">
        <f t="shared" si="40"/>
        <v>535506.16805531236</v>
      </c>
      <c r="BM69" s="2">
        <v>27</v>
      </c>
      <c r="BN69" s="57">
        <f t="shared" si="41"/>
        <v>437677</v>
      </c>
      <c r="BO69" s="62">
        <f t="shared" si="42"/>
        <v>583965.29555351299</v>
      </c>
      <c r="BP69" s="2">
        <v>26</v>
      </c>
      <c r="BQ69" s="57">
        <f t="shared" si="43"/>
        <v>458568</v>
      </c>
      <c r="BR69" s="62">
        <f t="shared" si="44"/>
        <v>636808.47975290194</v>
      </c>
      <c r="BS69" s="2">
        <v>25</v>
      </c>
      <c r="BT69" s="57">
        <f t="shared" si="45"/>
        <v>480456</v>
      </c>
      <c r="BU69" s="62">
        <f t="shared" si="46"/>
        <v>694433.22771170607</v>
      </c>
      <c r="BV69" s="2">
        <v>24</v>
      </c>
      <c r="BW69" s="57">
        <f t="shared" si="47"/>
        <v>503389</v>
      </c>
      <c r="BX69" s="62">
        <f t="shared" si="48"/>
        <v>757272.8249008304</v>
      </c>
      <c r="BY69" s="2">
        <v>23</v>
      </c>
      <c r="BZ69" s="57">
        <f t="shared" si="49"/>
        <v>527417</v>
      </c>
      <c r="CA69" s="62">
        <f t="shared" si="50"/>
        <v>825799.38376977597</v>
      </c>
      <c r="CB69" s="2">
        <v>22</v>
      </c>
      <c r="CC69" s="57">
        <f t="shared" si="51"/>
        <v>552592</v>
      </c>
      <c r="CD69" s="62">
        <f t="shared" si="52"/>
        <v>900527.13335796818</v>
      </c>
      <c r="CE69" s="2">
        <v>21</v>
      </c>
      <c r="CF69" s="57">
        <f t="shared" si="53"/>
        <v>578968</v>
      </c>
      <c r="CG69" s="62">
        <f t="shared" si="54"/>
        <v>982015.96766526031</v>
      </c>
      <c r="CH69" s="2">
        <v>20</v>
      </c>
      <c r="CI69" s="57">
        <f t="shared" si="55"/>
        <v>606603</v>
      </c>
      <c r="CJ69" s="62">
        <f t="shared" si="56"/>
        <v>1070878.8024563941</v>
      </c>
      <c r="CK69" s="2">
        <v>19</v>
      </c>
      <c r="CL69" s="57">
        <f t="shared" si="57"/>
        <v>635558</v>
      </c>
      <c r="CM69" s="62">
        <f t="shared" si="58"/>
        <v>1167784.5822990583</v>
      </c>
      <c r="CN69" s="2">
        <v>18</v>
      </c>
      <c r="CO69" s="57">
        <f t="shared" si="59"/>
        <v>665894</v>
      </c>
      <c r="CP69" s="62">
        <f t="shared" si="60"/>
        <v>1273457.4206352732</v>
      </c>
      <c r="CQ69" s="2">
        <v>17</v>
      </c>
      <c r="CR69" s="57">
        <f t="shared" si="61"/>
        <v>697679</v>
      </c>
      <c r="CS69" s="62">
        <f t="shared" si="62"/>
        <v>1388694.6328537583</v>
      </c>
      <c r="CT69" s="2">
        <v>16</v>
      </c>
      <c r="CU69" s="57">
        <f t="shared" si="63"/>
        <v>730980</v>
      </c>
      <c r="CV69" s="62">
        <f t="shared" si="64"/>
        <v>1514357.3852781476</v>
      </c>
      <c r="CW69" s="2">
        <v>15</v>
      </c>
      <c r="CX69" s="57">
        <f t="shared" si="65"/>
        <v>765871</v>
      </c>
      <c r="CY69" s="62">
        <f t="shared" si="66"/>
        <v>1651392.4308181275</v>
      </c>
      <c r="CZ69" s="2">
        <v>14</v>
      </c>
      <c r="DA69" s="57">
        <f t="shared" si="67"/>
        <v>0</v>
      </c>
      <c r="DB69" s="62">
        <f t="shared" si="68"/>
        <v>0</v>
      </c>
      <c r="DC69" s="2">
        <v>13</v>
      </c>
      <c r="DD69" s="57">
        <f t="shared" si="71"/>
        <v>0</v>
      </c>
      <c r="DE69" s="62">
        <f t="shared" si="72"/>
        <v>0</v>
      </c>
      <c r="DF69" s="2">
        <v>12</v>
      </c>
      <c r="DG69" s="57">
        <f t="shared" si="75"/>
        <v>0</v>
      </c>
      <c r="DH69" s="62">
        <f t="shared" si="76"/>
        <v>0</v>
      </c>
      <c r="DI69" s="2">
        <v>11</v>
      </c>
      <c r="DJ69" s="57">
        <f t="shared" si="79"/>
        <v>0</v>
      </c>
      <c r="DK69" s="62">
        <f t="shared" si="80"/>
        <v>0</v>
      </c>
      <c r="DL69" s="2">
        <v>10</v>
      </c>
      <c r="DM69" s="57">
        <f t="shared" si="83"/>
        <v>0</v>
      </c>
      <c r="DN69" s="62">
        <f t="shared" si="84"/>
        <v>0</v>
      </c>
      <c r="DO69" s="2">
        <v>9</v>
      </c>
      <c r="DP69" s="57">
        <f t="shared" si="87"/>
        <v>0</v>
      </c>
      <c r="DQ69" s="62">
        <f t="shared" si="88"/>
        <v>0</v>
      </c>
      <c r="DR69" s="2">
        <v>8</v>
      </c>
      <c r="DS69" s="57">
        <f t="shared" si="91"/>
        <v>0</v>
      </c>
      <c r="DT69" s="62">
        <f t="shared" si="92"/>
        <v>0</v>
      </c>
      <c r="DU69" s="2">
        <v>7</v>
      </c>
      <c r="DV69" s="57">
        <f t="shared" si="95"/>
        <v>0</v>
      </c>
      <c r="DW69" s="62">
        <f t="shared" si="96"/>
        <v>0</v>
      </c>
      <c r="DX69" s="2">
        <v>6</v>
      </c>
      <c r="DY69" s="57">
        <f t="shared" si="102"/>
        <v>0</v>
      </c>
      <c r="DZ69" s="62">
        <f t="shared" si="103"/>
        <v>0</v>
      </c>
      <c r="EA69" s="2">
        <v>5</v>
      </c>
      <c r="EB69" s="57">
        <f t="shared" si="109"/>
        <v>0</v>
      </c>
      <c r="EC69" s="62">
        <f t="shared" si="106"/>
        <v>0</v>
      </c>
      <c r="ED69" s="2">
        <v>4</v>
      </c>
      <c r="EE69" s="57">
        <f t="shared" si="113"/>
        <v>0</v>
      </c>
      <c r="EF69" s="62">
        <f t="shared" si="110"/>
        <v>0</v>
      </c>
      <c r="EG69" s="2">
        <v>3</v>
      </c>
      <c r="EH69" s="57">
        <f t="shared" si="117"/>
        <v>0</v>
      </c>
      <c r="EI69" s="62">
        <f t="shared" si="114"/>
        <v>0</v>
      </c>
      <c r="EJ69" s="2">
        <v>2</v>
      </c>
      <c r="EK69" s="57">
        <f t="shared" si="121"/>
        <v>0</v>
      </c>
      <c r="EL69" s="62">
        <f t="shared" si="118"/>
        <v>0</v>
      </c>
      <c r="EM69" s="2">
        <v>1</v>
      </c>
      <c r="EN69" s="57">
        <f t="shared" ref="EN69:EN132" si="125">$E$67</f>
        <v>0</v>
      </c>
      <c r="EO69" s="62">
        <f t="shared" si="122"/>
        <v>0</v>
      </c>
      <c r="EP69" s="2">
        <v>0</v>
      </c>
      <c r="EQ69" s="57">
        <f>$E$68</f>
        <v>0</v>
      </c>
      <c r="ER69" s="62">
        <f t="shared" ref="ER69:ER100" si="126">SUM($G$10*$G$11*EQ69*(EXP(-($G$10*EP69))),$G$10*$G$11*EQ69*(EXP(-($G$10*(EP69+0.1)))),$G$10*$G$11*EQ69*(EXP(-($G$10*(EP69+0.2)))),$G$10*$G$11*EQ69*(EXP(-($G$10*(EP69+0.3)))),$G$10*$G$11*EQ69*(EXP(-($G$10*(EP69+0.4)))),$G$10*$G$11*EQ69*(EXP(-($G$10*(EP69+0.5)))),$G$10*$G$11*EQ69*(EXP(-($G$10*(EP69+0.6)))),$G$10*$G$11*EQ69*(EXP(-($G$10*(EP69+0.7)))),$G$10*$G$11*EQ69*(EXP(-($G$10*(EP69+0.8)))),$G$10*$G$11*EQ69*(EXP(-($G$10*(EP69+0.9)))))/10</f>
        <v>0</v>
      </c>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row>
    <row r="70" spans="2:250">
      <c r="B70" s="56">
        <f>'USER INPUTS'!J55</f>
        <v>2065</v>
      </c>
      <c r="C70" s="420">
        <f>IF(OR(AND(ClosureCalcYes=TRUE,WasteCapacity=""),AND(ClosureCalcYes=FALSE,ClosureYear="")),0,IF('USER INPUTS'!K55&gt;0,IF('USER INPUTS'!$K$4="Mg/year",'USER INPUTS'!K55,'USER INPUTS'!L55),0))</f>
        <v>0</v>
      </c>
      <c r="D70" s="420">
        <f t="shared" si="97"/>
        <v>12946986</v>
      </c>
      <c r="E70" s="420">
        <f>IF(ClosureCalcYes=FALSE,IF(AND(B70&lt;ClosureYear,C70=0,SUM(C70:$C$102)=0),$D$13,IF(B70&lt;=ClosureYear,C70,0)),IF(B70=$D$16,($D$14-F70),IF(B70&lt;$D$16,IF(SUM(C70:$C$102)=0,$D$13,C70),0)))</f>
        <v>0</v>
      </c>
      <c r="F70" s="66">
        <f t="shared" si="98"/>
        <v>12946986</v>
      </c>
      <c r="G70" s="284">
        <f>IF(SUM(C71:$C$101)=0,C70,0)</f>
        <v>0</v>
      </c>
      <c r="H70" s="284">
        <f t="shared" si="99"/>
        <v>0</v>
      </c>
      <c r="I70" s="2">
        <f t="shared" si="8"/>
        <v>2065</v>
      </c>
      <c r="J70" s="379">
        <f t="shared" si="1"/>
        <v>17877693.021378994</v>
      </c>
      <c r="K70" s="2">
        <v>46</v>
      </c>
      <c r="L70" s="57">
        <f t="shared" si="69"/>
        <v>189082</v>
      </c>
      <c r="M70" s="62">
        <f t="shared" si="70"/>
        <v>117983.07047636779</v>
      </c>
      <c r="N70" s="2">
        <v>45</v>
      </c>
      <c r="O70" s="57">
        <f t="shared" si="73"/>
        <v>293489</v>
      </c>
      <c r="P70" s="62">
        <f t="shared" si="74"/>
        <v>190604.48465567426</v>
      </c>
      <c r="Q70" s="2">
        <v>44</v>
      </c>
      <c r="R70" s="57">
        <f t="shared" si="77"/>
        <v>283523</v>
      </c>
      <c r="S70" s="62">
        <f t="shared" si="78"/>
        <v>191646.70691197563</v>
      </c>
      <c r="T70" s="2">
        <v>43</v>
      </c>
      <c r="U70" s="57">
        <f t="shared" si="81"/>
        <v>143321</v>
      </c>
      <c r="V70" s="62">
        <f t="shared" si="82"/>
        <v>100831.13934829598</v>
      </c>
      <c r="W70" s="2">
        <v>42</v>
      </c>
      <c r="X70" s="57">
        <f t="shared" si="85"/>
        <v>227851</v>
      </c>
      <c r="Y70" s="62">
        <f t="shared" si="86"/>
        <v>166842.83587948419</v>
      </c>
      <c r="Z70" s="2">
        <v>41</v>
      </c>
      <c r="AA70" s="57">
        <f t="shared" si="89"/>
        <v>238727</v>
      </c>
      <c r="AB70" s="62">
        <f t="shared" si="90"/>
        <v>181940.73458040875</v>
      </c>
      <c r="AC70" s="2">
        <v>40</v>
      </c>
      <c r="AD70" s="57">
        <f t="shared" si="93"/>
        <v>250122</v>
      </c>
      <c r="AE70" s="62">
        <f t="shared" si="94"/>
        <v>198404.75455609668</v>
      </c>
      <c r="AF70" s="2">
        <v>39</v>
      </c>
      <c r="AG70" s="57">
        <f t="shared" si="100"/>
        <v>262060</v>
      </c>
      <c r="AH70" s="62">
        <f t="shared" si="101"/>
        <v>216357.87068283797</v>
      </c>
      <c r="AI70" s="2">
        <v>38</v>
      </c>
      <c r="AJ70" s="57">
        <f t="shared" si="104"/>
        <v>274569</v>
      </c>
      <c r="AK70" s="62">
        <f t="shared" si="105"/>
        <v>235936.56009067042</v>
      </c>
      <c r="AL70" s="2">
        <v>37</v>
      </c>
      <c r="AM70" s="57">
        <f t="shared" si="107"/>
        <v>287675</v>
      </c>
      <c r="AN70" s="62">
        <f t="shared" si="108"/>
        <v>257286.88103276078</v>
      </c>
      <c r="AO70" s="2">
        <v>36</v>
      </c>
      <c r="AP70" s="57">
        <f t="shared" si="111"/>
        <v>301406</v>
      </c>
      <c r="AQ70" s="62">
        <f t="shared" si="112"/>
        <v>280568.6827631701</v>
      </c>
      <c r="AR70" s="2">
        <v>35</v>
      </c>
      <c r="AS70" s="57">
        <f t="shared" si="115"/>
        <v>315793</v>
      </c>
      <c r="AT70" s="62">
        <f t="shared" si="116"/>
        <v>305957.83424701716</v>
      </c>
      <c r="AU70" s="2">
        <v>34</v>
      </c>
      <c r="AV70" s="57">
        <f t="shared" si="119"/>
        <v>330866</v>
      </c>
      <c r="AW70" s="62">
        <f t="shared" si="120"/>
        <v>333643.75428205653</v>
      </c>
      <c r="AX70" s="2">
        <v>33</v>
      </c>
      <c r="AY70" s="57">
        <f t="shared" si="123"/>
        <v>346659</v>
      </c>
      <c r="AZ70" s="62">
        <f t="shared" si="124"/>
        <v>363835.53844193334</v>
      </c>
      <c r="BA70" s="2">
        <v>32</v>
      </c>
      <c r="BB70" s="57">
        <f t="shared" ref="BB70:BB101" si="127">$E$37</f>
        <v>363206</v>
      </c>
      <c r="BC70" s="62">
        <f t="shared" ref="BC70:BC101" si="128">SUM($G$10*$G$11*BB70*(EXP(-($G$10*BA70))),$G$10*$G$11*BB70*(EXP(-($G$10*(BA70+0.1)))),$G$10*$G$11*BB70*(EXP(-($G$10*(BA70+0.2)))),$G$10*$G$11*BB70*(EXP(-($G$10*(BA70+0.3)))),$G$10*$G$11*BB70*(EXP(-($G$10*(BA70+0.4)))),$G$10*$G$11*BB70*(EXP(-($G$10*(BA70+0.5)))),$G$10*$G$11*BB70*(EXP(-($G$10*(BA70+0.6)))),$G$10*$G$11*BB70*(EXP(-($G$10*(BA70+0.7)))),$G$10*$G$11*BB70*(EXP(-($G$10*(BA70+0.8)))),$G$10*$G$11*BB70*(EXP(-($G$10*(BA70+0.9)))))/10</f>
        <v>396759.58846796426</v>
      </c>
      <c r="BD70" s="2">
        <v>31</v>
      </c>
      <c r="BE70" s="57">
        <f t="shared" si="35"/>
        <v>380542</v>
      </c>
      <c r="BF70" s="62">
        <f t="shared" si="36"/>
        <v>432662.03885539761</v>
      </c>
      <c r="BG70" s="2">
        <v>30</v>
      </c>
      <c r="BH70" s="57">
        <f t="shared" si="37"/>
        <v>398706</v>
      </c>
      <c r="BI70" s="62">
        <f t="shared" si="38"/>
        <v>471813.91662590456</v>
      </c>
      <c r="BJ70" s="2">
        <v>29</v>
      </c>
      <c r="BK70" s="57">
        <f t="shared" si="39"/>
        <v>417737</v>
      </c>
      <c r="BL70" s="62">
        <f t="shared" si="40"/>
        <v>514508.67086847342</v>
      </c>
      <c r="BM70" s="2">
        <v>28</v>
      </c>
      <c r="BN70" s="57">
        <f t="shared" si="41"/>
        <v>437677</v>
      </c>
      <c r="BO70" s="62">
        <f t="shared" si="42"/>
        <v>561067.68879928044</v>
      </c>
      <c r="BP70" s="2">
        <v>27</v>
      </c>
      <c r="BQ70" s="57">
        <f t="shared" si="43"/>
        <v>458568</v>
      </c>
      <c r="BR70" s="62">
        <f t="shared" si="44"/>
        <v>611838.86210923432</v>
      </c>
      <c r="BS70" s="2">
        <v>26</v>
      </c>
      <c r="BT70" s="57">
        <f t="shared" si="45"/>
        <v>480456</v>
      </c>
      <c r="BU70" s="62">
        <f t="shared" si="46"/>
        <v>667204.11138186755</v>
      </c>
      <c r="BV70" s="2">
        <v>25</v>
      </c>
      <c r="BW70" s="57">
        <f t="shared" si="47"/>
        <v>503389</v>
      </c>
      <c r="BX70" s="62">
        <f t="shared" si="48"/>
        <v>727579.73272176436</v>
      </c>
      <c r="BY70" s="2">
        <v>24</v>
      </c>
      <c r="BZ70" s="57">
        <f t="shared" si="49"/>
        <v>527417</v>
      </c>
      <c r="CA70" s="62">
        <f t="shared" si="50"/>
        <v>793419.32678449713</v>
      </c>
      <c r="CB70" s="2">
        <v>23</v>
      </c>
      <c r="CC70" s="57">
        <f t="shared" si="51"/>
        <v>552592</v>
      </c>
      <c r="CD70" s="62">
        <f t="shared" si="52"/>
        <v>865216.95940045197</v>
      </c>
      <c r="CE70" s="2">
        <v>22</v>
      </c>
      <c r="CF70" s="57">
        <f t="shared" si="53"/>
        <v>578968</v>
      </c>
      <c r="CG70" s="62">
        <f t="shared" si="54"/>
        <v>943510.57081173116</v>
      </c>
      <c r="CH70" s="2">
        <v>21</v>
      </c>
      <c r="CI70" s="57">
        <f t="shared" si="55"/>
        <v>606603</v>
      </c>
      <c r="CJ70" s="62">
        <f t="shared" si="56"/>
        <v>1028889.0440121902</v>
      </c>
      <c r="CK70" s="2">
        <v>20</v>
      </c>
      <c r="CL70" s="57">
        <f t="shared" si="57"/>
        <v>635558</v>
      </c>
      <c r="CM70" s="62">
        <f t="shared" si="58"/>
        <v>1121995.0938778424</v>
      </c>
      <c r="CN70" s="2">
        <v>19</v>
      </c>
      <c r="CO70" s="57">
        <f t="shared" si="59"/>
        <v>665894</v>
      </c>
      <c r="CP70" s="62">
        <f t="shared" si="60"/>
        <v>1223524.4409565285</v>
      </c>
      <c r="CQ70" s="2">
        <v>18</v>
      </c>
      <c r="CR70" s="57">
        <f t="shared" si="61"/>
        <v>697679</v>
      </c>
      <c r="CS70" s="62">
        <f t="shared" si="62"/>
        <v>1334243.1374534038</v>
      </c>
      <c r="CT70" s="2">
        <v>17</v>
      </c>
      <c r="CU70" s="57">
        <f t="shared" si="63"/>
        <v>730980</v>
      </c>
      <c r="CV70" s="62">
        <f t="shared" si="64"/>
        <v>1454978.5828775701</v>
      </c>
      <c r="CW70" s="2">
        <v>16</v>
      </c>
      <c r="CX70" s="57">
        <f t="shared" si="65"/>
        <v>765871</v>
      </c>
      <c r="CY70" s="62">
        <f t="shared" si="66"/>
        <v>1586640.4074261405</v>
      </c>
      <c r="CZ70" s="2">
        <v>15</v>
      </c>
      <c r="DA70" s="57">
        <f t="shared" si="67"/>
        <v>0</v>
      </c>
      <c r="DB70" s="62">
        <f t="shared" si="68"/>
        <v>0</v>
      </c>
      <c r="DC70" s="2">
        <v>14</v>
      </c>
      <c r="DD70" s="57">
        <f t="shared" si="71"/>
        <v>0</v>
      </c>
      <c r="DE70" s="62">
        <f t="shared" si="72"/>
        <v>0</v>
      </c>
      <c r="DF70" s="2">
        <v>13</v>
      </c>
      <c r="DG70" s="57">
        <f t="shared" si="75"/>
        <v>0</v>
      </c>
      <c r="DH70" s="62">
        <f t="shared" si="76"/>
        <v>0</v>
      </c>
      <c r="DI70" s="2">
        <v>12</v>
      </c>
      <c r="DJ70" s="57">
        <f t="shared" si="79"/>
        <v>0</v>
      </c>
      <c r="DK70" s="62">
        <f t="shared" si="80"/>
        <v>0</v>
      </c>
      <c r="DL70" s="2">
        <v>11</v>
      </c>
      <c r="DM70" s="57">
        <f t="shared" si="83"/>
        <v>0</v>
      </c>
      <c r="DN70" s="62">
        <f t="shared" si="84"/>
        <v>0</v>
      </c>
      <c r="DO70" s="2">
        <v>10</v>
      </c>
      <c r="DP70" s="57">
        <f t="shared" si="87"/>
        <v>0</v>
      </c>
      <c r="DQ70" s="62">
        <f t="shared" si="88"/>
        <v>0</v>
      </c>
      <c r="DR70" s="2">
        <v>9</v>
      </c>
      <c r="DS70" s="57">
        <f t="shared" si="91"/>
        <v>0</v>
      </c>
      <c r="DT70" s="62">
        <f t="shared" si="92"/>
        <v>0</v>
      </c>
      <c r="DU70" s="2">
        <v>8</v>
      </c>
      <c r="DV70" s="57">
        <f t="shared" si="95"/>
        <v>0</v>
      </c>
      <c r="DW70" s="62">
        <f t="shared" si="96"/>
        <v>0</v>
      </c>
      <c r="DX70" s="2">
        <v>7</v>
      </c>
      <c r="DY70" s="57">
        <f t="shared" si="102"/>
        <v>0</v>
      </c>
      <c r="DZ70" s="62">
        <f t="shared" si="103"/>
        <v>0</v>
      </c>
      <c r="EA70" s="2">
        <v>6</v>
      </c>
      <c r="EB70" s="57">
        <f t="shared" si="109"/>
        <v>0</v>
      </c>
      <c r="EC70" s="62">
        <f t="shared" si="106"/>
        <v>0</v>
      </c>
      <c r="ED70" s="2">
        <v>5</v>
      </c>
      <c r="EE70" s="57">
        <f t="shared" si="113"/>
        <v>0</v>
      </c>
      <c r="EF70" s="62">
        <f t="shared" si="110"/>
        <v>0</v>
      </c>
      <c r="EG70" s="2">
        <v>4</v>
      </c>
      <c r="EH70" s="57">
        <f t="shared" si="117"/>
        <v>0</v>
      </c>
      <c r="EI70" s="62">
        <f t="shared" si="114"/>
        <v>0</v>
      </c>
      <c r="EJ70" s="2">
        <v>3</v>
      </c>
      <c r="EK70" s="57">
        <f t="shared" si="121"/>
        <v>0</v>
      </c>
      <c r="EL70" s="62">
        <f t="shared" si="118"/>
        <v>0</v>
      </c>
      <c r="EM70" s="2">
        <v>2</v>
      </c>
      <c r="EN70" s="57">
        <f t="shared" si="125"/>
        <v>0</v>
      </c>
      <c r="EO70" s="62">
        <f t="shared" si="122"/>
        <v>0</v>
      </c>
      <c r="EP70" s="2">
        <v>1</v>
      </c>
      <c r="EQ70" s="57">
        <f t="shared" ref="EQ70:EQ133" si="129">$E$68</f>
        <v>0</v>
      </c>
      <c r="ER70" s="62">
        <f t="shared" si="126"/>
        <v>0</v>
      </c>
      <c r="ES70" s="2">
        <v>0</v>
      </c>
      <c r="ET70" s="57">
        <f t="shared" ref="ET70:ET133" si="130">$E$69</f>
        <v>0</v>
      </c>
      <c r="EU70" s="62">
        <f t="shared" ref="EU70:EU101" si="131">SUM($G$10*$G$11*ET70*(EXP(-($G$10*ES70))),$G$10*$G$11*ET70*(EXP(-($G$10*(ES70+0.1)))),$G$10*$G$11*ET70*(EXP(-($G$10*(ES70+0.2)))),$G$10*$G$11*ET70*(EXP(-($G$10*(ES70+0.3)))),$G$10*$G$11*ET70*(EXP(-($G$10*(ES70+0.4)))),$G$10*$G$11*ET70*(EXP(-($G$10*(ES70+0.5)))),$G$10*$G$11*ET70*(EXP(-($G$10*(ES70+0.6)))),$G$10*$G$11*ET70*(EXP(-($G$10*(ES70+0.7)))),$G$10*$G$11*ET70*(EXP(-($G$10*(ES70+0.8)))),$G$10*$G$11*ET70*(EXP(-($G$10*(ES70+0.9)))))/10</f>
        <v>0</v>
      </c>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row>
    <row r="71" spans="2:250">
      <c r="B71" s="56">
        <f>'USER INPUTS'!J56</f>
        <v>2066</v>
      </c>
      <c r="C71" s="420">
        <f>IF(OR(AND(ClosureCalcYes=TRUE,WasteCapacity=""),AND(ClosureCalcYes=FALSE,ClosureYear="")),0,IF('USER INPUTS'!K56&gt;0,IF('USER INPUTS'!$K$4="Mg/year",'USER INPUTS'!K56,'USER INPUTS'!L56),0))</f>
        <v>0</v>
      </c>
      <c r="D71" s="420">
        <f t="shared" si="97"/>
        <v>12946986</v>
      </c>
      <c r="E71" s="420">
        <f>IF(ClosureCalcYes=FALSE,IF(AND(B71&lt;ClosureYear,C71=0,SUM(C71:$C$102)=0),$D$13,IF(B71&lt;=ClosureYear,C71,0)),IF(B71=$D$16,($D$14-F71),IF(B71&lt;$D$16,IF(SUM(C71:$C$102)=0,$D$13,C71),0)))</f>
        <v>0</v>
      </c>
      <c r="F71" s="66">
        <f t="shared" si="98"/>
        <v>12946986</v>
      </c>
      <c r="G71" s="284">
        <f>IF(SUM(C72:$C$101)=0,C71,0)</f>
        <v>0</v>
      </c>
      <c r="H71" s="284">
        <f t="shared" si="99"/>
        <v>0</v>
      </c>
      <c r="I71" s="2">
        <f t="shared" si="8"/>
        <v>2066</v>
      </c>
      <c r="J71" s="379">
        <f t="shared" si="1"/>
        <v>17176698.651348125</v>
      </c>
      <c r="K71" s="2">
        <v>47</v>
      </c>
      <c r="L71" s="57">
        <f t="shared" si="69"/>
        <v>189082</v>
      </c>
      <c r="M71" s="62">
        <f t="shared" si="70"/>
        <v>113356.88811245843</v>
      </c>
      <c r="N71" s="2">
        <v>46</v>
      </c>
      <c r="O71" s="57">
        <f t="shared" si="73"/>
        <v>293489</v>
      </c>
      <c r="P71" s="62">
        <f t="shared" si="74"/>
        <v>183130.77591224288</v>
      </c>
      <c r="Q71" s="2">
        <v>45</v>
      </c>
      <c r="R71" s="57">
        <f t="shared" si="77"/>
        <v>283523</v>
      </c>
      <c r="S71" s="62">
        <f t="shared" si="78"/>
        <v>184132.13204934675</v>
      </c>
      <c r="T71" s="2">
        <v>44</v>
      </c>
      <c r="U71" s="57">
        <f t="shared" si="81"/>
        <v>143321</v>
      </c>
      <c r="V71" s="62">
        <f t="shared" si="82"/>
        <v>96877.493823539044</v>
      </c>
      <c r="W71" s="2">
        <v>43</v>
      </c>
      <c r="X71" s="57">
        <f t="shared" si="85"/>
        <v>227851</v>
      </c>
      <c r="Y71" s="62">
        <f t="shared" si="86"/>
        <v>160300.83471123275</v>
      </c>
      <c r="Z71" s="2">
        <v>42</v>
      </c>
      <c r="AA71" s="57">
        <f t="shared" si="89"/>
        <v>238727</v>
      </c>
      <c r="AB71" s="62">
        <f t="shared" si="90"/>
        <v>174806.73633647265</v>
      </c>
      <c r="AC71" s="2">
        <v>41</v>
      </c>
      <c r="AD71" s="57">
        <f t="shared" si="93"/>
        <v>250122</v>
      </c>
      <c r="AE71" s="62">
        <f t="shared" si="94"/>
        <v>190625.19285510646</v>
      </c>
      <c r="AF71" s="2">
        <v>40</v>
      </c>
      <c r="AG71" s="57">
        <f t="shared" si="100"/>
        <v>262060</v>
      </c>
      <c r="AH71" s="62">
        <f t="shared" si="101"/>
        <v>207874.35722955476</v>
      </c>
      <c r="AI71" s="2">
        <v>39</v>
      </c>
      <c r="AJ71" s="57">
        <f t="shared" si="104"/>
        <v>274569</v>
      </c>
      <c r="AK71" s="62">
        <f t="shared" si="105"/>
        <v>226685.35524504367</v>
      </c>
      <c r="AL71" s="2">
        <v>38</v>
      </c>
      <c r="AM71" s="57">
        <f t="shared" si="107"/>
        <v>287675</v>
      </c>
      <c r="AN71" s="62">
        <f t="shared" si="108"/>
        <v>247198.51812871671</v>
      </c>
      <c r="AO71" s="2">
        <v>37</v>
      </c>
      <c r="AP71" s="57">
        <f t="shared" si="111"/>
        <v>301406</v>
      </c>
      <c r="AQ71" s="62">
        <f t="shared" si="112"/>
        <v>269567.4273557323</v>
      </c>
      <c r="AR71" s="2">
        <v>36</v>
      </c>
      <c r="AS71" s="57">
        <f t="shared" si="115"/>
        <v>315793</v>
      </c>
      <c r="AT71" s="62">
        <f t="shared" si="116"/>
        <v>293961.05597045098</v>
      </c>
      <c r="AU71" s="2">
        <v>35</v>
      </c>
      <c r="AV71" s="57">
        <f t="shared" si="119"/>
        <v>330866</v>
      </c>
      <c r="AW71" s="62">
        <f t="shared" si="120"/>
        <v>320561.39555333264</v>
      </c>
      <c r="AX71" s="2">
        <v>34</v>
      </c>
      <c r="AY71" s="57">
        <f t="shared" si="123"/>
        <v>346659</v>
      </c>
      <c r="AZ71" s="62">
        <f t="shared" si="124"/>
        <v>349569.34292330866</v>
      </c>
      <c r="BA71" s="2">
        <v>33</v>
      </c>
      <c r="BB71" s="57">
        <f t="shared" si="127"/>
        <v>363206</v>
      </c>
      <c r="BC71" s="62">
        <f t="shared" si="128"/>
        <v>381202.42248244194</v>
      </c>
      <c r="BD71" s="2">
        <v>32</v>
      </c>
      <c r="BE71" s="57">
        <f t="shared" ref="BE71:BE102" si="132">$E$38</f>
        <v>380542</v>
      </c>
      <c r="BF71" s="62">
        <f t="shared" ref="BF71:BF102" si="133">SUM($G$10*$G$11*BE71*(EXP(-($G$10*BD71))),$G$10*$G$11*BE71*(EXP(-($G$10*(BD71+0.1)))),$G$10*$G$11*BE71*(EXP(-($G$10*(BD71+0.2)))),$G$10*$G$11*BE71*(EXP(-($G$10*(BD71+0.3)))),$G$10*$G$11*BE71*(EXP(-($G$10*(BD71+0.4)))),$G$10*$G$11*BE71*(EXP(-($G$10*(BD71+0.5)))),$G$10*$G$11*BE71*(EXP(-($G$10*(BD71+0.6)))),$G$10*$G$11*BE71*(EXP(-($G$10*(BD71+0.7)))),$G$10*$G$11*BE71*(EXP(-($G$10*(BD71+0.8)))),$G$10*$G$11*BE71*(EXP(-($G$10*(BD71+0.9)))))/10</f>
        <v>415697.11765437806</v>
      </c>
      <c r="BG71" s="2">
        <v>31</v>
      </c>
      <c r="BH71" s="57">
        <f t="shared" si="37"/>
        <v>398706</v>
      </c>
      <c r="BI71" s="62">
        <f t="shared" si="38"/>
        <v>453313.8283392638</v>
      </c>
      <c r="BJ71" s="2">
        <v>30</v>
      </c>
      <c r="BK71" s="57">
        <f t="shared" si="39"/>
        <v>417737</v>
      </c>
      <c r="BL71" s="62">
        <f t="shared" si="40"/>
        <v>494334.49732272775</v>
      </c>
      <c r="BM71" s="2">
        <v>29</v>
      </c>
      <c r="BN71" s="57">
        <f t="shared" si="41"/>
        <v>437677</v>
      </c>
      <c r="BO71" s="62">
        <f t="shared" si="42"/>
        <v>539067.91004795081</v>
      </c>
      <c r="BP71" s="2">
        <v>28</v>
      </c>
      <c r="BQ71" s="57">
        <f t="shared" si="43"/>
        <v>458568</v>
      </c>
      <c r="BR71" s="62">
        <f t="shared" si="44"/>
        <v>587848.31717752665</v>
      </c>
      <c r="BS71" s="2">
        <v>27</v>
      </c>
      <c r="BT71" s="57">
        <f t="shared" si="45"/>
        <v>480456</v>
      </c>
      <c r="BU71" s="62">
        <f t="shared" si="46"/>
        <v>641042.66397470864</v>
      </c>
      <c r="BV71" s="2">
        <v>26</v>
      </c>
      <c r="BW71" s="57">
        <f t="shared" si="47"/>
        <v>503389</v>
      </c>
      <c r="BX71" s="62">
        <f t="shared" si="48"/>
        <v>699050.92334034131</v>
      </c>
      <c r="BY71" s="2">
        <v>25</v>
      </c>
      <c r="BZ71" s="57">
        <f t="shared" si="49"/>
        <v>527417</v>
      </c>
      <c r="CA71" s="62">
        <f t="shared" si="50"/>
        <v>762308.90999389102</v>
      </c>
      <c r="CB71" s="2">
        <v>24</v>
      </c>
      <c r="CC71" s="57">
        <f t="shared" si="51"/>
        <v>552592</v>
      </c>
      <c r="CD71" s="62">
        <f t="shared" si="52"/>
        <v>831291.31716743857</v>
      </c>
      <c r="CE71" s="2">
        <v>23</v>
      </c>
      <c r="CF71" s="57">
        <f t="shared" si="53"/>
        <v>578968</v>
      </c>
      <c r="CG71" s="62">
        <f t="shared" si="54"/>
        <v>906514.99216449168</v>
      </c>
      <c r="CH71" s="2">
        <v>22</v>
      </c>
      <c r="CI71" s="57">
        <f t="shared" si="55"/>
        <v>606603</v>
      </c>
      <c r="CJ71" s="62">
        <f t="shared" si="56"/>
        <v>988545.7275464423</v>
      </c>
      <c r="CK71" s="2">
        <v>21</v>
      </c>
      <c r="CL71" s="57">
        <f t="shared" si="57"/>
        <v>635558</v>
      </c>
      <c r="CM71" s="62">
        <f t="shared" si="58"/>
        <v>1078001.0369785505</v>
      </c>
      <c r="CN71" s="2">
        <v>20</v>
      </c>
      <c r="CO71" s="57">
        <f t="shared" si="59"/>
        <v>665894</v>
      </c>
      <c r="CP71" s="62">
        <f t="shared" si="60"/>
        <v>1175549.3614157827</v>
      </c>
      <c r="CQ71" s="2">
        <v>19</v>
      </c>
      <c r="CR71" s="57">
        <f t="shared" si="61"/>
        <v>697679</v>
      </c>
      <c r="CS71" s="62">
        <f t="shared" si="62"/>
        <v>1281926.715726692</v>
      </c>
      <c r="CT71" s="2">
        <v>18</v>
      </c>
      <c r="CU71" s="57">
        <f t="shared" si="63"/>
        <v>730980</v>
      </c>
      <c r="CV71" s="62">
        <f t="shared" si="64"/>
        <v>1397928.0566215827</v>
      </c>
      <c r="CW71" s="2">
        <v>17</v>
      </c>
      <c r="CX71" s="57">
        <f t="shared" si="65"/>
        <v>765871</v>
      </c>
      <c r="CY71" s="62">
        <f t="shared" si="66"/>
        <v>1524427.3471873752</v>
      </c>
      <c r="CZ71" s="2">
        <v>16</v>
      </c>
      <c r="DA71" s="57">
        <f t="shared" si="67"/>
        <v>0</v>
      </c>
      <c r="DB71" s="62">
        <f t="shared" si="68"/>
        <v>0</v>
      </c>
      <c r="DC71" s="2">
        <v>15</v>
      </c>
      <c r="DD71" s="57">
        <f t="shared" si="71"/>
        <v>0</v>
      </c>
      <c r="DE71" s="62">
        <f t="shared" si="72"/>
        <v>0</v>
      </c>
      <c r="DF71" s="2">
        <v>14</v>
      </c>
      <c r="DG71" s="57">
        <f t="shared" si="75"/>
        <v>0</v>
      </c>
      <c r="DH71" s="62">
        <f t="shared" si="76"/>
        <v>0</v>
      </c>
      <c r="DI71" s="2">
        <v>13</v>
      </c>
      <c r="DJ71" s="57">
        <f t="shared" si="79"/>
        <v>0</v>
      </c>
      <c r="DK71" s="62">
        <f t="shared" si="80"/>
        <v>0</v>
      </c>
      <c r="DL71" s="2">
        <v>12</v>
      </c>
      <c r="DM71" s="57">
        <f t="shared" si="83"/>
        <v>0</v>
      </c>
      <c r="DN71" s="62">
        <f t="shared" si="84"/>
        <v>0</v>
      </c>
      <c r="DO71" s="2">
        <v>11</v>
      </c>
      <c r="DP71" s="57">
        <f t="shared" si="87"/>
        <v>0</v>
      </c>
      <c r="DQ71" s="62">
        <f t="shared" si="88"/>
        <v>0</v>
      </c>
      <c r="DR71" s="2">
        <v>10</v>
      </c>
      <c r="DS71" s="57">
        <f t="shared" si="91"/>
        <v>0</v>
      </c>
      <c r="DT71" s="62">
        <f t="shared" si="92"/>
        <v>0</v>
      </c>
      <c r="DU71" s="2">
        <v>9</v>
      </c>
      <c r="DV71" s="57">
        <f t="shared" si="95"/>
        <v>0</v>
      </c>
      <c r="DW71" s="62">
        <f t="shared" si="96"/>
        <v>0</v>
      </c>
      <c r="DX71" s="2">
        <v>8</v>
      </c>
      <c r="DY71" s="57">
        <f t="shared" si="102"/>
        <v>0</v>
      </c>
      <c r="DZ71" s="62">
        <f t="shared" si="103"/>
        <v>0</v>
      </c>
      <c r="EA71" s="2">
        <v>7</v>
      </c>
      <c r="EB71" s="57">
        <f t="shared" si="109"/>
        <v>0</v>
      </c>
      <c r="EC71" s="62">
        <f t="shared" si="106"/>
        <v>0</v>
      </c>
      <c r="ED71" s="2">
        <v>6</v>
      </c>
      <c r="EE71" s="57">
        <f t="shared" si="113"/>
        <v>0</v>
      </c>
      <c r="EF71" s="62">
        <f t="shared" si="110"/>
        <v>0</v>
      </c>
      <c r="EG71" s="2">
        <v>5</v>
      </c>
      <c r="EH71" s="57">
        <f t="shared" si="117"/>
        <v>0</v>
      </c>
      <c r="EI71" s="62">
        <f t="shared" si="114"/>
        <v>0</v>
      </c>
      <c r="EJ71" s="2">
        <v>4</v>
      </c>
      <c r="EK71" s="57">
        <f t="shared" si="121"/>
        <v>0</v>
      </c>
      <c r="EL71" s="62">
        <f t="shared" si="118"/>
        <v>0</v>
      </c>
      <c r="EM71" s="2">
        <v>3</v>
      </c>
      <c r="EN71" s="57">
        <f t="shared" si="125"/>
        <v>0</v>
      </c>
      <c r="EO71" s="62">
        <f t="shared" si="122"/>
        <v>0</v>
      </c>
      <c r="EP71" s="2">
        <v>2</v>
      </c>
      <c r="EQ71" s="57">
        <f t="shared" si="129"/>
        <v>0</v>
      </c>
      <c r="ER71" s="62">
        <f t="shared" si="126"/>
        <v>0</v>
      </c>
      <c r="ES71" s="2">
        <v>1</v>
      </c>
      <c r="ET71" s="57">
        <f t="shared" si="130"/>
        <v>0</v>
      </c>
      <c r="EU71" s="62">
        <f t="shared" si="131"/>
        <v>0</v>
      </c>
      <c r="EV71" s="2">
        <v>0</v>
      </c>
      <c r="EW71" s="57">
        <f t="shared" ref="EW71:EW134" si="134">$E$70</f>
        <v>0</v>
      </c>
      <c r="EX71" s="62">
        <f t="shared" ref="EX71:EX102" si="135">SUM($G$10*$G$11*EW71*(EXP(-($G$10*EV71))),$G$10*$G$11*EW71*(EXP(-($G$10*(EV71+0.1)))),$G$10*$G$11*EW71*(EXP(-($G$10*(EV71+0.2)))),$G$10*$G$11*EW71*(EXP(-($G$10*(EV71+0.3)))),$G$10*$G$11*EW71*(EXP(-($G$10*(EV71+0.4)))),$G$10*$G$11*EW71*(EXP(-($G$10*(EV71+0.5)))),$G$10*$G$11*EW71*(EXP(-($G$10*(EV71+0.6)))),$G$10*$G$11*EW71*(EXP(-($G$10*(EV71+0.7)))),$G$10*$G$11*EW71*(EXP(-($G$10*(EV71+0.8)))),$G$10*$G$11*EW71*(EXP(-($G$10*(EV71+0.9)))))/10</f>
        <v>0</v>
      </c>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row>
    <row r="72" spans="2:250">
      <c r="B72" s="56">
        <f>'USER INPUTS'!J57</f>
        <v>2067</v>
      </c>
      <c r="C72" s="420">
        <f>IF(OR(AND(ClosureCalcYes=TRUE,WasteCapacity=""),AND(ClosureCalcYes=FALSE,ClosureYear="")),0,IF('USER INPUTS'!K57&gt;0,IF('USER INPUTS'!$K$4="Mg/year",'USER INPUTS'!K57,'USER INPUTS'!L57),0))</f>
        <v>0</v>
      </c>
      <c r="D72" s="420">
        <f t="shared" si="97"/>
        <v>12946986</v>
      </c>
      <c r="E72" s="420">
        <f>IF(ClosureCalcYes=FALSE,IF(AND(B72&lt;ClosureYear,C72=0,SUM(C72:$C$102)=0),$D$13,IF(B72&lt;=ClosureYear,C72,0)),IF(B72=$D$16,($D$14-F72),IF(B72&lt;$D$16,IF(SUM(C72:$C$102)=0,$D$13,C72),0)))</f>
        <v>0</v>
      </c>
      <c r="F72" s="66">
        <f t="shared" si="98"/>
        <v>12946986</v>
      </c>
      <c r="G72" s="284">
        <f>IF(SUM(C73:$C$101)=0,C72,0)</f>
        <v>0</v>
      </c>
      <c r="H72" s="284">
        <f t="shared" si="99"/>
        <v>0</v>
      </c>
      <c r="I72" s="2">
        <f t="shared" si="8"/>
        <v>2067</v>
      </c>
      <c r="J72" s="379">
        <f t="shared" si="1"/>
        <v>16503190.663717233</v>
      </c>
      <c r="K72" s="2">
        <v>48</v>
      </c>
      <c r="L72" s="57">
        <f t="shared" si="69"/>
        <v>189082</v>
      </c>
      <c r="M72" s="62">
        <f t="shared" si="70"/>
        <v>108912.10095362156</v>
      </c>
      <c r="N72" s="2">
        <v>47</v>
      </c>
      <c r="O72" s="57">
        <f t="shared" si="73"/>
        <v>293489</v>
      </c>
      <c r="P72" s="62">
        <f t="shared" si="74"/>
        <v>175950.11548025359</v>
      </c>
      <c r="Q72" s="2">
        <v>46</v>
      </c>
      <c r="R72" s="57">
        <f t="shared" si="77"/>
        <v>283523</v>
      </c>
      <c r="S72" s="62">
        <f t="shared" si="78"/>
        <v>176912.2078816134</v>
      </c>
      <c r="T72" s="2">
        <v>45</v>
      </c>
      <c r="U72" s="57">
        <f t="shared" si="81"/>
        <v>143321</v>
      </c>
      <c r="V72" s="62">
        <f t="shared" si="82"/>
        <v>93078.872957200743</v>
      </c>
      <c r="W72" s="2">
        <v>44</v>
      </c>
      <c r="X72" s="57">
        <f t="shared" si="85"/>
        <v>227851</v>
      </c>
      <c r="Y72" s="62">
        <f t="shared" si="86"/>
        <v>154015.3490778546</v>
      </c>
      <c r="Z72" s="2">
        <v>43</v>
      </c>
      <c r="AA72" s="57">
        <f t="shared" si="89"/>
        <v>238727</v>
      </c>
      <c r="AB72" s="62">
        <f t="shared" si="90"/>
        <v>167952.46616476757</v>
      </c>
      <c r="AC72" s="2">
        <v>42</v>
      </c>
      <c r="AD72" s="57">
        <f t="shared" si="93"/>
        <v>250122</v>
      </c>
      <c r="AE72" s="62">
        <f t="shared" si="94"/>
        <v>183150.67213156118</v>
      </c>
      <c r="AF72" s="2">
        <v>41</v>
      </c>
      <c r="AG72" s="57">
        <f t="shared" si="100"/>
        <v>262060</v>
      </c>
      <c r="AH72" s="62">
        <f t="shared" si="101"/>
        <v>199723.48709673359</v>
      </c>
      <c r="AI72" s="2">
        <v>40</v>
      </c>
      <c r="AJ72" s="57">
        <f t="shared" si="104"/>
        <v>274569</v>
      </c>
      <c r="AK72" s="62">
        <f t="shared" si="105"/>
        <v>217796.89532993059</v>
      </c>
      <c r="AL72" s="2">
        <v>39</v>
      </c>
      <c r="AM72" s="57">
        <f t="shared" si="107"/>
        <v>287675</v>
      </c>
      <c r="AN72" s="62">
        <f t="shared" si="108"/>
        <v>237505.72559217509</v>
      </c>
      <c r="AO72" s="2">
        <v>38</v>
      </c>
      <c r="AP72" s="57">
        <f t="shared" si="111"/>
        <v>301406</v>
      </c>
      <c r="AQ72" s="62">
        <f t="shared" si="112"/>
        <v>258997.53734284866</v>
      </c>
      <c r="AR72" s="2">
        <v>37</v>
      </c>
      <c r="AS72" s="57">
        <f t="shared" si="115"/>
        <v>315793</v>
      </c>
      <c r="AT72" s="62">
        <f t="shared" si="116"/>
        <v>282434.67809847434</v>
      </c>
      <c r="AU72" s="2">
        <v>36</v>
      </c>
      <c r="AV72" s="57">
        <f t="shared" si="119"/>
        <v>330866</v>
      </c>
      <c r="AW72" s="62">
        <f t="shared" si="120"/>
        <v>307992.00344757253</v>
      </c>
      <c r="AX72" s="2">
        <v>35</v>
      </c>
      <c r="AY72" s="57">
        <f t="shared" si="123"/>
        <v>346659</v>
      </c>
      <c r="AZ72" s="62">
        <f t="shared" si="124"/>
        <v>335862.5329321319</v>
      </c>
      <c r="BA72" s="2">
        <v>34</v>
      </c>
      <c r="BB72" s="57">
        <f t="shared" si="127"/>
        <v>363206</v>
      </c>
      <c r="BC72" s="62">
        <f t="shared" si="128"/>
        <v>366255.26170041237</v>
      </c>
      <c r="BD72" s="2">
        <v>33</v>
      </c>
      <c r="BE72" s="57">
        <f t="shared" si="132"/>
        <v>380542</v>
      </c>
      <c r="BF72" s="62">
        <f t="shared" si="133"/>
        <v>399397.40052838728</v>
      </c>
      <c r="BG72" s="2">
        <v>32</v>
      </c>
      <c r="BH72" s="57">
        <f t="shared" ref="BH72:BH103" si="136">$E$39</f>
        <v>398706</v>
      </c>
      <c r="BI72" s="62">
        <f t="shared" ref="BI72:BI103" si="137">SUM($G$10*$G$11*BH72*(EXP(-($G$10*BG72))),$G$10*$G$11*BH72*(EXP(-($G$10*(BG72+0.1)))),$G$10*$G$11*BH72*(EXP(-($G$10*(BG72+0.2)))),$G$10*$G$11*BH72*(EXP(-($G$10*(BG72+0.3)))),$G$10*$G$11*BH72*(EXP(-($G$10*(BG72+0.4)))),$G$10*$G$11*BH72*(EXP(-($G$10*(BG72+0.5)))),$G$10*$G$11*BH72*(EXP(-($G$10*(BG72+0.6)))),$G$10*$G$11*BH72*(EXP(-($G$10*(BG72+0.7)))),$G$10*$G$11*BH72*(EXP(-($G$10*(BG72+0.8)))),$G$10*$G$11*BH72*(EXP(-($G$10*(BG72+0.9)))))/10</f>
        <v>435539.13889007381</v>
      </c>
      <c r="BJ72" s="2">
        <v>31</v>
      </c>
      <c r="BK72" s="57">
        <f t="shared" si="39"/>
        <v>417737</v>
      </c>
      <c r="BL72" s="62">
        <f t="shared" si="40"/>
        <v>474951.36443634925</v>
      </c>
      <c r="BM72" s="2">
        <v>30</v>
      </c>
      <c r="BN72" s="57">
        <f t="shared" si="41"/>
        <v>437677</v>
      </c>
      <c r="BO72" s="62">
        <f t="shared" si="42"/>
        <v>517930.75495998561</v>
      </c>
      <c r="BP72" s="2">
        <v>29</v>
      </c>
      <c r="BQ72" s="57">
        <f t="shared" si="43"/>
        <v>458568</v>
      </c>
      <c r="BR72" s="62">
        <f t="shared" si="44"/>
        <v>564798.45496763301</v>
      </c>
      <c r="BS72" s="2">
        <v>28</v>
      </c>
      <c r="BT72" s="57">
        <f t="shared" si="45"/>
        <v>480456</v>
      </c>
      <c r="BU72" s="62">
        <f t="shared" si="46"/>
        <v>615907.02159297152</v>
      </c>
      <c r="BV72" s="2">
        <v>27</v>
      </c>
      <c r="BW72" s="57">
        <f t="shared" si="47"/>
        <v>503389</v>
      </c>
      <c r="BX72" s="62">
        <f t="shared" si="48"/>
        <v>671640.74457508</v>
      </c>
      <c r="BY72" s="2">
        <v>26</v>
      </c>
      <c r="BZ72" s="57">
        <f t="shared" si="49"/>
        <v>527417</v>
      </c>
      <c r="CA72" s="62">
        <f t="shared" si="50"/>
        <v>732418.35009384924</v>
      </c>
      <c r="CB72" s="2">
        <v>25</v>
      </c>
      <c r="CC72" s="57">
        <f t="shared" si="51"/>
        <v>552592</v>
      </c>
      <c r="CD72" s="62">
        <f t="shared" si="52"/>
        <v>798695.91839349922</v>
      </c>
      <c r="CE72" s="2">
        <v>24</v>
      </c>
      <c r="CF72" s="57">
        <f t="shared" si="53"/>
        <v>578968</v>
      </c>
      <c r="CG72" s="62">
        <f t="shared" si="54"/>
        <v>870970.03090489446</v>
      </c>
      <c r="CH72" s="2">
        <v>23</v>
      </c>
      <c r="CI72" s="57">
        <f t="shared" si="55"/>
        <v>606603</v>
      </c>
      <c r="CJ72" s="62">
        <f t="shared" si="56"/>
        <v>949784.2951457717</v>
      </c>
      <c r="CK72" s="2">
        <v>22</v>
      </c>
      <c r="CL72" s="57">
        <f t="shared" si="57"/>
        <v>635558</v>
      </c>
      <c r="CM72" s="62">
        <f t="shared" si="58"/>
        <v>1035732.0117242442</v>
      </c>
      <c r="CN72" s="2">
        <v>21</v>
      </c>
      <c r="CO72" s="57">
        <f t="shared" si="59"/>
        <v>665894</v>
      </c>
      <c r="CP72" s="62">
        <f t="shared" si="60"/>
        <v>1129455.4116505417</v>
      </c>
      <c r="CQ72" s="2">
        <v>20</v>
      </c>
      <c r="CR72" s="57">
        <f t="shared" si="61"/>
        <v>697679</v>
      </c>
      <c r="CS72" s="62">
        <f t="shared" si="62"/>
        <v>1231661.6502374278</v>
      </c>
      <c r="CT72" s="2">
        <v>19</v>
      </c>
      <c r="CU72" s="57">
        <f t="shared" si="63"/>
        <v>730980</v>
      </c>
      <c r="CV72" s="62">
        <f t="shared" si="64"/>
        <v>1343114.5134967475</v>
      </c>
      <c r="CW72" s="2">
        <v>18</v>
      </c>
      <c r="CX72" s="57">
        <f t="shared" si="65"/>
        <v>765871</v>
      </c>
      <c r="CY72" s="62">
        <f t="shared" si="66"/>
        <v>1464653.6959326218</v>
      </c>
      <c r="CZ72" s="2">
        <v>17</v>
      </c>
      <c r="DA72" s="57">
        <f t="shared" si="67"/>
        <v>0</v>
      </c>
      <c r="DB72" s="62">
        <f t="shared" si="68"/>
        <v>0</v>
      </c>
      <c r="DC72" s="2">
        <v>16</v>
      </c>
      <c r="DD72" s="57">
        <f t="shared" si="71"/>
        <v>0</v>
      </c>
      <c r="DE72" s="62">
        <f t="shared" si="72"/>
        <v>0</v>
      </c>
      <c r="DF72" s="2">
        <v>15</v>
      </c>
      <c r="DG72" s="57">
        <f t="shared" si="75"/>
        <v>0</v>
      </c>
      <c r="DH72" s="62">
        <f t="shared" si="76"/>
        <v>0</v>
      </c>
      <c r="DI72" s="2">
        <v>14</v>
      </c>
      <c r="DJ72" s="57">
        <f t="shared" si="79"/>
        <v>0</v>
      </c>
      <c r="DK72" s="62">
        <f t="shared" si="80"/>
        <v>0</v>
      </c>
      <c r="DL72" s="2">
        <v>13</v>
      </c>
      <c r="DM72" s="57">
        <f t="shared" si="83"/>
        <v>0</v>
      </c>
      <c r="DN72" s="62">
        <f t="shared" si="84"/>
        <v>0</v>
      </c>
      <c r="DO72" s="2">
        <v>12</v>
      </c>
      <c r="DP72" s="57">
        <f t="shared" si="87"/>
        <v>0</v>
      </c>
      <c r="DQ72" s="62">
        <f t="shared" si="88"/>
        <v>0</v>
      </c>
      <c r="DR72" s="2">
        <v>11</v>
      </c>
      <c r="DS72" s="57">
        <f t="shared" si="91"/>
        <v>0</v>
      </c>
      <c r="DT72" s="62">
        <f t="shared" si="92"/>
        <v>0</v>
      </c>
      <c r="DU72" s="2">
        <v>10</v>
      </c>
      <c r="DV72" s="57">
        <f t="shared" si="95"/>
        <v>0</v>
      </c>
      <c r="DW72" s="62">
        <f t="shared" si="96"/>
        <v>0</v>
      </c>
      <c r="DX72" s="2">
        <v>9</v>
      </c>
      <c r="DY72" s="57">
        <f t="shared" si="102"/>
        <v>0</v>
      </c>
      <c r="DZ72" s="62">
        <f t="shared" si="103"/>
        <v>0</v>
      </c>
      <c r="EA72" s="2">
        <v>8</v>
      </c>
      <c r="EB72" s="57">
        <f t="shared" si="109"/>
        <v>0</v>
      </c>
      <c r="EC72" s="62">
        <f t="shared" si="106"/>
        <v>0</v>
      </c>
      <c r="ED72" s="2">
        <v>7</v>
      </c>
      <c r="EE72" s="57">
        <f t="shared" si="113"/>
        <v>0</v>
      </c>
      <c r="EF72" s="62">
        <f t="shared" si="110"/>
        <v>0</v>
      </c>
      <c r="EG72" s="2">
        <v>6</v>
      </c>
      <c r="EH72" s="57">
        <f t="shared" si="117"/>
        <v>0</v>
      </c>
      <c r="EI72" s="62">
        <f t="shared" si="114"/>
        <v>0</v>
      </c>
      <c r="EJ72" s="2">
        <v>5</v>
      </c>
      <c r="EK72" s="57">
        <f t="shared" si="121"/>
        <v>0</v>
      </c>
      <c r="EL72" s="62">
        <f t="shared" si="118"/>
        <v>0</v>
      </c>
      <c r="EM72" s="2">
        <v>4</v>
      </c>
      <c r="EN72" s="57">
        <f t="shared" si="125"/>
        <v>0</v>
      </c>
      <c r="EO72" s="62">
        <f t="shared" si="122"/>
        <v>0</v>
      </c>
      <c r="EP72" s="2">
        <v>3</v>
      </c>
      <c r="EQ72" s="57">
        <f t="shared" si="129"/>
        <v>0</v>
      </c>
      <c r="ER72" s="62">
        <f t="shared" si="126"/>
        <v>0</v>
      </c>
      <c r="ES72" s="2">
        <v>2</v>
      </c>
      <c r="ET72" s="57">
        <f t="shared" si="130"/>
        <v>0</v>
      </c>
      <c r="EU72" s="62">
        <f t="shared" si="131"/>
        <v>0</v>
      </c>
      <c r="EV72" s="2">
        <v>1</v>
      </c>
      <c r="EW72" s="57">
        <f t="shared" si="134"/>
        <v>0</v>
      </c>
      <c r="EX72" s="62">
        <f t="shared" si="135"/>
        <v>0</v>
      </c>
      <c r="EY72" s="2">
        <v>0</v>
      </c>
      <c r="EZ72" s="57">
        <f>$E$71</f>
        <v>0</v>
      </c>
      <c r="FA72" s="62">
        <f t="shared" ref="FA72:FA103" si="138">SUM($G$10*$G$11*EZ72*(EXP(-($G$10*EY72))),$G$10*$G$11*EZ72*(EXP(-($G$10*(EY72+0.1)))),$G$10*$G$11*EZ72*(EXP(-($G$10*(EY72+0.2)))),$G$10*$G$11*EZ72*(EXP(-($G$10*(EY72+0.3)))),$G$10*$G$11*EZ72*(EXP(-($G$10*(EY72+0.4)))),$G$10*$G$11*EZ72*(EXP(-($G$10*(EY72+0.5)))),$G$10*$G$11*EZ72*(EXP(-($G$10*(EY72+0.6)))),$G$10*$G$11*EZ72*(EXP(-($G$10*(EY72+0.7)))),$G$10*$G$11*EZ72*(EXP(-($G$10*(EY72+0.8)))),$G$10*$G$11*EZ72*(EXP(-($G$10*(EY72+0.9)))))/10</f>
        <v>0</v>
      </c>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row>
    <row r="73" spans="2:250">
      <c r="B73" s="56">
        <f>'USER INPUTS'!J58</f>
        <v>2068</v>
      </c>
      <c r="C73" s="420">
        <f>IF(OR(AND(ClosureCalcYes=TRUE,WasteCapacity=""),AND(ClosureCalcYes=FALSE,ClosureYear="")),0,IF('USER INPUTS'!K58&gt;0,IF('USER INPUTS'!$K$4="Mg/year",'USER INPUTS'!K58,'USER INPUTS'!L58),0))</f>
        <v>0</v>
      </c>
      <c r="D73" s="420">
        <f t="shared" si="97"/>
        <v>12946986</v>
      </c>
      <c r="E73" s="420">
        <f>IF(ClosureCalcYes=FALSE,IF(AND(B73&lt;ClosureYear,C73=0,SUM(C73:$C$102)=0),$D$13,IF(B73&lt;=ClosureYear,C73,0)),IF(B73=$D$16,($D$14-F73),IF(B73&lt;$D$16,IF(SUM(C73:$C$102)=0,$D$13,C73),0)))</f>
        <v>0</v>
      </c>
      <c r="F73" s="66">
        <f t="shared" si="98"/>
        <v>12946986</v>
      </c>
      <c r="G73" s="284">
        <f>IF(SUM(C74:$C$101)=0,C73,0)</f>
        <v>0</v>
      </c>
      <c r="H73" s="284">
        <f t="shared" si="99"/>
        <v>0</v>
      </c>
      <c r="I73" s="2">
        <f t="shared" si="8"/>
        <v>2068</v>
      </c>
      <c r="J73" s="379">
        <f t="shared" si="1"/>
        <v>15856091.302016733</v>
      </c>
      <c r="K73" s="2">
        <v>49</v>
      </c>
      <c r="L73" s="57">
        <f t="shared" si="69"/>
        <v>189082</v>
      </c>
      <c r="M73" s="62">
        <f t="shared" si="70"/>
        <v>104641.59639213127</v>
      </c>
      <c r="N73" s="2">
        <v>48</v>
      </c>
      <c r="O73" s="57">
        <f t="shared" si="73"/>
        <v>293489</v>
      </c>
      <c r="P73" s="62">
        <f t="shared" si="74"/>
        <v>169051.01277105935</v>
      </c>
      <c r="Q73" s="2">
        <v>47</v>
      </c>
      <c r="R73" s="57">
        <f t="shared" si="77"/>
        <v>283523</v>
      </c>
      <c r="S73" s="62">
        <f t="shared" si="78"/>
        <v>169975.38098977454</v>
      </c>
      <c r="T73" s="2">
        <v>46</v>
      </c>
      <c r="U73" s="57">
        <f t="shared" si="81"/>
        <v>143321</v>
      </c>
      <c r="V73" s="62">
        <f t="shared" si="82"/>
        <v>89429.19814547924</v>
      </c>
      <c r="W73" s="2">
        <v>45</v>
      </c>
      <c r="X73" s="57">
        <f t="shared" si="85"/>
        <v>227851</v>
      </c>
      <c r="Y73" s="62">
        <f t="shared" si="86"/>
        <v>147976.32086136116</v>
      </c>
      <c r="Z73" s="2">
        <v>44</v>
      </c>
      <c r="AA73" s="57">
        <f t="shared" si="89"/>
        <v>238727</v>
      </c>
      <c r="AB73" s="62">
        <f t="shared" si="90"/>
        <v>161366.95577069657</v>
      </c>
      <c r="AC73" s="2">
        <v>43</v>
      </c>
      <c r="AD73" s="57">
        <f t="shared" si="93"/>
        <v>250122</v>
      </c>
      <c r="AE73" s="62">
        <f t="shared" si="94"/>
        <v>175969.23155765369</v>
      </c>
      <c r="AF73" s="2">
        <v>42</v>
      </c>
      <c r="AG73" s="57">
        <f t="shared" si="100"/>
        <v>262060</v>
      </c>
      <c r="AH73" s="62">
        <f t="shared" si="101"/>
        <v>191892.21715321695</v>
      </c>
      <c r="AI73" s="2">
        <v>41</v>
      </c>
      <c r="AJ73" s="57">
        <f t="shared" si="104"/>
        <v>274569</v>
      </c>
      <c r="AK73" s="62">
        <f t="shared" si="105"/>
        <v>209256.95691316127</v>
      </c>
      <c r="AL73" s="2">
        <v>40</v>
      </c>
      <c r="AM73" s="57">
        <f t="shared" si="107"/>
        <v>287675</v>
      </c>
      <c r="AN73" s="62">
        <f t="shared" si="108"/>
        <v>228192.99288717151</v>
      </c>
      <c r="AO73" s="2">
        <v>39</v>
      </c>
      <c r="AP73" s="57">
        <f t="shared" si="111"/>
        <v>301406</v>
      </c>
      <c r="AQ73" s="62">
        <f t="shared" si="112"/>
        <v>248842.09864546842</v>
      </c>
      <c r="AR73" s="2">
        <v>38</v>
      </c>
      <c r="AS73" s="57">
        <f t="shared" si="115"/>
        <v>315793</v>
      </c>
      <c r="AT73" s="62">
        <f t="shared" si="116"/>
        <v>271360.25596740015</v>
      </c>
      <c r="AU73" s="2">
        <v>37</v>
      </c>
      <c r="AV73" s="57">
        <f t="shared" si="119"/>
        <v>330866</v>
      </c>
      <c r="AW73" s="62">
        <f t="shared" si="120"/>
        <v>295915.4642557936</v>
      </c>
      <c r="AX73" s="2">
        <v>36</v>
      </c>
      <c r="AY73" s="57">
        <f t="shared" si="123"/>
        <v>346659</v>
      </c>
      <c r="AZ73" s="62">
        <f t="shared" si="124"/>
        <v>322693.1746481416</v>
      </c>
      <c r="BA73" s="2">
        <v>35</v>
      </c>
      <c r="BB73" s="57">
        <f t="shared" si="127"/>
        <v>363206</v>
      </c>
      <c r="BC73" s="62">
        <f t="shared" si="128"/>
        <v>351894.18747572659</v>
      </c>
      <c r="BD73" s="2">
        <v>34</v>
      </c>
      <c r="BE73" s="57">
        <f t="shared" si="132"/>
        <v>380542</v>
      </c>
      <c r="BF73" s="62">
        <f t="shared" si="133"/>
        <v>383736.80445256492</v>
      </c>
      <c r="BG73" s="2">
        <v>33</v>
      </c>
      <c r="BH73" s="57">
        <f t="shared" si="136"/>
        <v>398706</v>
      </c>
      <c r="BI73" s="62">
        <f t="shared" si="137"/>
        <v>418461.40498307988</v>
      </c>
      <c r="BJ73" s="2">
        <v>32</v>
      </c>
      <c r="BK73" s="57">
        <f t="shared" ref="BK73:BK104" si="139">$E$40</f>
        <v>417737</v>
      </c>
      <c r="BL73" s="62">
        <f t="shared" ref="BL73:BL104" si="140">SUM($G$10*$G$11*BK73*(EXP(-($G$10*BJ73))),$G$10*$G$11*BK73*(EXP(-($G$10*(BJ73+0.1)))),$G$10*$G$11*BK73*(EXP(-($G$10*(BJ73+0.2)))),$G$10*$G$11*BK73*(EXP(-($G$10*(BJ73+0.3)))),$G$10*$G$11*BK73*(EXP(-($G$10*(BJ73+0.4)))),$G$10*$G$11*BK73*(EXP(-($G$10*(BJ73+0.5)))),$G$10*$G$11*BK73*(EXP(-($G$10*(BJ73+0.6)))),$G$10*$G$11*BK73*(EXP(-($G$10*(BJ73+0.7)))),$G$10*$G$11*BK73*(EXP(-($G$10*(BJ73+0.8)))),$G$10*$G$11*BK73*(EXP(-($G$10*(BJ73+0.9)))))/10</f>
        <v>456328.25506143068</v>
      </c>
      <c r="BM73" s="2">
        <v>31</v>
      </c>
      <c r="BN73" s="57">
        <f t="shared" si="41"/>
        <v>437677</v>
      </c>
      <c r="BO73" s="62">
        <f t="shared" si="42"/>
        <v>497622.39957774396</v>
      </c>
      <c r="BP73" s="2">
        <v>30</v>
      </c>
      <c r="BQ73" s="57">
        <f t="shared" si="43"/>
        <v>458568</v>
      </c>
      <c r="BR73" s="62">
        <f t="shared" si="44"/>
        <v>542652.39078245068</v>
      </c>
      <c r="BS73" s="2">
        <v>29</v>
      </c>
      <c r="BT73" s="57">
        <f t="shared" si="45"/>
        <v>480456</v>
      </c>
      <c r="BU73" s="62">
        <f t="shared" si="46"/>
        <v>591756.96184628899</v>
      </c>
      <c r="BV73" s="2">
        <v>28</v>
      </c>
      <c r="BW73" s="57">
        <f t="shared" si="47"/>
        <v>503389</v>
      </c>
      <c r="BX73" s="62">
        <f t="shared" si="48"/>
        <v>645305.33429213986</v>
      </c>
      <c r="BY73" s="2">
        <v>27</v>
      </c>
      <c r="BZ73" s="57">
        <f t="shared" si="49"/>
        <v>527417</v>
      </c>
      <c r="CA73" s="62">
        <f t="shared" si="50"/>
        <v>703699.81581153942</v>
      </c>
      <c r="CB73" s="2">
        <v>26</v>
      </c>
      <c r="CC73" s="57">
        <f t="shared" si="51"/>
        <v>552592</v>
      </c>
      <c r="CD73" s="62">
        <f t="shared" si="52"/>
        <v>767378.6034865398</v>
      </c>
      <c r="CE73" s="2">
        <v>25</v>
      </c>
      <c r="CF73" s="57">
        <f t="shared" si="53"/>
        <v>578968</v>
      </c>
      <c r="CG73" s="62">
        <f t="shared" si="54"/>
        <v>836818.80751159531</v>
      </c>
      <c r="CH73" s="2">
        <v>24</v>
      </c>
      <c r="CI73" s="57">
        <f t="shared" si="55"/>
        <v>606603</v>
      </c>
      <c r="CJ73" s="62">
        <f t="shared" si="56"/>
        <v>912542.72024879046</v>
      </c>
      <c r="CK73" s="2">
        <v>23</v>
      </c>
      <c r="CL73" s="57">
        <f t="shared" si="57"/>
        <v>635558</v>
      </c>
      <c r="CM73" s="62">
        <f t="shared" si="58"/>
        <v>995120.37865664414</v>
      </c>
      <c r="CN73" s="2">
        <v>22</v>
      </c>
      <c r="CO73" s="57">
        <f t="shared" si="59"/>
        <v>665894</v>
      </c>
      <c r="CP73" s="62">
        <f t="shared" si="60"/>
        <v>1085168.83150728</v>
      </c>
      <c r="CQ73" s="2">
        <v>21</v>
      </c>
      <c r="CR73" s="57">
        <f t="shared" si="61"/>
        <v>697679</v>
      </c>
      <c r="CS73" s="62">
        <f t="shared" si="62"/>
        <v>1183367.5061570432</v>
      </c>
      <c r="CT73" s="2">
        <v>20</v>
      </c>
      <c r="CU73" s="57">
        <f t="shared" si="63"/>
        <v>730980</v>
      </c>
      <c r="CV73" s="62">
        <f t="shared" si="64"/>
        <v>1290450.2401398853</v>
      </c>
      <c r="CW73" s="2">
        <v>19</v>
      </c>
      <c r="CX73" s="57">
        <f t="shared" si="65"/>
        <v>765871</v>
      </c>
      <c r="CY73" s="62">
        <f t="shared" si="66"/>
        <v>1407223.8030674814</v>
      </c>
      <c r="CZ73" s="2">
        <v>18</v>
      </c>
      <c r="DA73" s="57">
        <f t="shared" si="67"/>
        <v>0</v>
      </c>
      <c r="DB73" s="62">
        <f t="shared" si="68"/>
        <v>0</v>
      </c>
      <c r="DC73" s="2">
        <v>17</v>
      </c>
      <c r="DD73" s="57">
        <f t="shared" si="71"/>
        <v>0</v>
      </c>
      <c r="DE73" s="62">
        <f t="shared" si="72"/>
        <v>0</v>
      </c>
      <c r="DF73" s="2">
        <v>16</v>
      </c>
      <c r="DG73" s="57">
        <f t="shared" si="75"/>
        <v>0</v>
      </c>
      <c r="DH73" s="62">
        <f t="shared" si="76"/>
        <v>0</v>
      </c>
      <c r="DI73" s="2">
        <v>15</v>
      </c>
      <c r="DJ73" s="57">
        <f t="shared" si="79"/>
        <v>0</v>
      </c>
      <c r="DK73" s="62">
        <f t="shared" si="80"/>
        <v>0</v>
      </c>
      <c r="DL73" s="2">
        <v>14</v>
      </c>
      <c r="DM73" s="57">
        <f t="shared" si="83"/>
        <v>0</v>
      </c>
      <c r="DN73" s="62">
        <f t="shared" si="84"/>
        <v>0</v>
      </c>
      <c r="DO73" s="2">
        <v>13</v>
      </c>
      <c r="DP73" s="57">
        <f t="shared" si="87"/>
        <v>0</v>
      </c>
      <c r="DQ73" s="62">
        <f t="shared" si="88"/>
        <v>0</v>
      </c>
      <c r="DR73" s="2">
        <v>12</v>
      </c>
      <c r="DS73" s="57">
        <f t="shared" si="91"/>
        <v>0</v>
      </c>
      <c r="DT73" s="62">
        <f t="shared" si="92"/>
        <v>0</v>
      </c>
      <c r="DU73" s="2">
        <v>11</v>
      </c>
      <c r="DV73" s="57">
        <f t="shared" si="95"/>
        <v>0</v>
      </c>
      <c r="DW73" s="62">
        <f t="shared" si="96"/>
        <v>0</v>
      </c>
      <c r="DX73" s="2">
        <v>10</v>
      </c>
      <c r="DY73" s="57">
        <f t="shared" si="102"/>
        <v>0</v>
      </c>
      <c r="DZ73" s="62">
        <f t="shared" si="103"/>
        <v>0</v>
      </c>
      <c r="EA73" s="2">
        <v>9</v>
      </c>
      <c r="EB73" s="57">
        <f t="shared" si="109"/>
        <v>0</v>
      </c>
      <c r="EC73" s="62">
        <f t="shared" si="106"/>
        <v>0</v>
      </c>
      <c r="ED73" s="2">
        <v>8</v>
      </c>
      <c r="EE73" s="57">
        <f t="shared" si="113"/>
        <v>0</v>
      </c>
      <c r="EF73" s="62">
        <f t="shared" si="110"/>
        <v>0</v>
      </c>
      <c r="EG73" s="2">
        <v>7</v>
      </c>
      <c r="EH73" s="57">
        <f t="shared" si="117"/>
        <v>0</v>
      </c>
      <c r="EI73" s="62">
        <f t="shared" si="114"/>
        <v>0</v>
      </c>
      <c r="EJ73" s="2">
        <v>6</v>
      </c>
      <c r="EK73" s="57">
        <f t="shared" si="121"/>
        <v>0</v>
      </c>
      <c r="EL73" s="62">
        <f t="shared" si="118"/>
        <v>0</v>
      </c>
      <c r="EM73" s="2">
        <v>5</v>
      </c>
      <c r="EN73" s="57">
        <f t="shared" si="125"/>
        <v>0</v>
      </c>
      <c r="EO73" s="62">
        <f t="shared" si="122"/>
        <v>0</v>
      </c>
      <c r="EP73" s="2">
        <v>4</v>
      </c>
      <c r="EQ73" s="57">
        <f t="shared" si="129"/>
        <v>0</v>
      </c>
      <c r="ER73" s="62">
        <f t="shared" si="126"/>
        <v>0</v>
      </c>
      <c r="ES73" s="2">
        <v>3</v>
      </c>
      <c r="ET73" s="57">
        <f t="shared" si="130"/>
        <v>0</v>
      </c>
      <c r="EU73" s="62">
        <f t="shared" si="131"/>
        <v>0</v>
      </c>
      <c r="EV73" s="2">
        <v>2</v>
      </c>
      <c r="EW73" s="57">
        <f t="shared" si="134"/>
        <v>0</v>
      </c>
      <c r="EX73" s="62">
        <f t="shared" si="135"/>
        <v>0</v>
      </c>
      <c r="EY73" s="2">
        <v>1</v>
      </c>
      <c r="EZ73" s="57">
        <f t="shared" ref="EZ73:EZ136" si="141">$E$71</f>
        <v>0</v>
      </c>
      <c r="FA73" s="62">
        <f t="shared" si="138"/>
        <v>0</v>
      </c>
      <c r="FB73" s="2">
        <v>0</v>
      </c>
      <c r="FC73" s="57">
        <f t="shared" ref="FC73:FC136" si="142">$E$72</f>
        <v>0</v>
      </c>
      <c r="FD73" s="62">
        <f t="shared" ref="FD73:FD104" si="143">SUM($G$10*$G$11*FC73*(EXP(-($G$10*FB73))),$G$10*$G$11*FC73*(EXP(-($G$10*(FB73+0.1)))),$G$10*$G$11*FC73*(EXP(-($G$10*(FB73+0.2)))),$G$10*$G$11*FC73*(EXP(-($G$10*(FB73+0.3)))),$G$10*$G$11*FC73*(EXP(-($G$10*(FB73+0.4)))),$G$10*$G$11*FC73*(EXP(-($G$10*(FB73+0.5)))),$G$10*$G$11*FC73*(EXP(-($G$10*(FB73+0.6)))),$G$10*$G$11*FC73*(EXP(-($G$10*(FB73+0.7)))),$G$10*$G$11*FC73*(EXP(-($G$10*(FB73+0.8)))),$G$10*$G$11*FC73*(EXP(-($G$10*(FB73+0.9)))))/10</f>
        <v>0</v>
      </c>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row>
    <row r="74" spans="2:250">
      <c r="B74" s="56">
        <f>'USER INPUTS'!J59</f>
        <v>2069</v>
      </c>
      <c r="C74" s="420">
        <f>IF(OR(AND(ClosureCalcYes=TRUE,WasteCapacity=""),AND(ClosureCalcYes=FALSE,ClosureYear="")),0,IF('USER INPUTS'!K59&gt;0,IF('USER INPUTS'!$K$4="Mg/year",'USER INPUTS'!K59,'USER INPUTS'!L59),0))</f>
        <v>0</v>
      </c>
      <c r="D74" s="420">
        <f t="shared" si="97"/>
        <v>12946986</v>
      </c>
      <c r="E74" s="420">
        <f>IF(ClosureCalcYes=FALSE,IF(AND(B74&lt;ClosureYear,C74=0,SUM(C74:$C$102)=0),$D$13,IF(B74&lt;=ClosureYear,C74,0)),IF(B74=$D$16,($D$14-F74),IF(B74&lt;$D$16,IF(SUM(C74:$C$102)=0,$D$13,C74),0)))</f>
        <v>0</v>
      </c>
      <c r="F74" s="66">
        <f t="shared" si="98"/>
        <v>12946986</v>
      </c>
      <c r="G74" s="284">
        <f>IF(SUM(C75:$C$101)=0,C74,0)</f>
        <v>0</v>
      </c>
      <c r="H74" s="284">
        <f t="shared" si="99"/>
        <v>0</v>
      </c>
      <c r="I74" s="2">
        <f t="shared" si="8"/>
        <v>2069</v>
      </c>
      <c r="J74" s="379">
        <f t="shared" si="1"/>
        <v>15234365.06921269</v>
      </c>
      <c r="K74" s="2">
        <v>50</v>
      </c>
      <c r="L74" s="57">
        <f t="shared" si="69"/>
        <v>189082</v>
      </c>
      <c r="M74" s="62">
        <f t="shared" si="70"/>
        <v>100538.54070959959</v>
      </c>
      <c r="N74" s="2">
        <v>49</v>
      </c>
      <c r="O74" s="57">
        <f t="shared" si="73"/>
        <v>293489</v>
      </c>
      <c r="P74" s="62">
        <f t="shared" si="74"/>
        <v>162422.42774843835</v>
      </c>
      <c r="Q74" s="63">
        <v>48</v>
      </c>
      <c r="R74" s="57">
        <f t="shared" si="77"/>
        <v>283523</v>
      </c>
      <c r="S74" s="62">
        <f t="shared" si="78"/>
        <v>163310.55097086792</v>
      </c>
      <c r="T74" s="63">
        <v>47</v>
      </c>
      <c r="U74" s="57">
        <f t="shared" si="81"/>
        <v>143321</v>
      </c>
      <c r="V74" s="62">
        <f t="shared" si="82"/>
        <v>85922.629130036978</v>
      </c>
      <c r="W74" s="63">
        <v>46</v>
      </c>
      <c r="X74" s="57">
        <f t="shared" si="85"/>
        <v>227851</v>
      </c>
      <c r="Y74" s="62">
        <f t="shared" si="86"/>
        <v>142174.08632821142</v>
      </c>
      <c r="Z74" s="2">
        <v>45</v>
      </c>
      <c r="AA74" s="57">
        <f t="shared" si="89"/>
        <v>238727</v>
      </c>
      <c r="AB74" s="62">
        <f t="shared" si="90"/>
        <v>155039.66693264531</v>
      </c>
      <c r="AC74" s="2">
        <v>44</v>
      </c>
      <c r="AD74" s="57">
        <f t="shared" si="93"/>
        <v>250122</v>
      </c>
      <c r="AE74" s="62">
        <f t="shared" si="94"/>
        <v>169069.3792963434</v>
      </c>
      <c r="AF74" s="2">
        <v>43</v>
      </c>
      <c r="AG74" s="57">
        <f t="shared" si="100"/>
        <v>262060</v>
      </c>
      <c r="AH74" s="62">
        <f t="shared" si="101"/>
        <v>184368.01569633512</v>
      </c>
      <c r="AI74" s="2">
        <v>42</v>
      </c>
      <c r="AJ74" s="57">
        <f t="shared" si="104"/>
        <v>274569</v>
      </c>
      <c r="AK74" s="62">
        <f t="shared" si="105"/>
        <v>201051.87427131808</v>
      </c>
      <c r="AL74" s="2">
        <v>41</v>
      </c>
      <c r="AM74" s="57">
        <f t="shared" si="107"/>
        <v>287675</v>
      </c>
      <c r="AN74" s="62">
        <f t="shared" si="108"/>
        <v>219245.41765455561</v>
      </c>
      <c r="AO74" s="2">
        <v>40</v>
      </c>
      <c r="AP74" s="57">
        <f t="shared" si="111"/>
        <v>301406</v>
      </c>
      <c r="AQ74" s="62">
        <f t="shared" si="112"/>
        <v>239084.86039506673</v>
      </c>
      <c r="AR74" s="2">
        <v>39</v>
      </c>
      <c r="AS74" s="57">
        <f t="shared" si="115"/>
        <v>315793</v>
      </c>
      <c r="AT74" s="62">
        <f t="shared" si="116"/>
        <v>260720.06813914925</v>
      </c>
      <c r="AU74" s="2">
        <v>38</v>
      </c>
      <c r="AV74" s="57">
        <f t="shared" si="119"/>
        <v>330866</v>
      </c>
      <c r="AW74" s="62">
        <f t="shared" si="120"/>
        <v>284312.45293882326</v>
      </c>
      <c r="AX74" s="2">
        <v>37</v>
      </c>
      <c r="AY74" s="57">
        <f t="shared" si="123"/>
        <v>346659</v>
      </c>
      <c r="AZ74" s="62">
        <f t="shared" si="124"/>
        <v>310040.19428847067</v>
      </c>
      <c r="BA74" s="2">
        <v>36</v>
      </c>
      <c r="BB74" s="57">
        <f t="shared" si="127"/>
        <v>363206</v>
      </c>
      <c r="BC74" s="62">
        <f t="shared" si="128"/>
        <v>338096.21902576572</v>
      </c>
      <c r="BD74" s="2">
        <v>35</v>
      </c>
      <c r="BE74" s="57">
        <f t="shared" si="132"/>
        <v>380542</v>
      </c>
      <c r="BF74" s="62">
        <f t="shared" si="133"/>
        <v>368690.26913208456</v>
      </c>
      <c r="BG74" s="2">
        <v>34</v>
      </c>
      <c r="BH74" s="57">
        <f t="shared" si="136"/>
        <v>398706</v>
      </c>
      <c r="BI74" s="62">
        <f t="shared" si="137"/>
        <v>402053.29860058648</v>
      </c>
      <c r="BJ74" s="2">
        <v>33</v>
      </c>
      <c r="BK74" s="57">
        <f t="shared" si="139"/>
        <v>417737</v>
      </c>
      <c r="BL74" s="62">
        <f t="shared" si="140"/>
        <v>438435.36824983021</v>
      </c>
      <c r="BM74" s="2">
        <v>32</v>
      </c>
      <c r="BN74" s="57">
        <f t="shared" ref="BN74:BN105" si="144">$E$41</f>
        <v>437677</v>
      </c>
      <c r="BO74" s="62">
        <f t="shared" ref="BO74:BO105" si="145">SUM($G$10*$G$11*BN74*(EXP(-($G$10*BM74))),$G$10*$G$11*BN74*(EXP(-($G$10*(BM74+0.1)))),$G$10*$G$11*BN74*(EXP(-($G$10*(BM74+0.2)))),$G$10*$G$11*BN74*(EXP(-($G$10*(BM74+0.3)))),$G$10*$G$11*BN74*(EXP(-($G$10*(BM74+0.4)))),$G$10*$G$11*BN74*(EXP(-($G$10*(BM74+0.5)))),$G$10*$G$11*BN74*(EXP(-($G$10*(BM74+0.6)))),$G$10*$G$11*BN74*(EXP(-($G$10*(BM74+0.7)))),$G$10*$G$11*BN74*(EXP(-($G$10*(BM74+0.8)))),$G$10*$G$11*BN74*(EXP(-($G$10*(BM74+0.9)))))/10</f>
        <v>478110.34619993391</v>
      </c>
      <c r="BP74" s="2">
        <v>31</v>
      </c>
      <c r="BQ74" s="57">
        <f t="shared" si="43"/>
        <v>458568</v>
      </c>
      <c r="BR74" s="62">
        <f t="shared" si="44"/>
        <v>521374.68619453814</v>
      </c>
      <c r="BS74" s="2">
        <v>30</v>
      </c>
      <c r="BT74" s="57">
        <f t="shared" si="45"/>
        <v>480456</v>
      </c>
      <c r="BU74" s="62">
        <f t="shared" si="46"/>
        <v>568553.83948677883</v>
      </c>
      <c r="BV74" s="2">
        <v>29</v>
      </c>
      <c r="BW74" s="57">
        <f t="shared" si="47"/>
        <v>503389</v>
      </c>
      <c r="BX74" s="62">
        <f t="shared" si="48"/>
        <v>620002.55021654768</v>
      </c>
      <c r="BY74" s="2">
        <v>28</v>
      </c>
      <c r="BZ74" s="57">
        <f t="shared" si="49"/>
        <v>527417</v>
      </c>
      <c r="CA74" s="62">
        <f t="shared" si="50"/>
        <v>676107.35136516206</v>
      </c>
      <c r="CB74" s="2">
        <v>27</v>
      </c>
      <c r="CC74" s="57">
        <f t="shared" si="51"/>
        <v>552592</v>
      </c>
      <c r="CD74" s="62">
        <f t="shared" si="52"/>
        <v>737289.25806132564</v>
      </c>
      <c r="CE74" s="2">
        <v>26</v>
      </c>
      <c r="CF74" s="57">
        <f t="shared" si="53"/>
        <v>578968</v>
      </c>
      <c r="CG74" s="62">
        <f t="shared" si="54"/>
        <v>804006.67274118145</v>
      </c>
      <c r="CH74" s="2">
        <v>25</v>
      </c>
      <c r="CI74" s="57">
        <f t="shared" si="55"/>
        <v>606603</v>
      </c>
      <c r="CJ74" s="62">
        <f t="shared" si="56"/>
        <v>876761.4083903709</v>
      </c>
      <c r="CK74" s="2">
        <v>24</v>
      </c>
      <c r="CL74" s="57">
        <f t="shared" si="57"/>
        <v>635558</v>
      </c>
      <c r="CM74" s="62">
        <f t="shared" si="58"/>
        <v>956101.15049856459</v>
      </c>
      <c r="CN74" s="2">
        <v>23</v>
      </c>
      <c r="CO74" s="57">
        <f t="shared" si="59"/>
        <v>665894</v>
      </c>
      <c r="CP74" s="62">
        <f t="shared" si="60"/>
        <v>1042618.7530094616</v>
      </c>
      <c r="CQ74" s="2">
        <v>22</v>
      </c>
      <c r="CR74" s="57">
        <f t="shared" si="61"/>
        <v>697679</v>
      </c>
      <c r="CS74" s="62">
        <f t="shared" si="62"/>
        <v>1136967.0025517088</v>
      </c>
      <c r="CT74" s="2">
        <v>21</v>
      </c>
      <c r="CU74" s="57">
        <f t="shared" si="63"/>
        <v>730980</v>
      </c>
      <c r="CV74" s="62">
        <f t="shared" si="64"/>
        <v>1239850.9624779811</v>
      </c>
      <c r="CW74" s="2">
        <v>20</v>
      </c>
      <c r="CX74" s="57">
        <f t="shared" si="65"/>
        <v>765871</v>
      </c>
      <c r="CY74" s="62">
        <f t="shared" si="66"/>
        <v>1352045.7685110045</v>
      </c>
      <c r="CZ74" s="2">
        <v>19</v>
      </c>
      <c r="DA74" s="57">
        <f t="shared" si="67"/>
        <v>0</v>
      </c>
      <c r="DB74" s="62">
        <f t="shared" si="68"/>
        <v>0</v>
      </c>
      <c r="DC74" s="2">
        <v>18</v>
      </c>
      <c r="DD74" s="57">
        <f t="shared" si="71"/>
        <v>0</v>
      </c>
      <c r="DE74" s="62">
        <f t="shared" si="72"/>
        <v>0</v>
      </c>
      <c r="DF74" s="2">
        <v>17</v>
      </c>
      <c r="DG74" s="57">
        <f t="shared" si="75"/>
        <v>0</v>
      </c>
      <c r="DH74" s="62">
        <f t="shared" si="76"/>
        <v>0</v>
      </c>
      <c r="DI74" s="2">
        <v>16</v>
      </c>
      <c r="DJ74" s="57">
        <f t="shared" si="79"/>
        <v>0</v>
      </c>
      <c r="DK74" s="62">
        <f t="shared" si="80"/>
        <v>0</v>
      </c>
      <c r="DL74" s="2">
        <v>15</v>
      </c>
      <c r="DM74" s="57">
        <f t="shared" si="83"/>
        <v>0</v>
      </c>
      <c r="DN74" s="62">
        <f t="shared" si="84"/>
        <v>0</v>
      </c>
      <c r="DO74" s="2">
        <v>14</v>
      </c>
      <c r="DP74" s="57">
        <f t="shared" si="87"/>
        <v>0</v>
      </c>
      <c r="DQ74" s="62">
        <f t="shared" si="88"/>
        <v>0</v>
      </c>
      <c r="DR74" s="2">
        <v>13</v>
      </c>
      <c r="DS74" s="57">
        <f t="shared" si="91"/>
        <v>0</v>
      </c>
      <c r="DT74" s="62">
        <f t="shared" si="92"/>
        <v>0</v>
      </c>
      <c r="DU74" s="2">
        <v>12</v>
      </c>
      <c r="DV74" s="57">
        <f t="shared" si="95"/>
        <v>0</v>
      </c>
      <c r="DW74" s="62">
        <f t="shared" si="96"/>
        <v>0</v>
      </c>
      <c r="DX74" s="2">
        <v>11</v>
      </c>
      <c r="DY74" s="57">
        <f t="shared" si="102"/>
        <v>0</v>
      </c>
      <c r="DZ74" s="62">
        <f t="shared" si="103"/>
        <v>0</v>
      </c>
      <c r="EA74" s="2">
        <v>10</v>
      </c>
      <c r="EB74" s="57">
        <f t="shared" si="109"/>
        <v>0</v>
      </c>
      <c r="EC74" s="62">
        <f t="shared" si="106"/>
        <v>0</v>
      </c>
      <c r="ED74" s="2">
        <v>9</v>
      </c>
      <c r="EE74" s="57">
        <f t="shared" si="113"/>
        <v>0</v>
      </c>
      <c r="EF74" s="62">
        <f t="shared" si="110"/>
        <v>0</v>
      </c>
      <c r="EG74" s="2">
        <v>8</v>
      </c>
      <c r="EH74" s="57">
        <f t="shared" si="117"/>
        <v>0</v>
      </c>
      <c r="EI74" s="62">
        <f t="shared" si="114"/>
        <v>0</v>
      </c>
      <c r="EJ74" s="2">
        <v>7</v>
      </c>
      <c r="EK74" s="57">
        <f t="shared" si="121"/>
        <v>0</v>
      </c>
      <c r="EL74" s="62">
        <f t="shared" si="118"/>
        <v>0</v>
      </c>
      <c r="EM74" s="2">
        <v>6</v>
      </c>
      <c r="EN74" s="57">
        <f t="shared" si="125"/>
        <v>0</v>
      </c>
      <c r="EO74" s="62">
        <f t="shared" si="122"/>
        <v>0</v>
      </c>
      <c r="EP74" s="2">
        <v>5</v>
      </c>
      <c r="EQ74" s="57">
        <f t="shared" si="129"/>
        <v>0</v>
      </c>
      <c r="ER74" s="62">
        <f t="shared" si="126"/>
        <v>0</v>
      </c>
      <c r="ES74" s="2">
        <v>4</v>
      </c>
      <c r="ET74" s="57">
        <f t="shared" si="130"/>
        <v>0</v>
      </c>
      <c r="EU74" s="62">
        <f t="shared" si="131"/>
        <v>0</v>
      </c>
      <c r="EV74" s="2">
        <v>3</v>
      </c>
      <c r="EW74" s="57">
        <f t="shared" si="134"/>
        <v>0</v>
      </c>
      <c r="EX74" s="62">
        <f t="shared" si="135"/>
        <v>0</v>
      </c>
      <c r="EY74" s="2">
        <v>2</v>
      </c>
      <c r="EZ74" s="57">
        <f t="shared" si="141"/>
        <v>0</v>
      </c>
      <c r="FA74" s="62">
        <f t="shared" si="138"/>
        <v>0</v>
      </c>
      <c r="FB74" s="2">
        <v>1</v>
      </c>
      <c r="FC74" s="57">
        <f t="shared" si="142"/>
        <v>0</v>
      </c>
      <c r="FD74" s="62">
        <f t="shared" si="143"/>
        <v>0</v>
      </c>
      <c r="FE74" s="2">
        <v>0</v>
      </c>
      <c r="FF74" s="57">
        <f>$E$73</f>
        <v>0</v>
      </c>
      <c r="FG74" s="62">
        <f t="shared" ref="FG74:FG105" si="146">SUM($G$10*$G$11*FF74*(EXP(-($G$10*FE74))),$G$10*$G$11*FF74*(EXP(-($G$10*(FE74+0.1)))),$G$10*$G$11*FF74*(EXP(-($G$10*(FE74+0.2)))),$G$10*$G$11*FF74*(EXP(-($G$10*(FE74+0.3)))),$G$10*$G$11*FF74*(EXP(-($G$10*(FE74+0.4)))),$G$10*$G$11*FF74*(EXP(-($G$10*(FE74+0.5)))),$G$10*$G$11*FF74*(EXP(-($G$10*(FE74+0.6)))),$G$10*$G$11*FF74*(EXP(-($G$10*(FE74+0.7)))),$G$10*$G$11*FF74*(EXP(-($G$10*(FE74+0.8)))),$G$10*$G$11*FF74*(EXP(-($G$10*(FE74+0.9)))))/10</f>
        <v>0</v>
      </c>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row>
    <row r="75" spans="2:250">
      <c r="B75" s="56">
        <f>'USER INPUTS'!J60</f>
        <v>2070</v>
      </c>
      <c r="C75" s="420">
        <f>IF(OR(AND(ClosureCalcYes=TRUE,WasteCapacity=""),AND(ClosureCalcYes=FALSE,ClosureYear="")),0,IF('USER INPUTS'!K60&gt;0,IF('USER INPUTS'!$K$4="Mg/year",'USER INPUTS'!K60,'USER INPUTS'!L60),0))</f>
        <v>0</v>
      </c>
      <c r="D75" s="420">
        <f t="shared" si="97"/>
        <v>12946986</v>
      </c>
      <c r="E75" s="420">
        <f>IF(ClosureCalcYes=FALSE,IF(AND(B75&lt;ClosureYear,C75=0,SUM(C75:$C$102)=0),$D$13,IF(B75&lt;=ClosureYear,C75,0)),IF(B75=$D$16,($D$14-F75),IF(B75&lt;$D$16,IF(SUM(C75:$C$102)=0,$D$13,C75),0)))</f>
        <v>0</v>
      </c>
      <c r="F75" s="66">
        <f t="shared" si="98"/>
        <v>12946986</v>
      </c>
      <c r="G75" s="284">
        <f>IF(SUM(C76:$C$101)=0,C75,0)</f>
        <v>0</v>
      </c>
      <c r="H75" s="284">
        <f t="shared" si="99"/>
        <v>0</v>
      </c>
      <c r="I75" s="2">
        <f t="shared" si="8"/>
        <v>2070</v>
      </c>
      <c r="J75" s="379">
        <f t="shared" si="1"/>
        <v>14637017.070690602</v>
      </c>
      <c r="K75" s="2">
        <v>51</v>
      </c>
      <c r="L75" s="57">
        <f t="shared" si="69"/>
        <v>189082</v>
      </c>
      <c r="M75" s="62">
        <f t="shared" si="70"/>
        <v>96596.368141569183</v>
      </c>
      <c r="N75" s="2">
        <v>50</v>
      </c>
      <c r="O75" s="57">
        <f t="shared" si="73"/>
        <v>293489</v>
      </c>
      <c r="P75" s="62">
        <f t="shared" si="74"/>
        <v>156053.75326218081</v>
      </c>
      <c r="Q75" s="2">
        <v>49</v>
      </c>
      <c r="R75" s="57">
        <f t="shared" si="77"/>
        <v>283523</v>
      </c>
      <c r="S75" s="62">
        <f t="shared" si="78"/>
        <v>156907.05267495709</v>
      </c>
      <c r="T75" s="63">
        <v>48</v>
      </c>
      <c r="U75" s="57">
        <f t="shared" si="81"/>
        <v>143321</v>
      </c>
      <c r="V75" s="62">
        <f t="shared" si="82"/>
        <v>82553.554652341292</v>
      </c>
      <c r="W75" s="63">
        <v>47</v>
      </c>
      <c r="X75" s="57">
        <f t="shared" si="85"/>
        <v>227851</v>
      </c>
      <c r="Y75" s="62">
        <f t="shared" si="86"/>
        <v>136599.36066527624</v>
      </c>
      <c r="Z75" s="63">
        <v>46</v>
      </c>
      <c r="AA75" s="57">
        <f t="shared" si="89"/>
        <v>238727</v>
      </c>
      <c r="AB75" s="62">
        <f t="shared" si="90"/>
        <v>148960.47463857927</v>
      </c>
      <c r="AC75" s="2">
        <v>45</v>
      </c>
      <c r="AD75" s="57">
        <f t="shared" si="93"/>
        <v>250122</v>
      </c>
      <c r="AE75" s="62">
        <f t="shared" si="94"/>
        <v>162440.07411196519</v>
      </c>
      <c r="AF75" s="2">
        <v>44</v>
      </c>
      <c r="AG75" s="57">
        <f t="shared" si="100"/>
        <v>262060</v>
      </c>
      <c r="AH75" s="62">
        <f t="shared" si="101"/>
        <v>177138.84239850854</v>
      </c>
      <c r="AI75" s="2">
        <v>43</v>
      </c>
      <c r="AJ75" s="57">
        <f t="shared" si="104"/>
        <v>274569</v>
      </c>
      <c r="AK75" s="62">
        <f t="shared" si="105"/>
        <v>193168.51752166313</v>
      </c>
      <c r="AL75" s="2">
        <v>42</v>
      </c>
      <c r="AM75" s="57">
        <f t="shared" si="107"/>
        <v>287675</v>
      </c>
      <c r="AN75" s="62">
        <f t="shared" si="108"/>
        <v>210648.68186503736</v>
      </c>
      <c r="AO75" s="2">
        <v>41</v>
      </c>
      <c r="AP75" s="57">
        <f t="shared" si="111"/>
        <v>301406</v>
      </c>
      <c r="AQ75" s="62">
        <f t="shared" si="112"/>
        <v>229710.20892878762</v>
      </c>
      <c r="AR75" s="2">
        <v>40</v>
      </c>
      <c r="AS75" s="57">
        <f t="shared" si="115"/>
        <v>315793</v>
      </c>
      <c r="AT75" s="62">
        <f t="shared" si="116"/>
        <v>250497.08804316871</v>
      </c>
      <c r="AU75" s="2">
        <v>39</v>
      </c>
      <c r="AV75" s="57">
        <f t="shared" si="119"/>
        <v>330866</v>
      </c>
      <c r="AW75" s="62">
        <f t="shared" si="120"/>
        <v>273164.40220311325</v>
      </c>
      <c r="AX75" s="2">
        <v>38</v>
      </c>
      <c r="AY75" s="57">
        <f t="shared" si="123"/>
        <v>346659</v>
      </c>
      <c r="AZ75" s="62">
        <f t="shared" si="124"/>
        <v>297883.34438509709</v>
      </c>
      <c r="BA75" s="2">
        <v>37</v>
      </c>
      <c r="BB75" s="57">
        <f t="shared" si="127"/>
        <v>363206</v>
      </c>
      <c r="BC75" s="62">
        <f t="shared" si="128"/>
        <v>324839.27665728645</v>
      </c>
      <c r="BD75" s="2">
        <v>36</v>
      </c>
      <c r="BE75" s="57">
        <f t="shared" si="132"/>
        <v>380542</v>
      </c>
      <c r="BF75" s="62">
        <f t="shared" si="133"/>
        <v>354233.71690033458</v>
      </c>
      <c r="BG75" s="2">
        <v>35</v>
      </c>
      <c r="BH75" s="57">
        <f t="shared" si="136"/>
        <v>398706</v>
      </c>
      <c r="BI75" s="62">
        <f t="shared" si="137"/>
        <v>386288.56327179901</v>
      </c>
      <c r="BJ75" s="2">
        <v>34</v>
      </c>
      <c r="BK75" s="57">
        <f t="shared" si="139"/>
        <v>417737</v>
      </c>
      <c r="BL75" s="62">
        <f t="shared" si="140"/>
        <v>421244.07156529668</v>
      </c>
      <c r="BM75" s="2">
        <v>33</v>
      </c>
      <c r="BN75" s="57">
        <f t="shared" si="144"/>
        <v>437677</v>
      </c>
      <c r="BO75" s="62">
        <f t="shared" si="145"/>
        <v>459363.37137835752</v>
      </c>
      <c r="BP75" s="2">
        <v>32</v>
      </c>
      <c r="BQ75" s="57">
        <f t="shared" ref="BQ75:BQ106" si="147">$E$42</f>
        <v>458568</v>
      </c>
      <c r="BR75" s="62">
        <f t="shared" ref="BR75:BR106" si="148">SUM($G$10*$G$11*BQ75*(EXP(-($G$10*BP75))),$G$10*$G$11*BQ75*(EXP(-($G$10*(BP75+0.1)))),$G$10*$G$11*BQ75*(EXP(-($G$10*(BP75+0.2)))),$G$10*$G$11*BQ75*(EXP(-($G$10*(BP75+0.3)))),$G$10*$G$11*BQ75*(EXP(-($G$10*(BP75+0.4)))),$G$10*$G$11*BQ75*(EXP(-($G$10*(BP75+0.5)))),$G$10*$G$11*BQ75*(EXP(-($G$10*(BP75+0.6)))),$G$10*$G$11*BQ75*(EXP(-($G$10*(BP75+0.7)))),$G$10*$G$11*BQ75*(EXP(-($G$10*(BP75+0.8)))),$G$10*$G$11*BQ75*(EXP(-($G$10*(BP75+0.9)))))/10</f>
        <v>500931.29233706894</v>
      </c>
      <c r="BS75" s="2">
        <v>31</v>
      </c>
      <c r="BT75" s="57">
        <f t="shared" si="45"/>
        <v>480456</v>
      </c>
      <c r="BU75" s="62">
        <f t="shared" si="46"/>
        <v>546260.52456840209</v>
      </c>
      <c r="BV75" s="2">
        <v>30</v>
      </c>
      <c r="BW75" s="57">
        <f t="shared" si="47"/>
        <v>503389</v>
      </c>
      <c r="BX75" s="62">
        <f t="shared" si="48"/>
        <v>595691.90249556676</v>
      </c>
      <c r="BY75" s="2">
        <v>29</v>
      </c>
      <c r="BZ75" s="57">
        <f t="shared" si="49"/>
        <v>527417</v>
      </c>
      <c r="CA75" s="62">
        <f t="shared" si="50"/>
        <v>649596.80292489671</v>
      </c>
      <c r="CB75" s="2">
        <v>28</v>
      </c>
      <c r="CC75" s="57">
        <f t="shared" si="51"/>
        <v>552592</v>
      </c>
      <c r="CD75" s="62">
        <f t="shared" si="52"/>
        <v>708379.73274577339</v>
      </c>
      <c r="CE75" s="2">
        <v>27</v>
      </c>
      <c r="CF75" s="57">
        <f t="shared" si="53"/>
        <v>578968</v>
      </c>
      <c r="CG75" s="62">
        <f t="shared" si="54"/>
        <v>772481.12017772533</v>
      </c>
      <c r="CH75" s="2">
        <v>26</v>
      </c>
      <c r="CI75" s="57">
        <f t="shared" si="55"/>
        <v>606603</v>
      </c>
      <c r="CJ75" s="62">
        <f t="shared" si="56"/>
        <v>842383.10183778557</v>
      </c>
      <c r="CK75" s="2">
        <v>25</v>
      </c>
      <c r="CL75" s="57">
        <f t="shared" si="57"/>
        <v>635558</v>
      </c>
      <c r="CM75" s="62">
        <f t="shared" si="58"/>
        <v>918611.88816040696</v>
      </c>
      <c r="CN75" s="2">
        <v>24</v>
      </c>
      <c r="CO75" s="57">
        <f t="shared" si="59"/>
        <v>665894</v>
      </c>
      <c r="CP75" s="62">
        <f t="shared" si="60"/>
        <v>1001737.0869536552</v>
      </c>
      <c r="CQ75" s="2">
        <v>23</v>
      </c>
      <c r="CR75" s="57">
        <f t="shared" si="61"/>
        <v>697679</v>
      </c>
      <c r="CS75" s="62">
        <f t="shared" si="62"/>
        <v>1092385.8887163545</v>
      </c>
      <c r="CT75" s="2">
        <v>22</v>
      </c>
      <c r="CU75" s="57">
        <f t="shared" si="63"/>
        <v>730980</v>
      </c>
      <c r="CV75" s="62">
        <f t="shared" si="64"/>
        <v>1191235.7108716879</v>
      </c>
      <c r="CW75" s="2">
        <v>21</v>
      </c>
      <c r="CX75" s="57">
        <f t="shared" si="65"/>
        <v>765871</v>
      </c>
      <c r="CY75" s="62">
        <f t="shared" si="66"/>
        <v>1299031.2956359601</v>
      </c>
      <c r="CZ75" s="2">
        <v>20</v>
      </c>
      <c r="DA75" s="57">
        <f t="shared" si="67"/>
        <v>0</v>
      </c>
      <c r="DB75" s="62">
        <f t="shared" si="68"/>
        <v>0</v>
      </c>
      <c r="DC75" s="2">
        <v>19</v>
      </c>
      <c r="DD75" s="57">
        <f t="shared" si="71"/>
        <v>0</v>
      </c>
      <c r="DE75" s="62">
        <f t="shared" si="72"/>
        <v>0</v>
      </c>
      <c r="DF75" s="2">
        <v>18</v>
      </c>
      <c r="DG75" s="57">
        <f t="shared" si="75"/>
        <v>0</v>
      </c>
      <c r="DH75" s="62">
        <f t="shared" si="76"/>
        <v>0</v>
      </c>
      <c r="DI75" s="2">
        <v>17</v>
      </c>
      <c r="DJ75" s="57">
        <f t="shared" si="79"/>
        <v>0</v>
      </c>
      <c r="DK75" s="62">
        <f t="shared" si="80"/>
        <v>0</v>
      </c>
      <c r="DL75" s="2">
        <v>16</v>
      </c>
      <c r="DM75" s="57">
        <f t="shared" si="83"/>
        <v>0</v>
      </c>
      <c r="DN75" s="62">
        <f t="shared" si="84"/>
        <v>0</v>
      </c>
      <c r="DO75" s="2">
        <v>15</v>
      </c>
      <c r="DP75" s="57">
        <f t="shared" si="87"/>
        <v>0</v>
      </c>
      <c r="DQ75" s="62">
        <f t="shared" si="88"/>
        <v>0</v>
      </c>
      <c r="DR75" s="2">
        <v>14</v>
      </c>
      <c r="DS75" s="57">
        <f t="shared" si="91"/>
        <v>0</v>
      </c>
      <c r="DT75" s="62">
        <f t="shared" si="92"/>
        <v>0</v>
      </c>
      <c r="DU75" s="2">
        <v>13</v>
      </c>
      <c r="DV75" s="57">
        <f t="shared" si="95"/>
        <v>0</v>
      </c>
      <c r="DW75" s="62">
        <f t="shared" si="96"/>
        <v>0</v>
      </c>
      <c r="DX75" s="2">
        <v>12</v>
      </c>
      <c r="DY75" s="57">
        <f t="shared" si="102"/>
        <v>0</v>
      </c>
      <c r="DZ75" s="62">
        <f t="shared" si="103"/>
        <v>0</v>
      </c>
      <c r="EA75" s="2">
        <v>11</v>
      </c>
      <c r="EB75" s="57">
        <f t="shared" si="109"/>
        <v>0</v>
      </c>
      <c r="EC75" s="62">
        <f t="shared" si="106"/>
        <v>0</v>
      </c>
      <c r="ED75" s="2">
        <v>10</v>
      </c>
      <c r="EE75" s="57">
        <f t="shared" si="113"/>
        <v>0</v>
      </c>
      <c r="EF75" s="62">
        <f t="shared" si="110"/>
        <v>0</v>
      </c>
      <c r="EG75" s="2">
        <v>9</v>
      </c>
      <c r="EH75" s="57">
        <f t="shared" si="117"/>
        <v>0</v>
      </c>
      <c r="EI75" s="62">
        <f t="shared" si="114"/>
        <v>0</v>
      </c>
      <c r="EJ75" s="2">
        <v>8</v>
      </c>
      <c r="EK75" s="57">
        <f t="shared" si="121"/>
        <v>0</v>
      </c>
      <c r="EL75" s="62">
        <f t="shared" si="118"/>
        <v>0</v>
      </c>
      <c r="EM75" s="2">
        <v>7</v>
      </c>
      <c r="EN75" s="57">
        <f t="shared" si="125"/>
        <v>0</v>
      </c>
      <c r="EO75" s="62">
        <f t="shared" si="122"/>
        <v>0</v>
      </c>
      <c r="EP75" s="2">
        <v>6</v>
      </c>
      <c r="EQ75" s="57">
        <f t="shared" si="129"/>
        <v>0</v>
      </c>
      <c r="ER75" s="62">
        <f t="shared" si="126"/>
        <v>0</v>
      </c>
      <c r="ES75" s="2">
        <v>5</v>
      </c>
      <c r="ET75" s="57">
        <f t="shared" si="130"/>
        <v>0</v>
      </c>
      <c r="EU75" s="62">
        <f t="shared" si="131"/>
        <v>0</v>
      </c>
      <c r="EV75" s="2">
        <v>4</v>
      </c>
      <c r="EW75" s="57">
        <f t="shared" si="134"/>
        <v>0</v>
      </c>
      <c r="EX75" s="62">
        <f t="shared" si="135"/>
        <v>0</v>
      </c>
      <c r="EY75" s="2">
        <v>3</v>
      </c>
      <c r="EZ75" s="57">
        <f t="shared" si="141"/>
        <v>0</v>
      </c>
      <c r="FA75" s="62">
        <f t="shared" si="138"/>
        <v>0</v>
      </c>
      <c r="FB75" s="2">
        <v>2</v>
      </c>
      <c r="FC75" s="57">
        <f t="shared" si="142"/>
        <v>0</v>
      </c>
      <c r="FD75" s="62">
        <f t="shared" si="143"/>
        <v>0</v>
      </c>
      <c r="FE75" s="2">
        <v>1</v>
      </c>
      <c r="FF75" s="57">
        <f t="shared" ref="FF75:FF138" si="149">$E$73</f>
        <v>0</v>
      </c>
      <c r="FG75" s="62">
        <f t="shared" si="146"/>
        <v>0</v>
      </c>
      <c r="FH75" s="2">
        <v>0</v>
      </c>
      <c r="FI75" s="57">
        <f t="shared" ref="FI75:FI138" si="150">$E$74</f>
        <v>0</v>
      </c>
      <c r="FJ75" s="62">
        <f t="shared" ref="FJ75:FJ106" si="151">SUM($G$10*$G$11*FI75*(EXP(-($G$10*FH75))),$G$10*$G$11*FI75*(EXP(-($G$10*(FH75+0.1)))),$G$10*$G$11*FI75*(EXP(-($G$10*(FH75+0.2)))),$G$10*$G$11*FI75*(EXP(-($G$10*(FH75+0.3)))),$G$10*$G$11*FI75*(EXP(-($G$10*(FH75+0.4)))),$G$10*$G$11*FI75*(EXP(-($G$10*(FH75+0.5)))),$G$10*$G$11*FI75*(EXP(-($G$10*(FH75+0.6)))),$G$10*$G$11*FI75*(EXP(-($G$10*(FH75+0.7)))),$G$10*$G$11*FI75*(EXP(-($G$10*(FH75+0.8)))),$G$10*$G$11*FI75*(EXP(-($G$10*(FH75+0.9)))))/10</f>
        <v>0</v>
      </c>
      <c r="FK75" s="2"/>
      <c r="FL75" s="2"/>
      <c r="FM75" s="2"/>
      <c r="FN75" s="2"/>
      <c r="FO75" s="2"/>
      <c r="FP75" s="2"/>
      <c r="FQ75" s="2"/>
      <c r="FR75" s="2"/>
      <c r="FS75" s="2"/>
      <c r="FT75" s="2"/>
      <c r="FU75" s="2"/>
      <c r="FV75" s="2"/>
      <c r="FW75" s="2"/>
      <c r="FX75" s="2"/>
      <c r="FY75" s="2"/>
      <c r="FZ75" s="2"/>
      <c r="GA75" s="2"/>
      <c r="GB75" s="2"/>
      <c r="GC75" s="2"/>
      <c r="GD75" s="2"/>
      <c r="GE75" s="2"/>
      <c r="GF75" s="2"/>
      <c r="GG75" s="2"/>
      <c r="GH75" s="2"/>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row>
    <row r="76" spans="2:250">
      <c r="B76" s="56">
        <f>'USER INPUTS'!J61</f>
        <v>2071</v>
      </c>
      <c r="C76" s="420">
        <f>IF(OR(AND(ClosureCalcYes=TRUE,WasteCapacity=""),AND(ClosureCalcYes=FALSE,ClosureYear="")),0,IF('USER INPUTS'!K61&gt;0,IF('USER INPUTS'!$K$4="Mg/year",'USER INPUTS'!K61,'USER INPUTS'!L61),0))</f>
        <v>0</v>
      </c>
      <c r="D76" s="420">
        <f t="shared" si="97"/>
        <v>12946986</v>
      </c>
      <c r="E76" s="420">
        <f>IF(ClosureCalcYes=FALSE,IF(AND(B76&lt;ClosureYear,C76=0,SUM(C76:$C$102)=0),$D$13,IF(B76&lt;=ClosureYear,C76,0)),IF(B76=$D$16,($D$14-F76),IF(B76&lt;$D$16,IF(SUM(C76:$C$102)=0,$D$13,C76),0)))</f>
        <v>0</v>
      </c>
      <c r="F76" s="66">
        <f t="shared" si="98"/>
        <v>12946986</v>
      </c>
      <c r="G76" s="284">
        <f>IF(SUM(C77:$C$101)=0,C76,0)</f>
        <v>0</v>
      </c>
      <c r="H76" s="284">
        <f t="shared" si="99"/>
        <v>0</v>
      </c>
      <c r="I76" s="2">
        <f t="shared" si="8"/>
        <v>2071</v>
      </c>
      <c r="J76" s="379">
        <f t="shared" si="1"/>
        <v>14063091.422211805</v>
      </c>
      <c r="K76" s="2">
        <v>52</v>
      </c>
      <c r="L76" s="57">
        <f t="shared" si="69"/>
        <v>189082</v>
      </c>
      <c r="M76" s="62">
        <f t="shared" si="70"/>
        <v>92808.770370889601</v>
      </c>
      <c r="N76" s="2">
        <v>51</v>
      </c>
      <c r="O76" s="57">
        <f t="shared" si="73"/>
        <v>293489</v>
      </c>
      <c r="P76" s="62">
        <f t="shared" si="74"/>
        <v>149934.7980743857</v>
      </c>
      <c r="Q76" s="2">
        <v>50</v>
      </c>
      <c r="R76" s="57">
        <f t="shared" si="77"/>
        <v>283523</v>
      </c>
      <c r="S76" s="62">
        <f t="shared" si="78"/>
        <v>150754.63913861607</v>
      </c>
      <c r="T76" s="2">
        <v>49</v>
      </c>
      <c r="U76" s="57">
        <f t="shared" si="81"/>
        <v>143321</v>
      </c>
      <c r="V76" s="62">
        <f t="shared" si="82"/>
        <v>79316.583474453641</v>
      </c>
      <c r="W76" s="63">
        <v>48</v>
      </c>
      <c r="X76" s="57">
        <f t="shared" si="85"/>
        <v>227851</v>
      </c>
      <c r="Y76" s="62">
        <f t="shared" si="86"/>
        <v>131243.22312215666</v>
      </c>
      <c r="Z76" s="63">
        <v>47</v>
      </c>
      <c r="AA76" s="57">
        <f t="shared" si="89"/>
        <v>238727</v>
      </c>
      <c r="AB76" s="62">
        <f t="shared" si="90"/>
        <v>143119.65088386447</v>
      </c>
      <c r="AC76" s="63">
        <v>46</v>
      </c>
      <c r="AD76" s="57">
        <f t="shared" si="93"/>
        <v>250122</v>
      </c>
      <c r="AE76" s="62">
        <f t="shared" si="94"/>
        <v>156070.70770189684</v>
      </c>
      <c r="AF76" s="2">
        <v>45</v>
      </c>
      <c r="AG76" s="57">
        <f t="shared" si="100"/>
        <v>262060</v>
      </c>
      <c r="AH76" s="62">
        <f t="shared" si="101"/>
        <v>170193.1290401548</v>
      </c>
      <c r="AI76" s="2">
        <v>44</v>
      </c>
      <c r="AJ76" s="57">
        <f t="shared" si="104"/>
        <v>274569</v>
      </c>
      <c r="AK76" s="62">
        <f t="shared" si="105"/>
        <v>185594.27161152443</v>
      </c>
      <c r="AL76" s="2">
        <v>43</v>
      </c>
      <c r="AM76" s="57">
        <f t="shared" si="107"/>
        <v>287675</v>
      </c>
      <c r="AN76" s="62">
        <f t="shared" si="108"/>
        <v>202389.02890728536</v>
      </c>
      <c r="AO76" s="2">
        <v>42</v>
      </c>
      <c r="AP76" s="57">
        <f t="shared" si="111"/>
        <v>301406</v>
      </c>
      <c r="AQ76" s="62">
        <f t="shared" si="112"/>
        <v>220703.14280425286</v>
      </c>
      <c r="AR76" s="2">
        <v>41</v>
      </c>
      <c r="AS76" s="57">
        <f t="shared" si="115"/>
        <v>315793</v>
      </c>
      <c r="AT76" s="62">
        <f t="shared" si="116"/>
        <v>240674.95673028618</v>
      </c>
      <c r="AU76" s="2">
        <v>40</v>
      </c>
      <c r="AV76" s="57">
        <f t="shared" si="119"/>
        <v>330866</v>
      </c>
      <c r="AW76" s="62">
        <f t="shared" si="120"/>
        <v>262453.47278910881</v>
      </c>
      <c r="AX76" s="2">
        <v>39</v>
      </c>
      <c r="AY76" s="57">
        <f t="shared" si="123"/>
        <v>346659</v>
      </c>
      <c r="AZ76" s="62">
        <f t="shared" si="124"/>
        <v>286203.17138457578</v>
      </c>
      <c r="BA76" s="2">
        <v>38</v>
      </c>
      <c r="BB76" s="57">
        <f t="shared" si="127"/>
        <v>363206</v>
      </c>
      <c r="BC76" s="62">
        <f t="shared" si="128"/>
        <v>312102.14643420064</v>
      </c>
      <c r="BD76" s="2">
        <v>37</v>
      </c>
      <c r="BE76" s="57">
        <f t="shared" si="132"/>
        <v>380542</v>
      </c>
      <c r="BF76" s="62">
        <f t="shared" si="133"/>
        <v>340344.01418951544</v>
      </c>
      <c r="BG76" s="2">
        <v>36</v>
      </c>
      <c r="BH76" s="57">
        <f t="shared" si="136"/>
        <v>398706</v>
      </c>
      <c r="BI76" s="62">
        <f t="shared" si="137"/>
        <v>371141.97205686843</v>
      </c>
      <c r="BJ76" s="2">
        <v>35</v>
      </c>
      <c r="BK76" s="57">
        <f t="shared" si="139"/>
        <v>417737</v>
      </c>
      <c r="BL76" s="62">
        <f t="shared" si="140"/>
        <v>404726.85526546242</v>
      </c>
      <c r="BM76" s="2">
        <v>34</v>
      </c>
      <c r="BN76" s="57">
        <f t="shared" si="144"/>
        <v>437677</v>
      </c>
      <c r="BO76" s="62">
        <f t="shared" si="145"/>
        <v>441351.47595373244</v>
      </c>
      <c r="BP76" s="2">
        <v>33</v>
      </c>
      <c r="BQ76" s="57">
        <f t="shared" si="147"/>
        <v>458568</v>
      </c>
      <c r="BR76" s="62">
        <f t="shared" si="148"/>
        <v>481289.49541838077</v>
      </c>
      <c r="BS76" s="2">
        <v>32</v>
      </c>
      <c r="BT76" s="57">
        <f t="shared" ref="BT76:BT107" si="152">$E$43</f>
        <v>480456</v>
      </c>
      <c r="BU76" s="62">
        <f t="shared" ref="BU76:BU107" si="153">SUM($G$10*$G$11*BT76*(EXP(-($G$10*BS76))),$G$10*$G$11*BT76*(EXP(-($G$10*(BS76+0.1)))),$G$10*$G$11*BT76*(EXP(-($G$10*(BS76+0.2)))),$G$10*$G$11*BT76*(EXP(-($G$10*(BS76+0.3)))),$G$10*$G$11*BT76*(EXP(-($G$10*(BS76+0.4)))),$G$10*$G$11*BT76*(EXP(-($G$10*(BS76+0.5)))),$G$10*$G$11*BT76*(EXP(-($G$10*(BS76+0.6)))),$G$10*$G$11*BT76*(EXP(-($G$10*(BS76+0.7)))),$G$10*$G$11*BT76*(EXP(-($G$10*(BS76+0.8)))),$G$10*$G$11*BT76*(EXP(-($G$10*(BS76+0.9)))))/10</f>
        <v>524841.34303112887</v>
      </c>
      <c r="BV76" s="2">
        <v>31</v>
      </c>
      <c r="BW76" s="57">
        <f t="shared" si="47"/>
        <v>503389</v>
      </c>
      <c r="BX76" s="62">
        <f t="shared" si="48"/>
        <v>572334.4889062962</v>
      </c>
      <c r="BY76" s="2">
        <v>30</v>
      </c>
      <c r="BZ76" s="57">
        <f t="shared" si="49"/>
        <v>527417</v>
      </c>
      <c r="CA76" s="62">
        <f t="shared" si="50"/>
        <v>624125.74795735371</v>
      </c>
      <c r="CB76" s="2">
        <v>29</v>
      </c>
      <c r="CC76" s="57">
        <f t="shared" si="51"/>
        <v>552592</v>
      </c>
      <c r="CD76" s="62">
        <f t="shared" si="52"/>
        <v>680603.7661316843</v>
      </c>
      <c r="CE76" s="2">
        <v>28</v>
      </c>
      <c r="CF76" s="57">
        <f t="shared" si="53"/>
        <v>578968</v>
      </c>
      <c r="CG76" s="62">
        <f t="shared" si="54"/>
        <v>742191.70221131505</v>
      </c>
      <c r="CH76" s="2">
        <v>27</v>
      </c>
      <c r="CI76" s="57">
        <f t="shared" si="55"/>
        <v>606603</v>
      </c>
      <c r="CJ76" s="62">
        <f t="shared" si="56"/>
        <v>809352.78796612006</v>
      </c>
      <c r="CK76" s="2">
        <v>26</v>
      </c>
      <c r="CL76" s="57">
        <f t="shared" si="57"/>
        <v>635558</v>
      </c>
      <c r="CM76" s="62">
        <f t="shared" si="58"/>
        <v>882592.60082429426</v>
      </c>
      <c r="CN76" s="2">
        <v>25</v>
      </c>
      <c r="CO76" s="57">
        <f t="shared" si="59"/>
        <v>665894</v>
      </c>
      <c r="CP76" s="62">
        <f t="shared" si="60"/>
        <v>962458.41395228449</v>
      </c>
      <c r="CQ76" s="2">
        <v>24</v>
      </c>
      <c r="CR76" s="57">
        <f t="shared" si="61"/>
        <v>697679</v>
      </c>
      <c r="CS76" s="62">
        <f t="shared" si="62"/>
        <v>1049552.8253576984</v>
      </c>
      <c r="CT76" s="2">
        <v>23</v>
      </c>
      <c r="CU76" s="57">
        <f t="shared" si="63"/>
        <v>730980</v>
      </c>
      <c r="CV76" s="62">
        <f t="shared" si="64"/>
        <v>1144526.6905466281</v>
      </c>
      <c r="CW76" s="2">
        <v>22</v>
      </c>
      <c r="CX76" s="57">
        <f t="shared" si="65"/>
        <v>765871</v>
      </c>
      <c r="CY76" s="62">
        <f t="shared" si="66"/>
        <v>1248095.5499753896</v>
      </c>
      <c r="CZ76" s="2">
        <v>21</v>
      </c>
      <c r="DA76" s="57">
        <f t="shared" si="67"/>
        <v>0</v>
      </c>
      <c r="DB76" s="62">
        <f t="shared" si="68"/>
        <v>0</v>
      </c>
      <c r="DC76" s="2">
        <v>20</v>
      </c>
      <c r="DD76" s="57">
        <f t="shared" si="71"/>
        <v>0</v>
      </c>
      <c r="DE76" s="62">
        <f t="shared" si="72"/>
        <v>0</v>
      </c>
      <c r="DF76" s="2">
        <v>19</v>
      </c>
      <c r="DG76" s="57">
        <f t="shared" si="75"/>
        <v>0</v>
      </c>
      <c r="DH76" s="62">
        <f t="shared" si="76"/>
        <v>0</v>
      </c>
      <c r="DI76" s="2">
        <v>18</v>
      </c>
      <c r="DJ76" s="57">
        <f t="shared" si="79"/>
        <v>0</v>
      </c>
      <c r="DK76" s="62">
        <f t="shared" si="80"/>
        <v>0</v>
      </c>
      <c r="DL76" s="2">
        <v>17</v>
      </c>
      <c r="DM76" s="57">
        <f t="shared" si="83"/>
        <v>0</v>
      </c>
      <c r="DN76" s="62">
        <f t="shared" si="84"/>
        <v>0</v>
      </c>
      <c r="DO76" s="2">
        <v>16</v>
      </c>
      <c r="DP76" s="57">
        <f t="shared" si="87"/>
        <v>0</v>
      </c>
      <c r="DQ76" s="62">
        <f t="shared" si="88"/>
        <v>0</v>
      </c>
      <c r="DR76" s="2">
        <v>15</v>
      </c>
      <c r="DS76" s="57">
        <f t="shared" si="91"/>
        <v>0</v>
      </c>
      <c r="DT76" s="62">
        <f t="shared" si="92"/>
        <v>0</v>
      </c>
      <c r="DU76" s="2">
        <v>14</v>
      </c>
      <c r="DV76" s="57">
        <f t="shared" si="95"/>
        <v>0</v>
      </c>
      <c r="DW76" s="62">
        <f t="shared" si="96"/>
        <v>0</v>
      </c>
      <c r="DX76" s="2">
        <v>13</v>
      </c>
      <c r="DY76" s="57">
        <f t="shared" si="102"/>
        <v>0</v>
      </c>
      <c r="DZ76" s="62">
        <f t="shared" si="103"/>
        <v>0</v>
      </c>
      <c r="EA76" s="2">
        <v>12</v>
      </c>
      <c r="EB76" s="57">
        <f t="shared" si="109"/>
        <v>0</v>
      </c>
      <c r="EC76" s="62">
        <f t="shared" si="106"/>
        <v>0</v>
      </c>
      <c r="ED76" s="2">
        <v>11</v>
      </c>
      <c r="EE76" s="57">
        <f t="shared" si="113"/>
        <v>0</v>
      </c>
      <c r="EF76" s="62">
        <f t="shared" si="110"/>
        <v>0</v>
      </c>
      <c r="EG76" s="2">
        <v>10</v>
      </c>
      <c r="EH76" s="57">
        <f t="shared" si="117"/>
        <v>0</v>
      </c>
      <c r="EI76" s="62">
        <f t="shared" si="114"/>
        <v>0</v>
      </c>
      <c r="EJ76" s="2">
        <v>9</v>
      </c>
      <c r="EK76" s="57">
        <f t="shared" si="121"/>
        <v>0</v>
      </c>
      <c r="EL76" s="62">
        <f t="shared" si="118"/>
        <v>0</v>
      </c>
      <c r="EM76" s="2">
        <v>8</v>
      </c>
      <c r="EN76" s="57">
        <f t="shared" si="125"/>
        <v>0</v>
      </c>
      <c r="EO76" s="62">
        <f t="shared" si="122"/>
        <v>0</v>
      </c>
      <c r="EP76" s="2">
        <v>7</v>
      </c>
      <c r="EQ76" s="57">
        <f t="shared" si="129"/>
        <v>0</v>
      </c>
      <c r="ER76" s="62">
        <f t="shared" si="126"/>
        <v>0</v>
      </c>
      <c r="ES76" s="2">
        <v>6</v>
      </c>
      <c r="ET76" s="57">
        <f t="shared" si="130"/>
        <v>0</v>
      </c>
      <c r="EU76" s="62">
        <f t="shared" si="131"/>
        <v>0</v>
      </c>
      <c r="EV76" s="2">
        <v>5</v>
      </c>
      <c r="EW76" s="57">
        <f t="shared" si="134"/>
        <v>0</v>
      </c>
      <c r="EX76" s="62">
        <f t="shared" si="135"/>
        <v>0</v>
      </c>
      <c r="EY76" s="2">
        <v>4</v>
      </c>
      <c r="EZ76" s="57">
        <f t="shared" si="141"/>
        <v>0</v>
      </c>
      <c r="FA76" s="62">
        <f t="shared" si="138"/>
        <v>0</v>
      </c>
      <c r="FB76" s="2">
        <v>3</v>
      </c>
      <c r="FC76" s="57">
        <f t="shared" si="142"/>
        <v>0</v>
      </c>
      <c r="FD76" s="62">
        <f t="shared" si="143"/>
        <v>0</v>
      </c>
      <c r="FE76" s="2">
        <v>2</v>
      </c>
      <c r="FF76" s="57">
        <f t="shared" si="149"/>
        <v>0</v>
      </c>
      <c r="FG76" s="62">
        <f t="shared" si="146"/>
        <v>0</v>
      </c>
      <c r="FH76" s="2">
        <v>1</v>
      </c>
      <c r="FI76" s="57">
        <f t="shared" si="150"/>
        <v>0</v>
      </c>
      <c r="FJ76" s="62">
        <f t="shared" si="151"/>
        <v>0</v>
      </c>
      <c r="FK76" s="2">
        <v>0</v>
      </c>
      <c r="FL76" s="57">
        <f>$E$75</f>
        <v>0</v>
      </c>
      <c r="FM76" s="62">
        <f t="shared" ref="FM76:FM107" si="154">SUM($G$10*$G$11*FL76*(EXP(-($G$10*FK76))),$G$10*$G$11*FL76*(EXP(-($G$10*(FK76+0.1)))),$G$10*$G$11*FL76*(EXP(-($G$10*(FK76+0.2)))),$G$10*$G$11*FL76*(EXP(-($G$10*(FK76+0.3)))),$G$10*$G$11*FL76*(EXP(-($G$10*(FK76+0.4)))),$G$10*$G$11*FL76*(EXP(-($G$10*(FK76+0.5)))),$G$10*$G$11*FL76*(EXP(-($G$10*(FK76+0.6)))),$G$10*$G$11*FL76*(EXP(-($G$10*(FK76+0.7)))),$G$10*$G$11*FL76*(EXP(-($G$10*(FK76+0.8)))),$G$10*$G$11*FL76*(EXP(-($G$10*(FK76+0.9)))))/10</f>
        <v>0</v>
      </c>
      <c r="FN76" s="2"/>
      <c r="FO76" s="2"/>
      <c r="FP76" s="2"/>
      <c r="FQ76" s="2"/>
      <c r="FR76" s="2"/>
      <c r="FS76" s="2"/>
      <c r="FT76" s="2"/>
      <c r="FU76" s="2"/>
      <c r="FV76" s="2"/>
      <c r="FW76" s="2"/>
      <c r="FX76" s="2"/>
      <c r="FY76" s="2"/>
      <c r="FZ76" s="2"/>
      <c r="GA76" s="2"/>
      <c r="GB76" s="2"/>
      <c r="GC76" s="2"/>
      <c r="GD76" s="2"/>
      <c r="GE76" s="2"/>
      <c r="GF76" s="2"/>
      <c r="GG76" s="2"/>
      <c r="GH76" s="2"/>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row>
    <row r="77" spans="2:250">
      <c r="B77" s="56">
        <f>'USER INPUTS'!J62</f>
        <v>2072</v>
      </c>
      <c r="C77" s="420">
        <f>IF(OR(AND(ClosureCalcYes=TRUE,WasteCapacity=""),AND(ClosureCalcYes=FALSE,ClosureYear="")),0,IF('USER INPUTS'!K62&gt;0,IF('USER INPUTS'!$K$4="Mg/year",'USER INPUTS'!K62,'USER INPUTS'!L62),0))</f>
        <v>0</v>
      </c>
      <c r="D77" s="420">
        <f t="shared" si="97"/>
        <v>12946986</v>
      </c>
      <c r="E77" s="420">
        <f>IF(ClosureCalcYes=FALSE,IF(AND(B77&lt;ClosureYear,C77=0,SUM(C77:$C$102)=0),$D$13,IF(B77&lt;=ClosureYear,C77,0)),IF(B77=$D$16,($D$14-F77),IF(B77&lt;$D$16,IF(SUM(C77:$C$102)=0,$D$13,C77),0)))</f>
        <v>0</v>
      </c>
      <c r="F77" s="66">
        <f t="shared" si="98"/>
        <v>12946986</v>
      </c>
      <c r="G77" s="284">
        <f>IF(SUM(C78:$C$101)=0,C77,0)</f>
        <v>0</v>
      </c>
      <c r="H77" s="284">
        <f t="shared" si="99"/>
        <v>0</v>
      </c>
      <c r="I77" s="2">
        <f t="shared" si="8"/>
        <v>2072</v>
      </c>
      <c r="J77" s="379">
        <f t="shared" si="1"/>
        <v>13511669.720294729</v>
      </c>
      <c r="K77" s="2">
        <v>53</v>
      </c>
      <c r="L77" s="57">
        <f t="shared" si="69"/>
        <v>189082</v>
      </c>
      <c r="M77" s="62">
        <f t="shared" si="70"/>
        <v>89169.686433063776</v>
      </c>
      <c r="N77" s="2">
        <v>52</v>
      </c>
      <c r="O77" s="57">
        <f t="shared" si="73"/>
        <v>293489</v>
      </c>
      <c r="P77" s="62">
        <f t="shared" si="74"/>
        <v>144055.77055130588</v>
      </c>
      <c r="Q77" s="2">
        <v>51</v>
      </c>
      <c r="R77" s="57">
        <f t="shared" si="77"/>
        <v>283523</v>
      </c>
      <c r="S77" s="62">
        <f t="shared" si="78"/>
        <v>144843.4651876018</v>
      </c>
      <c r="T77" s="2">
        <v>50</v>
      </c>
      <c r="U77" s="57">
        <f t="shared" si="81"/>
        <v>143321</v>
      </c>
      <c r="V77" s="62">
        <f t="shared" si="82"/>
        <v>76206.535751898758</v>
      </c>
      <c r="W77" s="2">
        <v>49</v>
      </c>
      <c r="X77" s="57">
        <f t="shared" si="85"/>
        <v>227851</v>
      </c>
      <c r="Y77" s="62">
        <f t="shared" si="86"/>
        <v>126097.10273608014</v>
      </c>
      <c r="Z77" s="63">
        <v>48</v>
      </c>
      <c r="AA77" s="57">
        <f t="shared" si="89"/>
        <v>238727</v>
      </c>
      <c r="AB77" s="62">
        <f t="shared" si="90"/>
        <v>137507.84910438446</v>
      </c>
      <c r="AC77" s="63">
        <v>47</v>
      </c>
      <c r="AD77" s="57">
        <f t="shared" si="93"/>
        <v>250122</v>
      </c>
      <c r="AE77" s="62">
        <f t="shared" si="94"/>
        <v>149951.08772101166</v>
      </c>
      <c r="AF77" s="63">
        <v>46</v>
      </c>
      <c r="AG77" s="57">
        <f t="shared" si="100"/>
        <v>262060</v>
      </c>
      <c r="AH77" s="62">
        <f t="shared" si="101"/>
        <v>163519.76099806928</v>
      </c>
      <c r="AI77" s="2">
        <v>45</v>
      </c>
      <c r="AJ77" s="57">
        <f t="shared" si="104"/>
        <v>274569</v>
      </c>
      <c r="AK77" s="62">
        <f t="shared" si="105"/>
        <v>178317.01613152053</v>
      </c>
      <c r="AL77" s="2">
        <v>44</v>
      </c>
      <c r="AM77" s="57">
        <f t="shared" si="107"/>
        <v>287675</v>
      </c>
      <c r="AN77" s="62">
        <f t="shared" si="108"/>
        <v>194453.24157441402</v>
      </c>
      <c r="AO77" s="2">
        <v>43</v>
      </c>
      <c r="AP77" s="57">
        <f t="shared" si="111"/>
        <v>301406</v>
      </c>
      <c r="AQ77" s="62">
        <f t="shared" si="112"/>
        <v>212049.24879405322</v>
      </c>
      <c r="AR77" s="2">
        <v>42</v>
      </c>
      <c r="AS77" s="57">
        <f t="shared" si="115"/>
        <v>315793</v>
      </c>
      <c r="AT77" s="62">
        <f t="shared" si="116"/>
        <v>231237.95669490131</v>
      </c>
      <c r="AU77" s="2">
        <v>41</v>
      </c>
      <c r="AV77" s="57">
        <f t="shared" si="119"/>
        <v>330866</v>
      </c>
      <c r="AW77" s="62">
        <f t="shared" si="120"/>
        <v>252162.52492462742</v>
      </c>
      <c r="AX77" s="2">
        <v>40</v>
      </c>
      <c r="AY77" s="57">
        <f t="shared" si="123"/>
        <v>346659</v>
      </c>
      <c r="AZ77" s="62">
        <f t="shared" si="124"/>
        <v>274980.98451820284</v>
      </c>
      <c r="BA77" s="2">
        <v>39</v>
      </c>
      <c r="BB77" s="57">
        <f t="shared" si="127"/>
        <v>363206</v>
      </c>
      <c r="BC77" s="62">
        <f t="shared" si="128"/>
        <v>299864.44623075193</v>
      </c>
      <c r="BD77" s="2">
        <v>38</v>
      </c>
      <c r="BE77" s="57">
        <f t="shared" si="132"/>
        <v>380542</v>
      </c>
      <c r="BF77" s="62">
        <f t="shared" si="133"/>
        <v>326998.93451199483</v>
      </c>
      <c r="BG77" s="2">
        <v>37</v>
      </c>
      <c r="BH77" s="57">
        <f t="shared" si="136"/>
        <v>398706</v>
      </c>
      <c r="BI77" s="62">
        <f t="shared" si="137"/>
        <v>356589.28717840585</v>
      </c>
      <c r="BJ77" s="2">
        <v>36</v>
      </c>
      <c r="BK77" s="57">
        <f t="shared" si="139"/>
        <v>417737</v>
      </c>
      <c r="BL77" s="62">
        <f t="shared" si="140"/>
        <v>388857.28828038718</v>
      </c>
      <c r="BM77" s="2">
        <v>35</v>
      </c>
      <c r="BN77" s="57">
        <f t="shared" si="144"/>
        <v>437677</v>
      </c>
      <c r="BO77" s="62">
        <f t="shared" si="145"/>
        <v>424045.83705063676</v>
      </c>
      <c r="BP77" s="2">
        <v>34</v>
      </c>
      <c r="BQ77" s="57">
        <f t="shared" si="147"/>
        <v>458568</v>
      </c>
      <c r="BR77" s="62">
        <f t="shared" si="148"/>
        <v>462417.86437293078</v>
      </c>
      <c r="BS77" s="2">
        <v>33</v>
      </c>
      <c r="BT77" s="57">
        <f t="shared" si="152"/>
        <v>480456</v>
      </c>
      <c r="BU77" s="62">
        <f t="shared" si="153"/>
        <v>504262.0196148305</v>
      </c>
      <c r="BV77" s="2">
        <v>32</v>
      </c>
      <c r="BW77" s="57">
        <f t="shared" ref="BW77:BW108" si="155">$E$44</f>
        <v>503389</v>
      </c>
      <c r="BX77" s="62">
        <f t="shared" ref="BX77:BX108" si="156">SUM($G$10*$G$11*BW77*(EXP(-($G$10*BV77))),$G$10*$G$11*BW77*(EXP(-($G$10*(BV77+0.1)))),$G$10*$G$11*BW77*(EXP(-($G$10*(BV77+0.2)))),$G$10*$G$11*BW77*(EXP(-($G$10*(BV77+0.3)))),$G$10*$G$11*BW77*(EXP(-($G$10*(BV77+0.4)))),$G$10*$G$11*BW77*(EXP(-($G$10*(BV77+0.5)))),$G$10*$G$11*BW77*(EXP(-($G$10*(BV77+0.6)))),$G$10*$G$11*BW77*(EXP(-($G$10*(BV77+0.7)))),$G$10*$G$11*BW77*(EXP(-($G$10*(BV77+0.8)))),$G$10*$G$11*BW77*(EXP(-($G$10*(BV77+0.9)))))/10</f>
        <v>549892.93260381185</v>
      </c>
      <c r="BY77" s="2">
        <v>31</v>
      </c>
      <c r="BZ77" s="57">
        <f t="shared" si="49"/>
        <v>527417</v>
      </c>
      <c r="CA77" s="62">
        <f t="shared" si="50"/>
        <v>599653.42734047014</v>
      </c>
      <c r="CB77" s="2">
        <v>30</v>
      </c>
      <c r="CC77" s="57">
        <f t="shared" si="51"/>
        <v>552592</v>
      </c>
      <c r="CD77" s="62">
        <f t="shared" si="52"/>
        <v>653916.91074662004</v>
      </c>
      <c r="CE77" s="2">
        <v>29</v>
      </c>
      <c r="CF77" s="57">
        <f t="shared" si="53"/>
        <v>578968</v>
      </c>
      <c r="CG77" s="62">
        <f t="shared" si="54"/>
        <v>713089.94931111741</v>
      </c>
      <c r="CH77" s="2">
        <v>28</v>
      </c>
      <c r="CI77" s="57">
        <f t="shared" si="55"/>
        <v>606603</v>
      </c>
      <c r="CJ77" s="62">
        <f t="shared" si="56"/>
        <v>777617.61122633785</v>
      </c>
      <c r="CK77" s="2">
        <v>27</v>
      </c>
      <c r="CL77" s="57">
        <f t="shared" si="57"/>
        <v>635558</v>
      </c>
      <c r="CM77" s="62">
        <f t="shared" si="58"/>
        <v>847985.64994596376</v>
      </c>
      <c r="CN77" s="2">
        <v>26</v>
      </c>
      <c r="CO77" s="57">
        <f t="shared" si="59"/>
        <v>665894</v>
      </c>
      <c r="CP77" s="62">
        <f t="shared" si="60"/>
        <v>924719.8797486499</v>
      </c>
      <c r="CQ77" s="2">
        <v>25</v>
      </c>
      <c r="CR77" s="57">
        <f t="shared" si="61"/>
        <v>697679</v>
      </c>
      <c r="CS77" s="62">
        <f t="shared" si="62"/>
        <v>1008399.2704361593</v>
      </c>
      <c r="CT77" s="2">
        <v>24</v>
      </c>
      <c r="CU77" s="57">
        <f t="shared" si="63"/>
        <v>730980</v>
      </c>
      <c r="CV77" s="62">
        <f t="shared" si="64"/>
        <v>1099649.157105159</v>
      </c>
      <c r="CW77" s="2">
        <v>23</v>
      </c>
      <c r="CX77" s="57">
        <f t="shared" si="65"/>
        <v>765871</v>
      </c>
      <c r="CY77" s="62">
        <f t="shared" si="66"/>
        <v>1199157.0234693654</v>
      </c>
      <c r="CZ77" s="2">
        <v>22</v>
      </c>
      <c r="DA77" s="57">
        <f t="shared" si="67"/>
        <v>0</v>
      </c>
      <c r="DB77" s="62">
        <f t="shared" si="68"/>
        <v>0</v>
      </c>
      <c r="DC77" s="2">
        <v>21</v>
      </c>
      <c r="DD77" s="57">
        <f t="shared" si="71"/>
        <v>0</v>
      </c>
      <c r="DE77" s="62">
        <f t="shared" si="72"/>
        <v>0</v>
      </c>
      <c r="DF77" s="2">
        <v>20</v>
      </c>
      <c r="DG77" s="57">
        <f t="shared" si="75"/>
        <v>0</v>
      </c>
      <c r="DH77" s="62">
        <f t="shared" si="76"/>
        <v>0</v>
      </c>
      <c r="DI77" s="2">
        <v>19</v>
      </c>
      <c r="DJ77" s="57">
        <f t="shared" si="79"/>
        <v>0</v>
      </c>
      <c r="DK77" s="62">
        <f t="shared" si="80"/>
        <v>0</v>
      </c>
      <c r="DL77" s="2">
        <v>18</v>
      </c>
      <c r="DM77" s="57">
        <f t="shared" si="83"/>
        <v>0</v>
      </c>
      <c r="DN77" s="62">
        <f t="shared" si="84"/>
        <v>0</v>
      </c>
      <c r="DO77" s="2">
        <v>17</v>
      </c>
      <c r="DP77" s="57">
        <f t="shared" si="87"/>
        <v>0</v>
      </c>
      <c r="DQ77" s="62">
        <f t="shared" si="88"/>
        <v>0</v>
      </c>
      <c r="DR77" s="2">
        <v>16</v>
      </c>
      <c r="DS77" s="57">
        <f t="shared" si="91"/>
        <v>0</v>
      </c>
      <c r="DT77" s="62">
        <f t="shared" si="92"/>
        <v>0</v>
      </c>
      <c r="DU77" s="2">
        <v>15</v>
      </c>
      <c r="DV77" s="57">
        <f t="shared" si="95"/>
        <v>0</v>
      </c>
      <c r="DW77" s="62">
        <f t="shared" si="96"/>
        <v>0</v>
      </c>
      <c r="DX77" s="2">
        <v>14</v>
      </c>
      <c r="DY77" s="57">
        <f t="shared" si="102"/>
        <v>0</v>
      </c>
      <c r="DZ77" s="62">
        <f t="shared" si="103"/>
        <v>0</v>
      </c>
      <c r="EA77" s="2">
        <v>13</v>
      </c>
      <c r="EB77" s="57">
        <f t="shared" si="109"/>
        <v>0</v>
      </c>
      <c r="EC77" s="62">
        <f t="shared" si="106"/>
        <v>0</v>
      </c>
      <c r="ED77" s="2">
        <v>12</v>
      </c>
      <c r="EE77" s="57">
        <f t="shared" si="113"/>
        <v>0</v>
      </c>
      <c r="EF77" s="62">
        <f t="shared" si="110"/>
        <v>0</v>
      </c>
      <c r="EG77" s="2">
        <v>11</v>
      </c>
      <c r="EH77" s="57">
        <f t="shared" si="117"/>
        <v>0</v>
      </c>
      <c r="EI77" s="62">
        <f t="shared" si="114"/>
        <v>0</v>
      </c>
      <c r="EJ77" s="2">
        <v>10</v>
      </c>
      <c r="EK77" s="57">
        <f t="shared" si="121"/>
        <v>0</v>
      </c>
      <c r="EL77" s="62">
        <f t="shared" si="118"/>
        <v>0</v>
      </c>
      <c r="EM77" s="2">
        <v>9</v>
      </c>
      <c r="EN77" s="57">
        <f t="shared" si="125"/>
        <v>0</v>
      </c>
      <c r="EO77" s="62">
        <f t="shared" si="122"/>
        <v>0</v>
      </c>
      <c r="EP77" s="2">
        <v>8</v>
      </c>
      <c r="EQ77" s="57">
        <f t="shared" si="129"/>
        <v>0</v>
      </c>
      <c r="ER77" s="62">
        <f t="shared" si="126"/>
        <v>0</v>
      </c>
      <c r="ES77" s="2">
        <v>7</v>
      </c>
      <c r="ET77" s="57">
        <f t="shared" si="130"/>
        <v>0</v>
      </c>
      <c r="EU77" s="62">
        <f t="shared" si="131"/>
        <v>0</v>
      </c>
      <c r="EV77" s="2">
        <v>6</v>
      </c>
      <c r="EW77" s="57">
        <f t="shared" si="134"/>
        <v>0</v>
      </c>
      <c r="EX77" s="62">
        <f t="shared" si="135"/>
        <v>0</v>
      </c>
      <c r="EY77" s="2">
        <v>5</v>
      </c>
      <c r="EZ77" s="57">
        <f t="shared" si="141"/>
        <v>0</v>
      </c>
      <c r="FA77" s="62">
        <f t="shared" si="138"/>
        <v>0</v>
      </c>
      <c r="FB77" s="2">
        <v>4</v>
      </c>
      <c r="FC77" s="57">
        <f t="shared" si="142"/>
        <v>0</v>
      </c>
      <c r="FD77" s="62">
        <f t="shared" si="143"/>
        <v>0</v>
      </c>
      <c r="FE77" s="2">
        <v>3</v>
      </c>
      <c r="FF77" s="57">
        <f t="shared" si="149"/>
        <v>0</v>
      </c>
      <c r="FG77" s="62">
        <f t="shared" si="146"/>
        <v>0</v>
      </c>
      <c r="FH77" s="2">
        <v>2</v>
      </c>
      <c r="FI77" s="57">
        <f t="shared" si="150"/>
        <v>0</v>
      </c>
      <c r="FJ77" s="62">
        <f t="shared" si="151"/>
        <v>0</v>
      </c>
      <c r="FK77" s="2">
        <v>1</v>
      </c>
      <c r="FL77" s="57">
        <f t="shared" ref="FL77:FL140" si="157">$E$75</f>
        <v>0</v>
      </c>
      <c r="FM77" s="62">
        <f t="shared" si="154"/>
        <v>0</v>
      </c>
      <c r="FN77" s="2">
        <v>0</v>
      </c>
      <c r="FO77" s="57">
        <f t="shared" ref="FO77:FO141" si="158">$E$76</f>
        <v>0</v>
      </c>
      <c r="FP77" s="62">
        <f t="shared" ref="FP77:FP108" si="159">SUM($G$10*$G$11*FO77*(EXP(-($G$10*FN77))),$G$10*$G$11*FO77*(EXP(-($G$10*(FN77+0.1)))),$G$10*$G$11*FO77*(EXP(-($G$10*(FN77+0.2)))),$G$10*$G$11*FO77*(EXP(-($G$10*(FN77+0.3)))),$G$10*$G$11*FO77*(EXP(-($G$10*(FN77+0.4)))),$G$10*$G$11*FO77*(EXP(-($G$10*(FN77+0.5)))),$G$10*$G$11*FO77*(EXP(-($G$10*(FN77+0.6)))),$G$10*$G$11*FO77*(EXP(-($G$10*(FN77+0.7)))),$G$10*$G$11*FO77*(EXP(-($G$10*(FN77+0.8)))),$G$10*$G$11*FO77*(EXP(-($G$10*(FN77+0.9)))))/10</f>
        <v>0</v>
      </c>
      <c r="FQ77" s="2"/>
      <c r="FR77" s="2"/>
      <c r="FS77" s="2"/>
      <c r="FT77" s="2"/>
      <c r="FU77" s="2"/>
      <c r="FV77" s="2"/>
      <c r="FW77" s="2"/>
      <c r="FX77" s="2"/>
      <c r="FY77" s="2"/>
      <c r="FZ77" s="2"/>
      <c r="GA77" s="2"/>
      <c r="GB77" s="2"/>
      <c r="GC77" s="2"/>
      <c r="GD77" s="2"/>
      <c r="GE77" s="2"/>
      <c r="GF77" s="2"/>
      <c r="GG77" s="2"/>
      <c r="GH77" s="2"/>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row>
    <row r="78" spans="2:250">
      <c r="B78" s="56">
        <f>'USER INPUTS'!J63</f>
        <v>2073</v>
      </c>
      <c r="C78" s="420">
        <f>IF(OR(AND(ClosureCalcYes=TRUE,WasteCapacity=""),AND(ClosureCalcYes=FALSE,ClosureYear="")),0,IF('USER INPUTS'!K63&gt;0,IF('USER INPUTS'!$K$4="Mg/year",'USER INPUTS'!K63,'USER INPUTS'!L63),0))</f>
        <v>0</v>
      </c>
      <c r="D78" s="420">
        <f t="shared" si="97"/>
        <v>12946986</v>
      </c>
      <c r="E78" s="420">
        <f>IF(ClosureCalcYes=FALSE,IF(AND(B78&lt;ClosureYear,C78=0,SUM(C78:$C$102)=0),$D$13,IF(B78&lt;=ClosureYear,C78,0)),IF(B78=$D$16,($D$14-F78),IF(B78&lt;$D$16,IF(SUM(C78:$C$102)=0,$D$13,C78),0)))</f>
        <v>0</v>
      </c>
      <c r="F78" s="66">
        <f t="shared" si="98"/>
        <v>12946986</v>
      </c>
      <c r="G78" s="284">
        <f>IF(SUM(C79:$C$101)=0,C78,0)</f>
        <v>0</v>
      </c>
      <c r="H78" s="284">
        <f t="shared" si="99"/>
        <v>0</v>
      </c>
      <c r="I78" s="2">
        <f t="shared" si="8"/>
        <v>2073</v>
      </c>
      <c r="J78" s="379">
        <f t="shared" si="1"/>
        <v>12981869.572573397</v>
      </c>
      <c r="K78" s="2">
        <v>54</v>
      </c>
      <c r="L78" s="57">
        <f t="shared" si="69"/>
        <v>189082</v>
      </c>
      <c r="M78" s="62">
        <f t="shared" si="70"/>
        <v>85673.293017411866</v>
      </c>
      <c r="N78" s="2">
        <v>53</v>
      </c>
      <c r="O78" s="57">
        <f t="shared" si="73"/>
        <v>293489</v>
      </c>
      <c r="P78" s="62">
        <f t="shared" si="74"/>
        <v>138407.26299464496</v>
      </c>
      <c r="Q78" s="2">
        <v>52</v>
      </c>
      <c r="R78" s="57">
        <f t="shared" si="77"/>
        <v>283523</v>
      </c>
      <c r="S78" s="62">
        <f t="shared" si="78"/>
        <v>139164.07168247498</v>
      </c>
      <c r="T78" s="2">
        <v>51</v>
      </c>
      <c r="U78" s="57">
        <f t="shared" si="81"/>
        <v>143321</v>
      </c>
      <c r="V78" s="62">
        <f t="shared" si="82"/>
        <v>73218.434744808284</v>
      </c>
      <c r="W78" s="2">
        <v>50</v>
      </c>
      <c r="X78" s="57">
        <f t="shared" si="85"/>
        <v>227851</v>
      </c>
      <c r="Y78" s="62">
        <f t="shared" si="86"/>
        <v>121152.76461653132</v>
      </c>
      <c r="Z78" s="2">
        <v>49</v>
      </c>
      <c r="AA78" s="57">
        <f t="shared" si="89"/>
        <v>238727</v>
      </c>
      <c r="AB78" s="62">
        <f t="shared" si="90"/>
        <v>132116.0892200438</v>
      </c>
      <c r="AC78" s="63">
        <v>48</v>
      </c>
      <c r="AD78" s="57">
        <f t="shared" si="93"/>
        <v>250122</v>
      </c>
      <c r="AE78" s="62">
        <f t="shared" si="94"/>
        <v>144071.42147175159</v>
      </c>
      <c r="AF78" s="63">
        <v>47</v>
      </c>
      <c r="AG78" s="57">
        <f t="shared" si="100"/>
        <v>262060</v>
      </c>
      <c r="AH78" s="62">
        <f t="shared" si="101"/>
        <v>157108.05945965694</v>
      </c>
      <c r="AI78" s="63">
        <v>46</v>
      </c>
      <c r="AJ78" s="57">
        <f t="shared" si="104"/>
        <v>274569</v>
      </c>
      <c r="AK78" s="62">
        <f t="shared" si="105"/>
        <v>171325.10592031939</v>
      </c>
      <c r="AL78" s="2">
        <v>45</v>
      </c>
      <c r="AM78" s="57">
        <f t="shared" si="107"/>
        <v>287675</v>
      </c>
      <c r="AN78" s="62">
        <f t="shared" si="108"/>
        <v>186828.62091363251</v>
      </c>
      <c r="AO78" s="2">
        <v>44</v>
      </c>
      <c r="AP78" s="57">
        <f t="shared" si="111"/>
        <v>301406</v>
      </c>
      <c r="AQ78" s="62">
        <f t="shared" si="112"/>
        <v>203734.67882150979</v>
      </c>
      <c r="AR78" s="2">
        <v>43</v>
      </c>
      <c r="AS78" s="57">
        <f t="shared" si="115"/>
        <v>315793</v>
      </c>
      <c r="AT78" s="62">
        <f t="shared" si="116"/>
        <v>222170.98672362341</v>
      </c>
      <c r="AU78" s="2">
        <v>42</v>
      </c>
      <c r="AV78" s="57">
        <f t="shared" si="119"/>
        <v>330866</v>
      </c>
      <c r="AW78" s="62">
        <f t="shared" si="120"/>
        <v>242275.09089756649</v>
      </c>
      <c r="AX78" s="2">
        <v>41</v>
      </c>
      <c r="AY78" s="57">
        <f t="shared" si="123"/>
        <v>346659</v>
      </c>
      <c r="AZ78" s="62">
        <f t="shared" si="124"/>
        <v>264198.82589279779</v>
      </c>
      <c r="BA78" s="2">
        <v>40</v>
      </c>
      <c r="BB78" s="57">
        <f t="shared" si="127"/>
        <v>363206</v>
      </c>
      <c r="BC78" s="62">
        <f t="shared" si="128"/>
        <v>288106.59311576607</v>
      </c>
      <c r="BD78" s="2">
        <v>39</v>
      </c>
      <c r="BE78" s="57">
        <f t="shared" si="132"/>
        <v>380542</v>
      </c>
      <c r="BF78" s="62">
        <f t="shared" si="133"/>
        <v>314177.12289318687</v>
      </c>
      <c r="BG78" s="2">
        <v>38</v>
      </c>
      <c r="BH78" s="57">
        <f t="shared" si="136"/>
        <v>398706</v>
      </c>
      <c r="BI78" s="62">
        <f t="shared" si="137"/>
        <v>342607.2212358673</v>
      </c>
      <c r="BJ78" s="2">
        <v>37</v>
      </c>
      <c r="BK78" s="57">
        <f t="shared" si="139"/>
        <v>417737</v>
      </c>
      <c r="BL78" s="62">
        <f t="shared" si="140"/>
        <v>373609.9759172065</v>
      </c>
      <c r="BM78" s="2">
        <v>36</v>
      </c>
      <c r="BN78" s="57">
        <f t="shared" si="144"/>
        <v>437677</v>
      </c>
      <c r="BO78" s="62">
        <f t="shared" si="145"/>
        <v>407418.76195475867</v>
      </c>
      <c r="BP78" s="2">
        <v>35</v>
      </c>
      <c r="BQ78" s="57">
        <f t="shared" si="147"/>
        <v>458568</v>
      </c>
      <c r="BR78" s="62">
        <f t="shared" si="148"/>
        <v>444286.2005648833</v>
      </c>
      <c r="BS78" s="2">
        <v>34</v>
      </c>
      <c r="BT78" s="57">
        <f t="shared" si="152"/>
        <v>480456</v>
      </c>
      <c r="BU78" s="62">
        <f t="shared" si="153"/>
        <v>484489.62301155075</v>
      </c>
      <c r="BV78" s="2">
        <v>33</v>
      </c>
      <c r="BW78" s="57">
        <f t="shared" si="155"/>
        <v>503389</v>
      </c>
      <c r="BX78" s="62">
        <f t="shared" si="156"/>
        <v>528331.32231024257</v>
      </c>
      <c r="BY78" s="2">
        <v>32</v>
      </c>
      <c r="BZ78" s="57">
        <f t="shared" ref="BZ78:BZ109" si="160">$E$45</f>
        <v>527417</v>
      </c>
      <c r="CA78" s="62">
        <f t="shared" ref="CA78:CA109" si="161">SUM($G$10*$G$11*BZ78*(EXP(-($G$10*BY78))),$G$10*$G$11*BZ78*(EXP(-($G$10*(BY78+0.1)))),$G$10*$G$11*BZ78*(EXP(-($G$10*(BY78+0.2)))),$G$10*$G$11*BZ78*(EXP(-($G$10*(BY78+0.3)))),$G$10*$G$11*BZ78*(EXP(-($G$10*(BY78+0.4)))),$G$10*$G$11*BZ78*(EXP(-($G$10*(BY78+0.5)))),$G$10*$G$11*BZ78*(EXP(-($G$10*(BY78+0.6)))),$G$10*$G$11*BZ78*(EXP(-($G$10*(BY78+0.7)))),$G$10*$G$11*BZ78*(EXP(-($G$10*(BY78+0.8)))),$G$10*$G$11*BZ78*(EXP(-($G$10*(BY78+0.9)))))/10</f>
        <v>576140.68014021881</v>
      </c>
      <c r="CB78" s="2">
        <v>31</v>
      </c>
      <c r="CC78" s="57">
        <f t="shared" si="51"/>
        <v>552592</v>
      </c>
      <c r="CD78" s="62">
        <f t="shared" si="52"/>
        <v>628276.46192846471</v>
      </c>
      <c r="CE78" s="2">
        <v>30</v>
      </c>
      <c r="CF78" s="57">
        <f t="shared" si="53"/>
        <v>578968</v>
      </c>
      <c r="CG78" s="62">
        <f t="shared" si="54"/>
        <v>685129.29246378713</v>
      </c>
      <c r="CH78" s="2">
        <v>29</v>
      </c>
      <c r="CI78" s="57">
        <f t="shared" si="55"/>
        <v>606603</v>
      </c>
      <c r="CJ78" s="62">
        <f t="shared" si="56"/>
        <v>747126.78856512241</v>
      </c>
      <c r="CK78" s="2">
        <v>28</v>
      </c>
      <c r="CL78" s="57">
        <f t="shared" si="57"/>
        <v>635558</v>
      </c>
      <c r="CM78" s="62">
        <f t="shared" si="58"/>
        <v>814735.65702080075</v>
      </c>
      <c r="CN78" s="2">
        <v>27</v>
      </c>
      <c r="CO78" s="57">
        <f t="shared" si="59"/>
        <v>665894</v>
      </c>
      <c r="CP78" s="62">
        <f t="shared" si="60"/>
        <v>888461.09463670908</v>
      </c>
      <c r="CQ78" s="2">
        <v>26</v>
      </c>
      <c r="CR78" s="57">
        <f t="shared" si="61"/>
        <v>697679</v>
      </c>
      <c r="CS78" s="62">
        <f t="shared" si="62"/>
        <v>968859.36948396917</v>
      </c>
      <c r="CT78" s="2">
        <v>25</v>
      </c>
      <c r="CU78" s="57">
        <f t="shared" si="63"/>
        <v>730980</v>
      </c>
      <c r="CV78" s="62">
        <f t="shared" si="64"/>
        <v>1056531.296919391</v>
      </c>
      <c r="CW78" s="2">
        <v>24</v>
      </c>
      <c r="CX78" s="57">
        <f t="shared" si="65"/>
        <v>765871</v>
      </c>
      <c r="CY78" s="62">
        <f t="shared" si="66"/>
        <v>1152137.4040347007</v>
      </c>
      <c r="CZ78" s="2">
        <v>23</v>
      </c>
      <c r="DA78" s="57">
        <f t="shared" si="67"/>
        <v>0</v>
      </c>
      <c r="DB78" s="62">
        <f t="shared" si="68"/>
        <v>0</v>
      </c>
      <c r="DC78" s="2">
        <v>22</v>
      </c>
      <c r="DD78" s="57">
        <f t="shared" si="71"/>
        <v>0</v>
      </c>
      <c r="DE78" s="62">
        <f t="shared" si="72"/>
        <v>0</v>
      </c>
      <c r="DF78" s="2">
        <v>21</v>
      </c>
      <c r="DG78" s="57">
        <f t="shared" si="75"/>
        <v>0</v>
      </c>
      <c r="DH78" s="62">
        <f t="shared" si="76"/>
        <v>0</v>
      </c>
      <c r="DI78" s="2">
        <v>20</v>
      </c>
      <c r="DJ78" s="57">
        <f t="shared" si="79"/>
        <v>0</v>
      </c>
      <c r="DK78" s="62">
        <f t="shared" si="80"/>
        <v>0</v>
      </c>
      <c r="DL78" s="2">
        <v>19</v>
      </c>
      <c r="DM78" s="57">
        <f t="shared" si="83"/>
        <v>0</v>
      </c>
      <c r="DN78" s="62">
        <f t="shared" si="84"/>
        <v>0</v>
      </c>
      <c r="DO78" s="2">
        <v>18</v>
      </c>
      <c r="DP78" s="57">
        <f t="shared" si="87"/>
        <v>0</v>
      </c>
      <c r="DQ78" s="62">
        <f t="shared" si="88"/>
        <v>0</v>
      </c>
      <c r="DR78" s="2">
        <v>17</v>
      </c>
      <c r="DS78" s="57">
        <f t="shared" si="91"/>
        <v>0</v>
      </c>
      <c r="DT78" s="62">
        <f t="shared" si="92"/>
        <v>0</v>
      </c>
      <c r="DU78" s="2">
        <v>16</v>
      </c>
      <c r="DV78" s="57">
        <f t="shared" si="95"/>
        <v>0</v>
      </c>
      <c r="DW78" s="62">
        <f t="shared" si="96"/>
        <v>0</v>
      </c>
      <c r="DX78" s="2">
        <v>15</v>
      </c>
      <c r="DY78" s="57">
        <f t="shared" si="102"/>
        <v>0</v>
      </c>
      <c r="DZ78" s="62">
        <f t="shared" si="103"/>
        <v>0</v>
      </c>
      <c r="EA78" s="2">
        <v>14</v>
      </c>
      <c r="EB78" s="57">
        <f t="shared" si="109"/>
        <v>0</v>
      </c>
      <c r="EC78" s="62">
        <f t="shared" si="106"/>
        <v>0</v>
      </c>
      <c r="ED78" s="2">
        <v>13</v>
      </c>
      <c r="EE78" s="57">
        <f t="shared" si="113"/>
        <v>0</v>
      </c>
      <c r="EF78" s="62">
        <f t="shared" si="110"/>
        <v>0</v>
      </c>
      <c r="EG78" s="2">
        <v>12</v>
      </c>
      <c r="EH78" s="57">
        <f t="shared" si="117"/>
        <v>0</v>
      </c>
      <c r="EI78" s="62">
        <f t="shared" si="114"/>
        <v>0</v>
      </c>
      <c r="EJ78" s="2">
        <v>11</v>
      </c>
      <c r="EK78" s="57">
        <f t="shared" si="121"/>
        <v>0</v>
      </c>
      <c r="EL78" s="62">
        <f t="shared" si="118"/>
        <v>0</v>
      </c>
      <c r="EM78" s="2">
        <v>10</v>
      </c>
      <c r="EN78" s="57">
        <f t="shared" si="125"/>
        <v>0</v>
      </c>
      <c r="EO78" s="62">
        <f t="shared" si="122"/>
        <v>0</v>
      </c>
      <c r="EP78" s="2">
        <v>9</v>
      </c>
      <c r="EQ78" s="57">
        <f t="shared" si="129"/>
        <v>0</v>
      </c>
      <c r="ER78" s="62">
        <f t="shared" si="126"/>
        <v>0</v>
      </c>
      <c r="ES78" s="2">
        <v>8</v>
      </c>
      <c r="ET78" s="57">
        <f t="shared" si="130"/>
        <v>0</v>
      </c>
      <c r="EU78" s="62">
        <f t="shared" si="131"/>
        <v>0</v>
      </c>
      <c r="EV78" s="2">
        <v>7</v>
      </c>
      <c r="EW78" s="57">
        <f t="shared" si="134"/>
        <v>0</v>
      </c>
      <c r="EX78" s="62">
        <f t="shared" si="135"/>
        <v>0</v>
      </c>
      <c r="EY78" s="2">
        <v>6</v>
      </c>
      <c r="EZ78" s="57">
        <f t="shared" si="141"/>
        <v>0</v>
      </c>
      <c r="FA78" s="62">
        <f t="shared" si="138"/>
        <v>0</v>
      </c>
      <c r="FB78" s="2">
        <v>5</v>
      </c>
      <c r="FC78" s="57">
        <f t="shared" si="142"/>
        <v>0</v>
      </c>
      <c r="FD78" s="62">
        <f t="shared" si="143"/>
        <v>0</v>
      </c>
      <c r="FE78" s="2">
        <v>4</v>
      </c>
      <c r="FF78" s="57">
        <f t="shared" si="149"/>
        <v>0</v>
      </c>
      <c r="FG78" s="62">
        <f t="shared" si="146"/>
        <v>0</v>
      </c>
      <c r="FH78" s="2">
        <v>3</v>
      </c>
      <c r="FI78" s="57">
        <f t="shared" si="150"/>
        <v>0</v>
      </c>
      <c r="FJ78" s="62">
        <f t="shared" si="151"/>
        <v>0</v>
      </c>
      <c r="FK78" s="2">
        <v>2</v>
      </c>
      <c r="FL78" s="57">
        <f t="shared" si="157"/>
        <v>0</v>
      </c>
      <c r="FM78" s="62">
        <f t="shared" si="154"/>
        <v>0</v>
      </c>
      <c r="FN78" s="2">
        <v>1</v>
      </c>
      <c r="FO78" s="57">
        <f t="shared" si="158"/>
        <v>0</v>
      </c>
      <c r="FP78" s="62">
        <f t="shared" si="159"/>
        <v>0</v>
      </c>
      <c r="FQ78" s="2">
        <v>0</v>
      </c>
      <c r="FR78" s="57">
        <f>$E$77</f>
        <v>0</v>
      </c>
      <c r="FS78" s="62">
        <f t="shared" ref="FS78:FS109" si="162">SUM($G$10*$G$11*FR78*(EXP(-($G$10*FQ78))),$G$10*$G$11*FR78*(EXP(-($G$10*(FQ78+0.1)))),$G$10*$G$11*FR78*(EXP(-($G$10*(FQ78+0.2)))),$G$10*$G$11*FR78*(EXP(-($G$10*(FQ78+0.3)))),$G$10*$G$11*FR78*(EXP(-($G$10*(FQ78+0.4)))),$G$10*$G$11*FR78*(EXP(-($G$10*(FQ78+0.5)))),$G$10*$G$11*FR78*(EXP(-($G$10*(FQ78+0.6)))),$G$10*$G$11*FR78*(EXP(-($G$10*(FQ78+0.7)))),$G$10*$G$11*FR78*(EXP(-($G$10*(FQ78+0.8)))),$G$10*$G$11*FR78*(EXP(-($G$10*(FQ78+0.9)))))/10</f>
        <v>0</v>
      </c>
      <c r="FT78" s="2"/>
      <c r="FU78" s="2"/>
      <c r="FV78" s="2"/>
      <c r="FW78" s="2"/>
      <c r="FX78" s="2"/>
      <c r="FY78" s="2"/>
      <c r="FZ78" s="2"/>
      <c r="GA78" s="2"/>
      <c r="GB78" s="2"/>
      <c r="GC78" s="2"/>
      <c r="GD78" s="2"/>
      <c r="GE78" s="2"/>
      <c r="GF78" s="2"/>
      <c r="GG78" s="2"/>
      <c r="GH78" s="2"/>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row>
    <row r="79" spans="2:250">
      <c r="B79" s="56">
        <f>'USER INPUTS'!J64</f>
        <v>2074</v>
      </c>
      <c r="C79" s="420">
        <f>IF(OR(AND(ClosureCalcYes=TRUE,WasteCapacity=""),AND(ClosureCalcYes=FALSE,ClosureYear="")),0,IF('USER INPUTS'!K64&gt;0,IF('USER INPUTS'!$K$4="Mg/year",'USER INPUTS'!K64,'USER INPUTS'!L64),0))</f>
        <v>0</v>
      </c>
      <c r="D79" s="420">
        <f t="shared" si="97"/>
        <v>12946986</v>
      </c>
      <c r="E79" s="420">
        <f>IF(ClosureCalcYes=FALSE,IF(AND(B79&lt;ClosureYear,C79=0,SUM(C79:$C$102)=0),$D$13,IF(B79&lt;=ClosureYear,C79,0)),IF(B79=$D$16,($D$14-F79),IF(B79&lt;$D$16,IF(SUM(C79:$C$102)=0,$D$13,C79),0)))</f>
        <v>0</v>
      </c>
      <c r="F79" s="66">
        <f t="shared" si="98"/>
        <v>12946986</v>
      </c>
      <c r="G79" s="284">
        <f>IF(SUM(C80:$C$101)=0,C79,0)</f>
        <v>0</v>
      </c>
      <c r="H79" s="284">
        <f t="shared" si="99"/>
        <v>0</v>
      </c>
      <c r="I79" s="2">
        <f t="shared" si="8"/>
        <v>2074</v>
      </c>
      <c r="J79" s="379">
        <f t="shared" si="1"/>
        <v>12472843.185781406</v>
      </c>
      <c r="K79" s="2">
        <v>55</v>
      </c>
      <c r="L79" s="57">
        <f t="shared" si="69"/>
        <v>189082</v>
      </c>
      <c r="M79" s="62">
        <f t="shared" si="70"/>
        <v>82313.995148531787</v>
      </c>
      <c r="N79" s="2">
        <v>54</v>
      </c>
      <c r="O79" s="57">
        <f t="shared" si="73"/>
        <v>293489</v>
      </c>
      <c r="P79" s="62">
        <f t="shared" si="74"/>
        <v>132980.23658723297</v>
      </c>
      <c r="Q79" s="2">
        <v>53</v>
      </c>
      <c r="R79" s="57">
        <f t="shared" si="77"/>
        <v>283523</v>
      </c>
      <c r="S79" s="62">
        <f t="shared" si="78"/>
        <v>133707.37038195884</v>
      </c>
      <c r="T79" s="2">
        <v>52</v>
      </c>
      <c r="U79" s="57">
        <f t="shared" si="81"/>
        <v>143321</v>
      </c>
      <c r="V79" s="62">
        <f t="shared" si="82"/>
        <v>70347.498854075326</v>
      </c>
      <c r="W79" s="2">
        <v>51</v>
      </c>
      <c r="X79" s="57">
        <f t="shared" si="85"/>
        <v>227851</v>
      </c>
      <c r="Y79" s="62">
        <f t="shared" si="86"/>
        <v>116402.29676767054</v>
      </c>
      <c r="Z79" s="2">
        <v>50</v>
      </c>
      <c r="AA79" s="57">
        <f t="shared" si="89"/>
        <v>238727</v>
      </c>
      <c r="AB79" s="62">
        <f t="shared" si="90"/>
        <v>126935.74326472419</v>
      </c>
      <c r="AC79" s="2">
        <v>49</v>
      </c>
      <c r="AD79" s="57">
        <f t="shared" si="93"/>
        <v>250122</v>
      </c>
      <c r="AE79" s="62">
        <f t="shared" si="94"/>
        <v>138422.3002337222</v>
      </c>
      <c r="AF79" s="63">
        <v>48</v>
      </c>
      <c r="AG79" s="57">
        <f t="shared" si="100"/>
        <v>262060</v>
      </c>
      <c r="AH79" s="62">
        <f t="shared" si="101"/>
        <v>150947.76433455362</v>
      </c>
      <c r="AI79" s="63">
        <v>47</v>
      </c>
      <c r="AJ79" s="57">
        <f t="shared" si="104"/>
        <v>274569</v>
      </c>
      <c r="AK79" s="62">
        <f t="shared" si="105"/>
        <v>164607.35242989598</v>
      </c>
      <c r="AL79" s="63">
        <v>46</v>
      </c>
      <c r="AM79" s="57">
        <f t="shared" si="107"/>
        <v>287675</v>
      </c>
      <c r="AN79" s="62">
        <f t="shared" si="108"/>
        <v>179502.96590521096</v>
      </c>
      <c r="AO79" s="2">
        <v>45</v>
      </c>
      <c r="AP79" s="57">
        <f t="shared" si="111"/>
        <v>301406</v>
      </c>
      <c r="AQ79" s="62">
        <f t="shared" si="112"/>
        <v>195746.12780079714</v>
      </c>
      <c r="AR79" s="2">
        <v>44</v>
      </c>
      <c r="AS79" s="57">
        <f t="shared" si="115"/>
        <v>315793</v>
      </c>
      <c r="AT79" s="62">
        <f t="shared" si="116"/>
        <v>213459.53773010839</v>
      </c>
      <c r="AU79" s="2">
        <v>43</v>
      </c>
      <c r="AV79" s="57">
        <f t="shared" si="119"/>
        <v>330866</v>
      </c>
      <c r="AW79" s="62">
        <f t="shared" si="120"/>
        <v>232775.34870405099</v>
      </c>
      <c r="AX79" s="2">
        <v>42</v>
      </c>
      <c r="AY79" s="57">
        <f t="shared" si="123"/>
        <v>346659</v>
      </c>
      <c r="AZ79" s="62">
        <f t="shared" si="124"/>
        <v>253839.44175424339</v>
      </c>
      <c r="BA79" s="2">
        <v>41</v>
      </c>
      <c r="BB79" s="57">
        <f t="shared" si="127"/>
        <v>363206</v>
      </c>
      <c r="BC79" s="62">
        <f t="shared" si="128"/>
        <v>276809.77201578347</v>
      </c>
      <c r="BD79" s="2">
        <v>40</v>
      </c>
      <c r="BE79" s="57">
        <f t="shared" si="132"/>
        <v>380542</v>
      </c>
      <c r="BF79" s="62">
        <f t="shared" si="133"/>
        <v>301858.06169903546</v>
      </c>
      <c r="BG79" s="2">
        <v>39</v>
      </c>
      <c r="BH79" s="57">
        <f t="shared" si="136"/>
        <v>398706</v>
      </c>
      <c r="BI79" s="62">
        <f t="shared" si="137"/>
        <v>329173.3999407448</v>
      </c>
      <c r="BJ79" s="2">
        <v>38</v>
      </c>
      <c r="BK79" s="57">
        <f t="shared" si="139"/>
        <v>417737</v>
      </c>
      <c r="BL79" s="62">
        <f t="shared" si="140"/>
        <v>358960.51922320586</v>
      </c>
      <c r="BM79" s="2">
        <v>37</v>
      </c>
      <c r="BN79" s="57">
        <f t="shared" si="144"/>
        <v>437677</v>
      </c>
      <c r="BO79" s="62">
        <f t="shared" si="145"/>
        <v>391443.6437986464</v>
      </c>
      <c r="BP79" s="2">
        <v>36</v>
      </c>
      <c r="BQ79" s="57">
        <f t="shared" si="147"/>
        <v>458568</v>
      </c>
      <c r="BR79" s="62">
        <f t="shared" si="148"/>
        <v>426865.48946385074</v>
      </c>
      <c r="BS79" s="2">
        <v>35</v>
      </c>
      <c r="BT79" s="57">
        <f t="shared" si="152"/>
        <v>480456</v>
      </c>
      <c r="BU79" s="62">
        <f t="shared" si="153"/>
        <v>465492.5131683884</v>
      </c>
      <c r="BV79" s="2">
        <v>34</v>
      </c>
      <c r="BW79" s="57">
        <f t="shared" si="155"/>
        <v>503389</v>
      </c>
      <c r="BX79" s="62">
        <f t="shared" si="156"/>
        <v>507615.15484906326</v>
      </c>
      <c r="BY79" s="2">
        <v>33</v>
      </c>
      <c r="BZ79" s="57">
        <f t="shared" si="160"/>
        <v>527417</v>
      </c>
      <c r="CA79" s="62">
        <f t="shared" si="161"/>
        <v>553549.88094475889</v>
      </c>
      <c r="CB79" s="2">
        <v>32</v>
      </c>
      <c r="CC79" s="57">
        <f t="shared" ref="CC79:CC110" si="163">$E$46</f>
        <v>552592</v>
      </c>
      <c r="CD79" s="62">
        <f t="shared" ref="CD79:CD110" si="164">SUM($G$10*$G$11*CC79*(EXP(-($G$10*CB79))),$G$10*$G$11*CC79*(EXP(-($G$10*(CB79+0.1)))),$G$10*$G$11*CC79*(EXP(-($G$10*(CB79+0.2)))),$G$10*$G$11*CC79*(EXP(-($G$10*(CB79+0.3)))),$G$10*$G$11*CC79*(EXP(-($G$10*(CB79+0.4)))),$G$10*$G$11*CC79*(EXP(-($G$10*(CB79+0.5)))),$G$10*$G$11*CC79*(EXP(-($G$10*(CB79+0.6)))),$G$10*$G$11*CC79*(EXP(-($G$10*(CB79+0.7)))),$G$10*$G$11*CC79*(EXP(-($G$10*(CB79+0.8)))),$G$10*$G$11*CC79*(EXP(-($G$10*(CB79+0.9)))))/10</f>
        <v>603641.38948885561</v>
      </c>
      <c r="CE79" s="2">
        <v>31</v>
      </c>
      <c r="CF79" s="57">
        <f t="shared" si="53"/>
        <v>578968</v>
      </c>
      <c r="CG79" s="62">
        <f t="shared" si="54"/>
        <v>658264.98865311011</v>
      </c>
      <c r="CH79" s="2">
        <v>30</v>
      </c>
      <c r="CI79" s="57">
        <f t="shared" si="55"/>
        <v>606603</v>
      </c>
      <c r="CJ79" s="62">
        <f t="shared" si="56"/>
        <v>717831.52816116042</v>
      </c>
      <c r="CK79" s="2">
        <v>29</v>
      </c>
      <c r="CL79" s="57">
        <f t="shared" si="57"/>
        <v>635558</v>
      </c>
      <c r="CM79" s="62">
        <f t="shared" si="58"/>
        <v>782789.41496641468</v>
      </c>
      <c r="CN79" s="2">
        <v>28</v>
      </c>
      <c r="CO79" s="57">
        <f t="shared" si="59"/>
        <v>665894</v>
      </c>
      <c r="CP79" s="62">
        <f t="shared" si="60"/>
        <v>853624.03682466282</v>
      </c>
      <c r="CQ79" s="2">
        <v>27</v>
      </c>
      <c r="CR79" s="57">
        <f t="shared" si="61"/>
        <v>697679</v>
      </c>
      <c r="CS79" s="62">
        <f t="shared" si="62"/>
        <v>930869.85022397642</v>
      </c>
      <c r="CT79" s="2">
        <v>26</v>
      </c>
      <c r="CU79" s="57">
        <f t="shared" si="63"/>
        <v>730980</v>
      </c>
      <c r="CV79" s="62">
        <f t="shared" si="64"/>
        <v>1015104.1122140581</v>
      </c>
      <c r="CW79" s="2">
        <v>25</v>
      </c>
      <c r="CX79" s="57">
        <f t="shared" si="65"/>
        <v>765871</v>
      </c>
      <c r="CY79" s="62">
        <f t="shared" si="66"/>
        <v>1106961.4502489134</v>
      </c>
      <c r="CZ79" s="2">
        <v>24</v>
      </c>
      <c r="DA79" s="57">
        <f t="shared" si="67"/>
        <v>0</v>
      </c>
      <c r="DB79" s="62">
        <f t="shared" si="68"/>
        <v>0</v>
      </c>
      <c r="DC79" s="2">
        <v>23</v>
      </c>
      <c r="DD79" s="57">
        <f t="shared" si="71"/>
        <v>0</v>
      </c>
      <c r="DE79" s="62">
        <f t="shared" si="72"/>
        <v>0</v>
      </c>
      <c r="DF79" s="2">
        <v>22</v>
      </c>
      <c r="DG79" s="57">
        <f t="shared" si="75"/>
        <v>0</v>
      </c>
      <c r="DH79" s="62">
        <f t="shared" si="76"/>
        <v>0</v>
      </c>
      <c r="DI79" s="2">
        <v>21</v>
      </c>
      <c r="DJ79" s="57">
        <f t="shared" si="79"/>
        <v>0</v>
      </c>
      <c r="DK79" s="62">
        <f t="shared" si="80"/>
        <v>0</v>
      </c>
      <c r="DL79" s="2">
        <v>20</v>
      </c>
      <c r="DM79" s="57">
        <f t="shared" si="83"/>
        <v>0</v>
      </c>
      <c r="DN79" s="62">
        <f t="shared" si="84"/>
        <v>0</v>
      </c>
      <c r="DO79" s="2">
        <v>19</v>
      </c>
      <c r="DP79" s="57">
        <f t="shared" si="87"/>
        <v>0</v>
      </c>
      <c r="DQ79" s="62">
        <f t="shared" si="88"/>
        <v>0</v>
      </c>
      <c r="DR79" s="2">
        <v>18</v>
      </c>
      <c r="DS79" s="57">
        <f t="shared" si="91"/>
        <v>0</v>
      </c>
      <c r="DT79" s="62">
        <f t="shared" si="92"/>
        <v>0</v>
      </c>
      <c r="DU79" s="2">
        <v>17</v>
      </c>
      <c r="DV79" s="57">
        <f t="shared" si="95"/>
        <v>0</v>
      </c>
      <c r="DW79" s="62">
        <f t="shared" si="96"/>
        <v>0</v>
      </c>
      <c r="DX79" s="2">
        <v>16</v>
      </c>
      <c r="DY79" s="57">
        <f t="shared" si="102"/>
        <v>0</v>
      </c>
      <c r="DZ79" s="62">
        <f t="shared" si="103"/>
        <v>0</v>
      </c>
      <c r="EA79" s="2">
        <v>15</v>
      </c>
      <c r="EB79" s="57">
        <f t="shared" si="109"/>
        <v>0</v>
      </c>
      <c r="EC79" s="62">
        <f t="shared" si="106"/>
        <v>0</v>
      </c>
      <c r="ED79" s="2">
        <v>14</v>
      </c>
      <c r="EE79" s="57">
        <f t="shared" si="113"/>
        <v>0</v>
      </c>
      <c r="EF79" s="62">
        <f t="shared" si="110"/>
        <v>0</v>
      </c>
      <c r="EG79" s="2">
        <v>13</v>
      </c>
      <c r="EH79" s="57">
        <f t="shared" si="117"/>
        <v>0</v>
      </c>
      <c r="EI79" s="62">
        <f t="shared" si="114"/>
        <v>0</v>
      </c>
      <c r="EJ79" s="2">
        <v>12</v>
      </c>
      <c r="EK79" s="57">
        <f t="shared" si="121"/>
        <v>0</v>
      </c>
      <c r="EL79" s="62">
        <f t="shared" si="118"/>
        <v>0</v>
      </c>
      <c r="EM79" s="2">
        <v>11</v>
      </c>
      <c r="EN79" s="57">
        <f t="shared" si="125"/>
        <v>0</v>
      </c>
      <c r="EO79" s="62">
        <f t="shared" si="122"/>
        <v>0</v>
      </c>
      <c r="EP79" s="2">
        <v>10</v>
      </c>
      <c r="EQ79" s="57">
        <f t="shared" si="129"/>
        <v>0</v>
      </c>
      <c r="ER79" s="62">
        <f t="shared" si="126"/>
        <v>0</v>
      </c>
      <c r="ES79" s="2">
        <v>9</v>
      </c>
      <c r="ET79" s="57">
        <f t="shared" si="130"/>
        <v>0</v>
      </c>
      <c r="EU79" s="62">
        <f t="shared" si="131"/>
        <v>0</v>
      </c>
      <c r="EV79" s="2">
        <v>8</v>
      </c>
      <c r="EW79" s="57">
        <f t="shared" si="134"/>
        <v>0</v>
      </c>
      <c r="EX79" s="62">
        <f t="shared" si="135"/>
        <v>0</v>
      </c>
      <c r="EY79" s="2">
        <v>7</v>
      </c>
      <c r="EZ79" s="57">
        <f t="shared" si="141"/>
        <v>0</v>
      </c>
      <c r="FA79" s="62">
        <f t="shared" si="138"/>
        <v>0</v>
      </c>
      <c r="FB79" s="2">
        <v>6</v>
      </c>
      <c r="FC79" s="57">
        <f t="shared" si="142"/>
        <v>0</v>
      </c>
      <c r="FD79" s="62">
        <f t="shared" si="143"/>
        <v>0</v>
      </c>
      <c r="FE79" s="2">
        <v>5</v>
      </c>
      <c r="FF79" s="57">
        <f t="shared" si="149"/>
        <v>0</v>
      </c>
      <c r="FG79" s="62">
        <f t="shared" si="146"/>
        <v>0</v>
      </c>
      <c r="FH79" s="2">
        <v>4</v>
      </c>
      <c r="FI79" s="57">
        <f t="shared" si="150"/>
        <v>0</v>
      </c>
      <c r="FJ79" s="62">
        <f t="shared" si="151"/>
        <v>0</v>
      </c>
      <c r="FK79" s="2">
        <v>3</v>
      </c>
      <c r="FL79" s="57">
        <f t="shared" si="157"/>
        <v>0</v>
      </c>
      <c r="FM79" s="62">
        <f t="shared" si="154"/>
        <v>0</v>
      </c>
      <c r="FN79" s="2">
        <v>2</v>
      </c>
      <c r="FO79" s="57">
        <f t="shared" si="158"/>
        <v>0</v>
      </c>
      <c r="FP79" s="62">
        <f t="shared" si="159"/>
        <v>0</v>
      </c>
      <c r="FQ79" s="2">
        <v>1</v>
      </c>
      <c r="FR79" s="57">
        <f t="shared" ref="FR79:FR142" si="165">$E$77</f>
        <v>0</v>
      </c>
      <c r="FS79" s="62">
        <f t="shared" si="162"/>
        <v>0</v>
      </c>
      <c r="FT79" s="2">
        <v>0</v>
      </c>
      <c r="FU79" s="57">
        <f t="shared" ref="FU79:FU142" si="166">$E$78</f>
        <v>0</v>
      </c>
      <c r="FV79" s="62">
        <f t="shared" ref="FV79:FV110" si="167">SUM($G$10*$G$11*FU79*(EXP(-($G$10*FT79))),$G$10*$G$11*FU79*(EXP(-($G$10*(FT79+0.1)))),$G$10*$G$11*FU79*(EXP(-($G$10*(FT79+0.2)))),$G$10*$G$11*FU79*(EXP(-($G$10*(FT79+0.3)))),$G$10*$G$11*FU79*(EXP(-($G$10*(FT79+0.4)))),$G$10*$G$11*FU79*(EXP(-($G$10*(FT79+0.5)))),$G$10*$G$11*FU79*(EXP(-($G$10*(FT79+0.6)))),$G$10*$G$11*FU79*(EXP(-($G$10*(FT79+0.7)))),$G$10*$G$11*FU79*(EXP(-($G$10*(FT79+0.8)))),$G$10*$G$11*FU79*(EXP(-($G$10*(FT79+0.9)))))/10</f>
        <v>0</v>
      </c>
      <c r="FW79" s="2"/>
      <c r="FX79" s="2"/>
      <c r="FY79" s="2"/>
      <c r="FZ79" s="2"/>
      <c r="GA79" s="2"/>
      <c r="GB79" s="2"/>
      <c r="GC79" s="2"/>
      <c r="GD79" s="2"/>
      <c r="GE79" s="2"/>
      <c r="GF79" s="2"/>
      <c r="GG79" s="2"/>
      <c r="GH79" s="2"/>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row>
    <row r="80" spans="2:250">
      <c r="B80" s="56">
        <f>'USER INPUTS'!J65</f>
        <v>2075</v>
      </c>
      <c r="C80" s="420">
        <f>IF(OR(AND(ClosureCalcYes=TRUE,WasteCapacity=""),AND(ClosureCalcYes=FALSE,ClosureYear="")),0,IF('USER INPUTS'!K65&gt;0,IF('USER INPUTS'!$K$4="Mg/year",'USER INPUTS'!K65,'USER INPUTS'!L65),0))</f>
        <v>0</v>
      </c>
      <c r="D80" s="420">
        <f t="shared" si="97"/>
        <v>12946986</v>
      </c>
      <c r="E80" s="420">
        <f>IF(ClosureCalcYes=FALSE,IF(AND(B80&lt;ClosureYear,C80=0,SUM(C80:$C$102)=0),$D$13,IF(B80&lt;=ClosureYear,C80,0)),IF(B80=$D$16,($D$14-F80),IF(B80&lt;$D$16,IF(SUM(C80:$C$102)=0,$D$13,C80),0)))</f>
        <v>0</v>
      </c>
      <c r="F80" s="66">
        <f t="shared" si="98"/>
        <v>12946986</v>
      </c>
      <c r="G80" s="284">
        <f>IF(SUM(C81:$C$101)=0,C80,0)</f>
        <v>0</v>
      </c>
      <c r="H80" s="284">
        <f t="shared" si="99"/>
        <v>0</v>
      </c>
      <c r="I80" s="2">
        <f t="shared" si="8"/>
        <v>2075</v>
      </c>
      <c r="J80" s="379">
        <f t="shared" si="1"/>
        <v>11983776.009101791</v>
      </c>
      <c r="K80" s="2">
        <v>56</v>
      </c>
      <c r="L80" s="57">
        <f t="shared" si="69"/>
        <v>189082</v>
      </c>
      <c r="M80" s="62">
        <f t="shared" si="70"/>
        <v>79086.417233144908</v>
      </c>
      <c r="N80" s="2">
        <v>55</v>
      </c>
      <c r="O80" s="57">
        <f t="shared" si="73"/>
        <v>293489</v>
      </c>
      <c r="P80" s="62">
        <f t="shared" si="74"/>
        <v>127766.00692899086</v>
      </c>
      <c r="Q80" s="2">
        <v>54</v>
      </c>
      <c r="R80" s="57">
        <f t="shared" si="77"/>
        <v>283523</v>
      </c>
      <c r="S80" s="62">
        <f t="shared" si="78"/>
        <v>128464.62939981415</v>
      </c>
      <c r="T80" s="2">
        <v>53</v>
      </c>
      <c r="U80" s="57">
        <f t="shared" si="81"/>
        <v>143321</v>
      </c>
      <c r="V80" s="62">
        <f t="shared" si="82"/>
        <v>67589.133969775721</v>
      </c>
      <c r="W80" s="2">
        <v>52</v>
      </c>
      <c r="X80" s="57">
        <f t="shared" si="85"/>
        <v>227851</v>
      </c>
      <c r="Y80" s="62">
        <f t="shared" si="86"/>
        <v>111838.09742745245</v>
      </c>
      <c r="Z80" s="2">
        <v>51</v>
      </c>
      <c r="AA80" s="57">
        <f t="shared" si="89"/>
        <v>238727</v>
      </c>
      <c r="AB80" s="62">
        <f t="shared" si="90"/>
        <v>121958.52157969766</v>
      </c>
      <c r="AC80" s="2">
        <v>50</v>
      </c>
      <c r="AD80" s="57">
        <f t="shared" si="93"/>
        <v>250122</v>
      </c>
      <c r="AE80" s="62">
        <f t="shared" si="94"/>
        <v>132994.68420773247</v>
      </c>
      <c r="AF80" s="2">
        <v>49</v>
      </c>
      <c r="AG80" s="57">
        <f t="shared" si="100"/>
        <v>262060</v>
      </c>
      <c r="AH80" s="62">
        <f t="shared" si="101"/>
        <v>145029.0178362928</v>
      </c>
      <c r="AI80" s="63">
        <v>48</v>
      </c>
      <c r="AJ80" s="57">
        <f t="shared" si="104"/>
        <v>274569</v>
      </c>
      <c r="AK80" s="62">
        <f t="shared" si="105"/>
        <v>158153.0058214686</v>
      </c>
      <c r="AL80" s="63">
        <v>47</v>
      </c>
      <c r="AM80" s="57">
        <f t="shared" si="107"/>
        <v>287675</v>
      </c>
      <c r="AN80" s="62">
        <f t="shared" si="108"/>
        <v>172464.55393824624</v>
      </c>
      <c r="AO80" s="2">
        <v>46</v>
      </c>
      <c r="AP80" s="57">
        <f t="shared" si="111"/>
        <v>301406</v>
      </c>
      <c r="AQ80" s="62">
        <f t="shared" si="112"/>
        <v>188070.81234596687</v>
      </c>
      <c r="AR80" s="2">
        <v>45</v>
      </c>
      <c r="AS80" s="57">
        <f t="shared" si="115"/>
        <v>315793</v>
      </c>
      <c r="AT80" s="62">
        <f t="shared" si="116"/>
        <v>205089.66953742507</v>
      </c>
      <c r="AU80" s="2">
        <v>44</v>
      </c>
      <c r="AV80" s="57">
        <f t="shared" si="119"/>
        <v>330866</v>
      </c>
      <c r="AW80" s="62">
        <f t="shared" si="120"/>
        <v>223648.09672985165</v>
      </c>
      <c r="AX80" s="2">
        <v>43</v>
      </c>
      <c r="AY80" s="57">
        <f t="shared" si="123"/>
        <v>346659</v>
      </c>
      <c r="AZ80" s="62">
        <f t="shared" si="124"/>
        <v>243886.25487779835</v>
      </c>
      <c r="BA80" s="2">
        <v>42</v>
      </c>
      <c r="BB80" s="57">
        <f t="shared" si="127"/>
        <v>363206</v>
      </c>
      <c r="BC80" s="62">
        <f t="shared" si="128"/>
        <v>265955.90560692712</v>
      </c>
      <c r="BD80" s="2">
        <v>41</v>
      </c>
      <c r="BE80" s="57">
        <f t="shared" si="132"/>
        <v>380542</v>
      </c>
      <c r="BF80" s="62">
        <f t="shared" si="133"/>
        <v>290022.03780342371</v>
      </c>
      <c r="BG80" s="2">
        <v>40</v>
      </c>
      <c r="BH80" s="57">
        <f t="shared" si="136"/>
        <v>398706</v>
      </c>
      <c r="BI80" s="62">
        <f t="shared" si="137"/>
        <v>316266.3263129316</v>
      </c>
      <c r="BJ80" s="2">
        <v>39</v>
      </c>
      <c r="BK80" s="57">
        <f t="shared" si="139"/>
        <v>417737</v>
      </c>
      <c r="BL80" s="62">
        <f t="shared" si="140"/>
        <v>344885.47594229062</v>
      </c>
      <c r="BM80" s="2">
        <v>38</v>
      </c>
      <c r="BN80" s="57">
        <f t="shared" si="144"/>
        <v>437677</v>
      </c>
      <c r="BO80" s="62">
        <f t="shared" si="145"/>
        <v>376094.9189850433</v>
      </c>
      <c r="BP80" s="2">
        <v>37</v>
      </c>
      <c r="BQ80" s="57">
        <f t="shared" si="147"/>
        <v>458568</v>
      </c>
      <c r="BR80" s="62">
        <f t="shared" si="148"/>
        <v>410127.85421545513</v>
      </c>
      <c r="BS80" s="2">
        <v>36</v>
      </c>
      <c r="BT80" s="57">
        <f t="shared" si="152"/>
        <v>480456</v>
      </c>
      <c r="BU80" s="62">
        <f t="shared" si="153"/>
        <v>447240.29065666132</v>
      </c>
      <c r="BV80" s="2">
        <v>35</v>
      </c>
      <c r="BW80" s="57">
        <f t="shared" si="155"/>
        <v>503389</v>
      </c>
      <c r="BX80" s="62">
        <f t="shared" si="156"/>
        <v>487711.2799326512</v>
      </c>
      <c r="BY80" s="2">
        <v>34</v>
      </c>
      <c r="BZ80" s="57">
        <f t="shared" si="160"/>
        <v>527417</v>
      </c>
      <c r="CA80" s="62">
        <f t="shared" si="161"/>
        <v>531844.87965575</v>
      </c>
      <c r="CB80" s="2">
        <v>33</v>
      </c>
      <c r="CC80" s="57">
        <f t="shared" si="163"/>
        <v>552592</v>
      </c>
      <c r="CD80" s="62">
        <f t="shared" si="164"/>
        <v>579972.27205612662</v>
      </c>
      <c r="CE80" s="2">
        <v>32</v>
      </c>
      <c r="CF80" s="57">
        <f t="shared" ref="CF80:CF111" si="168">$E$47</f>
        <v>578968</v>
      </c>
      <c r="CG80" s="62">
        <f t="shared" ref="CG80:CG111" si="169">SUM($G$10*$G$11*CF80*(EXP(-($G$10*CE80))),$G$10*$G$11*CF80*(EXP(-($G$10*(CE80+0.1)))),$G$10*$G$11*CF80*(EXP(-($G$10*(CE80+0.2)))),$G$10*$G$11*CF80*(EXP(-($G$10*(CE80+0.3)))),$G$10*$G$11*CF80*(EXP(-($G$10*(CE80+0.4)))),$G$10*$G$11*CF80*(EXP(-($G$10*(CE80+0.5)))),$G$10*$G$11*CF80*(EXP(-($G$10*(CE80+0.6)))),$G$10*$G$11*CF80*(EXP(-($G$10*(CE80+0.7)))),$G$10*$G$11*CF80*(EXP(-($G$10*(CE80+0.8)))),$G$10*$G$11*CF80*(EXP(-($G$10*(CE80+0.9)))))/10</f>
        <v>632454.04926163203</v>
      </c>
      <c r="CH80" s="2">
        <v>31</v>
      </c>
      <c r="CI80" s="57">
        <f t="shared" si="55"/>
        <v>606603</v>
      </c>
      <c r="CJ80" s="62">
        <f t="shared" si="56"/>
        <v>689684.95134781627</v>
      </c>
      <c r="CK80" s="2">
        <v>30</v>
      </c>
      <c r="CL80" s="57">
        <f t="shared" si="57"/>
        <v>635558</v>
      </c>
      <c r="CM80" s="62">
        <f t="shared" si="58"/>
        <v>752095.80297995673</v>
      </c>
      <c r="CN80" s="2">
        <v>29</v>
      </c>
      <c r="CO80" s="57">
        <f t="shared" si="59"/>
        <v>665894</v>
      </c>
      <c r="CP80" s="62">
        <f t="shared" si="60"/>
        <v>820152.95958770986</v>
      </c>
      <c r="CQ80" s="2">
        <v>28</v>
      </c>
      <c r="CR80" s="57">
        <f t="shared" si="61"/>
        <v>697679</v>
      </c>
      <c r="CS80" s="62">
        <f t="shared" si="62"/>
        <v>894369.92132050148</v>
      </c>
      <c r="CT80" s="2">
        <v>27</v>
      </c>
      <c r="CU80" s="57">
        <f t="shared" si="63"/>
        <v>730980</v>
      </c>
      <c r="CV80" s="62">
        <f t="shared" si="64"/>
        <v>975301.31065536174</v>
      </c>
      <c r="CW80" s="2">
        <v>26</v>
      </c>
      <c r="CX80" s="57">
        <f t="shared" si="65"/>
        <v>765871</v>
      </c>
      <c r="CY80" s="62">
        <f t="shared" si="66"/>
        <v>1063556.8709478958</v>
      </c>
      <c r="CZ80" s="2">
        <v>25</v>
      </c>
      <c r="DA80" s="57">
        <f t="shared" si="67"/>
        <v>0</v>
      </c>
      <c r="DB80" s="62">
        <f t="shared" si="68"/>
        <v>0</v>
      </c>
      <c r="DC80" s="2">
        <v>24</v>
      </c>
      <c r="DD80" s="57">
        <f t="shared" si="71"/>
        <v>0</v>
      </c>
      <c r="DE80" s="62">
        <f t="shared" si="72"/>
        <v>0</v>
      </c>
      <c r="DF80" s="2">
        <v>23</v>
      </c>
      <c r="DG80" s="57">
        <f t="shared" si="75"/>
        <v>0</v>
      </c>
      <c r="DH80" s="62">
        <f t="shared" si="76"/>
        <v>0</v>
      </c>
      <c r="DI80" s="2">
        <v>22</v>
      </c>
      <c r="DJ80" s="57">
        <f t="shared" si="79"/>
        <v>0</v>
      </c>
      <c r="DK80" s="62">
        <f t="shared" si="80"/>
        <v>0</v>
      </c>
      <c r="DL80" s="2">
        <v>21</v>
      </c>
      <c r="DM80" s="57">
        <f t="shared" si="83"/>
        <v>0</v>
      </c>
      <c r="DN80" s="62">
        <f t="shared" si="84"/>
        <v>0</v>
      </c>
      <c r="DO80" s="2">
        <v>20</v>
      </c>
      <c r="DP80" s="57">
        <f t="shared" si="87"/>
        <v>0</v>
      </c>
      <c r="DQ80" s="62">
        <f t="shared" si="88"/>
        <v>0</v>
      </c>
      <c r="DR80" s="2">
        <v>19</v>
      </c>
      <c r="DS80" s="57">
        <f t="shared" si="91"/>
        <v>0</v>
      </c>
      <c r="DT80" s="62">
        <f t="shared" si="92"/>
        <v>0</v>
      </c>
      <c r="DU80" s="2">
        <v>18</v>
      </c>
      <c r="DV80" s="57">
        <f t="shared" si="95"/>
        <v>0</v>
      </c>
      <c r="DW80" s="62">
        <f t="shared" si="96"/>
        <v>0</v>
      </c>
      <c r="DX80" s="2">
        <v>17</v>
      </c>
      <c r="DY80" s="57">
        <f t="shared" si="102"/>
        <v>0</v>
      </c>
      <c r="DZ80" s="62">
        <f t="shared" si="103"/>
        <v>0</v>
      </c>
      <c r="EA80" s="2">
        <v>16</v>
      </c>
      <c r="EB80" s="57">
        <f t="shared" si="109"/>
        <v>0</v>
      </c>
      <c r="EC80" s="62">
        <f t="shared" si="106"/>
        <v>0</v>
      </c>
      <c r="ED80" s="2">
        <v>15</v>
      </c>
      <c r="EE80" s="57">
        <f t="shared" si="113"/>
        <v>0</v>
      </c>
      <c r="EF80" s="62">
        <f t="shared" si="110"/>
        <v>0</v>
      </c>
      <c r="EG80" s="2">
        <v>14</v>
      </c>
      <c r="EH80" s="57">
        <f t="shared" si="117"/>
        <v>0</v>
      </c>
      <c r="EI80" s="62">
        <f t="shared" si="114"/>
        <v>0</v>
      </c>
      <c r="EJ80" s="2">
        <v>13</v>
      </c>
      <c r="EK80" s="57">
        <f t="shared" si="121"/>
        <v>0</v>
      </c>
      <c r="EL80" s="62">
        <f t="shared" si="118"/>
        <v>0</v>
      </c>
      <c r="EM80" s="2">
        <v>12</v>
      </c>
      <c r="EN80" s="57">
        <f t="shared" si="125"/>
        <v>0</v>
      </c>
      <c r="EO80" s="62">
        <f t="shared" si="122"/>
        <v>0</v>
      </c>
      <c r="EP80" s="2">
        <v>11</v>
      </c>
      <c r="EQ80" s="57">
        <f t="shared" si="129"/>
        <v>0</v>
      </c>
      <c r="ER80" s="62">
        <f t="shared" si="126"/>
        <v>0</v>
      </c>
      <c r="ES80" s="2">
        <v>10</v>
      </c>
      <c r="ET80" s="57">
        <f t="shared" si="130"/>
        <v>0</v>
      </c>
      <c r="EU80" s="62">
        <f t="shared" si="131"/>
        <v>0</v>
      </c>
      <c r="EV80" s="2">
        <v>9</v>
      </c>
      <c r="EW80" s="57">
        <f t="shared" si="134"/>
        <v>0</v>
      </c>
      <c r="EX80" s="62">
        <f t="shared" si="135"/>
        <v>0</v>
      </c>
      <c r="EY80" s="2">
        <v>8</v>
      </c>
      <c r="EZ80" s="57">
        <f t="shared" si="141"/>
        <v>0</v>
      </c>
      <c r="FA80" s="62">
        <f t="shared" si="138"/>
        <v>0</v>
      </c>
      <c r="FB80" s="2">
        <v>7</v>
      </c>
      <c r="FC80" s="57">
        <f t="shared" si="142"/>
        <v>0</v>
      </c>
      <c r="FD80" s="62">
        <f t="shared" si="143"/>
        <v>0</v>
      </c>
      <c r="FE80" s="2">
        <v>6</v>
      </c>
      <c r="FF80" s="57">
        <f t="shared" si="149"/>
        <v>0</v>
      </c>
      <c r="FG80" s="62">
        <f t="shared" si="146"/>
        <v>0</v>
      </c>
      <c r="FH80" s="2">
        <v>5</v>
      </c>
      <c r="FI80" s="57">
        <f t="shared" si="150"/>
        <v>0</v>
      </c>
      <c r="FJ80" s="62">
        <f t="shared" si="151"/>
        <v>0</v>
      </c>
      <c r="FK80" s="2">
        <v>4</v>
      </c>
      <c r="FL80" s="57">
        <f t="shared" si="157"/>
        <v>0</v>
      </c>
      <c r="FM80" s="62">
        <f t="shared" si="154"/>
        <v>0</v>
      </c>
      <c r="FN80" s="2">
        <v>3</v>
      </c>
      <c r="FO80" s="57">
        <f t="shared" si="158"/>
        <v>0</v>
      </c>
      <c r="FP80" s="62">
        <f t="shared" si="159"/>
        <v>0</v>
      </c>
      <c r="FQ80" s="2">
        <v>2</v>
      </c>
      <c r="FR80" s="57">
        <f t="shared" si="165"/>
        <v>0</v>
      </c>
      <c r="FS80" s="62">
        <f t="shared" si="162"/>
        <v>0</v>
      </c>
      <c r="FT80" s="2">
        <v>1</v>
      </c>
      <c r="FU80" s="57">
        <f t="shared" si="166"/>
        <v>0</v>
      </c>
      <c r="FV80" s="62">
        <f t="shared" si="167"/>
        <v>0</v>
      </c>
      <c r="FW80" s="2">
        <v>0</v>
      </c>
      <c r="FX80" s="57">
        <f t="shared" ref="FX80:FX143" si="170">$E$79</f>
        <v>0</v>
      </c>
      <c r="FY80" s="62">
        <f t="shared" ref="FY80:FY111" si="171">SUM($G$10*$G$11*FX80*(EXP(-($G$10*FW80))),$G$10*$G$11*FX80*(EXP(-($G$10*(FW80+0.1)))),$G$10*$G$11*FX80*(EXP(-($G$10*(FW80+0.2)))),$G$10*$G$11*FX80*(EXP(-($G$10*(FW80+0.3)))),$G$10*$G$11*FX80*(EXP(-($G$10*(FW80+0.4)))),$G$10*$G$11*FX80*(EXP(-($G$10*(FW80+0.5)))),$G$10*$G$11*FX80*(EXP(-($G$10*(FW80+0.6)))),$G$10*$G$11*FX80*(EXP(-($G$10*(FW80+0.7)))),$G$10*$G$11*FX80*(EXP(-($G$10*(FW80+0.8)))),$G$10*$G$11*FX80*(EXP(-($G$10*(FW80+0.9)))))/10</f>
        <v>0</v>
      </c>
      <c r="FZ80" s="2"/>
      <c r="GA80" s="2"/>
      <c r="GB80" s="2"/>
      <c r="GC80" s="2"/>
      <c r="GD80" s="2"/>
      <c r="GE80" s="2"/>
      <c r="GF80" s="2"/>
      <c r="GG80" s="2"/>
      <c r="GH80" s="2"/>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row>
    <row r="81" spans="2:250">
      <c r="B81" s="56">
        <f>'USER INPUTS'!J66</f>
        <v>2076</v>
      </c>
      <c r="C81" s="420">
        <f>IF(OR(AND(ClosureCalcYes=TRUE,WasteCapacity=""),AND(ClosureCalcYes=FALSE,ClosureYear="")),0,IF('USER INPUTS'!K66&gt;0,IF('USER INPUTS'!$K$4="Mg/year",'USER INPUTS'!K66,'USER INPUTS'!L66),0))</f>
        <v>0</v>
      </c>
      <c r="D81" s="420">
        <f t="shared" si="97"/>
        <v>12946986</v>
      </c>
      <c r="E81" s="420">
        <f>IF(ClosureCalcYes=FALSE,IF(AND(B81&lt;ClosureYear,C81=0,SUM(C81:$C$102)=0),$D$13,IF(B81&lt;=ClosureYear,C81,0)),IF(B81=$D$16,($D$14-F81),IF(B81&lt;$D$16,IF(SUM(C81:$C$102)=0,$D$13,C81),0)))</f>
        <v>0</v>
      </c>
      <c r="F81" s="66">
        <f t="shared" si="98"/>
        <v>12946986</v>
      </c>
      <c r="G81" s="284">
        <f>IF(SUM(C82:$C$101)=0,C81,0)</f>
        <v>0</v>
      </c>
      <c r="H81" s="284">
        <f t="shared" si="99"/>
        <v>0</v>
      </c>
      <c r="I81" s="2">
        <f t="shared" si="8"/>
        <v>2076</v>
      </c>
      <c r="J81" s="379">
        <f t="shared" si="1"/>
        <v>11513885.430711977</v>
      </c>
      <c r="K81" s="2">
        <v>57</v>
      </c>
      <c r="L81" s="57">
        <f t="shared" si="69"/>
        <v>189082</v>
      </c>
      <c r="M81" s="62">
        <f t="shared" si="70"/>
        <v>75985.394457999937</v>
      </c>
      <c r="N81" s="2">
        <v>56</v>
      </c>
      <c r="O81" s="57">
        <f t="shared" si="73"/>
        <v>293489</v>
      </c>
      <c r="P81" s="62">
        <f t="shared" si="74"/>
        <v>122756.23014003695</v>
      </c>
      <c r="Q81" s="2">
        <v>55</v>
      </c>
      <c r="R81" s="57">
        <f t="shared" si="77"/>
        <v>283523</v>
      </c>
      <c r="S81" s="62">
        <f t="shared" si="78"/>
        <v>123427.45923195854</v>
      </c>
      <c r="T81" s="2">
        <v>54</v>
      </c>
      <c r="U81" s="57">
        <f t="shared" si="81"/>
        <v>143321</v>
      </c>
      <c r="V81" s="62">
        <f t="shared" si="82"/>
        <v>64938.92611961205</v>
      </c>
      <c r="W81" s="2">
        <v>53</v>
      </c>
      <c r="X81" s="57">
        <f t="shared" si="85"/>
        <v>227851</v>
      </c>
      <c r="Y81" s="62">
        <f t="shared" si="86"/>
        <v>107452.86290318496</v>
      </c>
      <c r="Z81" s="2">
        <v>52</v>
      </c>
      <c r="AA81" s="57">
        <f t="shared" si="89"/>
        <v>238727</v>
      </c>
      <c r="AB81" s="62">
        <f t="shared" si="90"/>
        <v>117176.45954840418</v>
      </c>
      <c r="AC81" s="2">
        <v>51</v>
      </c>
      <c r="AD81" s="57">
        <f t="shared" si="93"/>
        <v>250122</v>
      </c>
      <c r="AE81" s="62">
        <f t="shared" si="94"/>
        <v>127779.88805018758</v>
      </c>
      <c r="AF81" s="2">
        <v>50</v>
      </c>
      <c r="AG81" s="57">
        <f t="shared" si="100"/>
        <v>262060</v>
      </c>
      <c r="AH81" s="62">
        <f t="shared" si="101"/>
        <v>139342.3487077441</v>
      </c>
      <c r="AI81" s="2">
        <v>49</v>
      </c>
      <c r="AJ81" s="57">
        <f t="shared" si="104"/>
        <v>274569</v>
      </c>
      <c r="AK81" s="62">
        <f t="shared" si="105"/>
        <v>151951.73776346288</v>
      </c>
      <c r="AL81" s="63">
        <v>48</v>
      </c>
      <c r="AM81" s="57">
        <f t="shared" si="107"/>
        <v>287675</v>
      </c>
      <c r="AN81" s="62">
        <f t="shared" si="108"/>
        <v>165702.1220519832</v>
      </c>
      <c r="AO81" s="2">
        <v>47</v>
      </c>
      <c r="AP81" s="57">
        <f t="shared" si="111"/>
        <v>301406</v>
      </c>
      <c r="AQ81" s="62">
        <f t="shared" si="112"/>
        <v>180696.45031480334</v>
      </c>
      <c r="AR81" s="2">
        <v>46</v>
      </c>
      <c r="AS81" s="57">
        <f t="shared" si="115"/>
        <v>315793</v>
      </c>
      <c r="AT81" s="62">
        <f t="shared" si="116"/>
        <v>197047.9885707979</v>
      </c>
      <c r="AU81" s="2">
        <v>45</v>
      </c>
      <c r="AV81" s="57">
        <f t="shared" si="119"/>
        <v>330866</v>
      </c>
      <c r="AW81" s="62">
        <f t="shared" si="120"/>
        <v>214878.72942455873</v>
      </c>
      <c r="AX81" s="2">
        <v>44</v>
      </c>
      <c r="AY81" s="57">
        <f t="shared" si="123"/>
        <v>346659</v>
      </c>
      <c r="AZ81" s="62">
        <f t="shared" si="124"/>
        <v>234323.33804100045</v>
      </c>
      <c r="BA81" s="2">
        <v>43</v>
      </c>
      <c r="BB81" s="57">
        <f t="shared" si="127"/>
        <v>363206</v>
      </c>
      <c r="BC81" s="62">
        <f t="shared" si="128"/>
        <v>255527.62538732766</v>
      </c>
      <c r="BD81" s="2">
        <v>42</v>
      </c>
      <c r="BE81" s="57">
        <f t="shared" si="132"/>
        <v>380542</v>
      </c>
      <c r="BF81" s="62">
        <f t="shared" si="133"/>
        <v>278650.11104296526</v>
      </c>
      <c r="BG81" s="2">
        <v>41</v>
      </c>
      <c r="BH81" s="57">
        <f t="shared" si="136"/>
        <v>398706</v>
      </c>
      <c r="BI81" s="62">
        <f t="shared" si="137"/>
        <v>303865.34628096723</v>
      </c>
      <c r="BJ81" s="2">
        <v>40</v>
      </c>
      <c r="BK81" s="57">
        <f t="shared" si="139"/>
        <v>417737</v>
      </c>
      <c r="BL81" s="62">
        <f t="shared" si="140"/>
        <v>331362.32300237549</v>
      </c>
      <c r="BM81" s="2">
        <v>39</v>
      </c>
      <c r="BN81" s="57">
        <f t="shared" si="144"/>
        <v>437677</v>
      </c>
      <c r="BO81" s="62">
        <f t="shared" si="145"/>
        <v>361348.02627967822</v>
      </c>
      <c r="BP81" s="2">
        <v>38</v>
      </c>
      <c r="BQ81" s="57">
        <f t="shared" si="147"/>
        <v>458568</v>
      </c>
      <c r="BR81" s="62">
        <f t="shared" si="148"/>
        <v>394046.51103241288</v>
      </c>
      <c r="BS81" s="2">
        <v>37</v>
      </c>
      <c r="BT81" s="57">
        <f t="shared" si="152"/>
        <v>480456</v>
      </c>
      <c r="BU81" s="62">
        <f t="shared" si="153"/>
        <v>429703.74802633561</v>
      </c>
      <c r="BV81" s="2">
        <v>36</v>
      </c>
      <c r="BW81" s="57">
        <f t="shared" si="155"/>
        <v>503389</v>
      </c>
      <c r="BX81" s="62">
        <f t="shared" si="156"/>
        <v>468587.84711475373</v>
      </c>
      <c r="BY81" s="2">
        <v>35</v>
      </c>
      <c r="BZ81" s="57">
        <f t="shared" si="160"/>
        <v>527417</v>
      </c>
      <c r="CA81" s="62">
        <f t="shared" si="161"/>
        <v>510990.94364048296</v>
      </c>
      <c r="CB81" s="2">
        <v>34</v>
      </c>
      <c r="CC81" s="57">
        <f t="shared" si="163"/>
        <v>552592</v>
      </c>
      <c r="CD81" s="62">
        <f t="shared" si="164"/>
        <v>557231.23399270454</v>
      </c>
      <c r="CE81" s="2">
        <v>33</v>
      </c>
      <c r="CF81" s="57">
        <f t="shared" si="168"/>
        <v>578968</v>
      </c>
      <c r="CG81" s="62">
        <f t="shared" si="169"/>
        <v>607655.17127969908</v>
      </c>
      <c r="CH81" s="2">
        <v>32</v>
      </c>
      <c r="CI81" s="57">
        <f t="shared" ref="CI81:CI112" si="172">$E$48</f>
        <v>606603</v>
      </c>
      <c r="CJ81" s="62">
        <f t="shared" ref="CJ81:CJ112" si="173">SUM($G$10*$G$11*CI81*(EXP(-($G$10*CH81))),$G$10*$G$11*CI81*(EXP(-($G$10*(CH81+0.1)))),$G$10*$G$11*CI81*(EXP(-($G$10*(CH81+0.2)))),$G$10*$G$11*CI81*(EXP(-($G$10*(CH81+0.3)))),$G$10*$G$11*CI81*(EXP(-($G$10*(CH81+0.4)))),$G$10*$G$11*CI81*(EXP(-($G$10*(CH81+0.5)))),$G$10*$G$11*CI81*(EXP(-($G$10*(CH81+0.6)))),$G$10*$G$11*CI81*(EXP(-($G$10*(CH81+0.7)))),$G$10*$G$11*CI81*(EXP(-($G$10*(CH81+0.8)))),$G$10*$G$11*CI81*(EXP(-($G$10*(CH81+0.9)))))/10</f>
        <v>662642.01759726589</v>
      </c>
      <c r="CK81" s="2">
        <v>31</v>
      </c>
      <c r="CL81" s="57">
        <f t="shared" si="57"/>
        <v>635558</v>
      </c>
      <c r="CM81" s="62">
        <f t="shared" si="58"/>
        <v>722605.70473392878</v>
      </c>
      <c r="CN81" s="2">
        <v>30</v>
      </c>
      <c r="CO81" s="57">
        <f t="shared" si="59"/>
        <v>665894</v>
      </c>
      <c r="CP81" s="62">
        <f t="shared" si="60"/>
        <v>787994.30206139397</v>
      </c>
      <c r="CQ81" s="2">
        <v>29</v>
      </c>
      <c r="CR81" s="57">
        <f t="shared" si="61"/>
        <v>697679</v>
      </c>
      <c r="CS81" s="62">
        <f t="shared" si="62"/>
        <v>859301.17510023189</v>
      </c>
      <c r="CT81" s="2">
        <v>28</v>
      </c>
      <c r="CU81" s="57">
        <f t="shared" si="63"/>
        <v>730980</v>
      </c>
      <c r="CV81" s="62">
        <f t="shared" si="64"/>
        <v>937059.19926909078</v>
      </c>
      <c r="CW81" s="2">
        <v>27</v>
      </c>
      <c r="CX81" s="57">
        <f t="shared" si="65"/>
        <v>765871</v>
      </c>
      <c r="CY81" s="62">
        <f t="shared" si="66"/>
        <v>1021854.2095446289</v>
      </c>
      <c r="CZ81" s="2">
        <v>26</v>
      </c>
      <c r="DA81" s="57">
        <f t="shared" si="67"/>
        <v>0</v>
      </c>
      <c r="DB81" s="62">
        <f t="shared" si="68"/>
        <v>0</v>
      </c>
      <c r="DC81" s="2">
        <v>25</v>
      </c>
      <c r="DD81" s="57">
        <f t="shared" si="71"/>
        <v>0</v>
      </c>
      <c r="DE81" s="62">
        <f t="shared" si="72"/>
        <v>0</v>
      </c>
      <c r="DF81" s="2">
        <v>24</v>
      </c>
      <c r="DG81" s="57">
        <f t="shared" si="75"/>
        <v>0</v>
      </c>
      <c r="DH81" s="62">
        <f t="shared" si="76"/>
        <v>0</v>
      </c>
      <c r="DI81" s="2">
        <v>23</v>
      </c>
      <c r="DJ81" s="57">
        <f t="shared" si="79"/>
        <v>0</v>
      </c>
      <c r="DK81" s="62">
        <f t="shared" si="80"/>
        <v>0</v>
      </c>
      <c r="DL81" s="2">
        <v>22</v>
      </c>
      <c r="DM81" s="57">
        <f t="shared" si="83"/>
        <v>0</v>
      </c>
      <c r="DN81" s="62">
        <f t="shared" si="84"/>
        <v>0</v>
      </c>
      <c r="DO81" s="2">
        <v>21</v>
      </c>
      <c r="DP81" s="57">
        <f t="shared" si="87"/>
        <v>0</v>
      </c>
      <c r="DQ81" s="62">
        <f t="shared" si="88"/>
        <v>0</v>
      </c>
      <c r="DR81" s="2">
        <v>20</v>
      </c>
      <c r="DS81" s="57">
        <f t="shared" si="91"/>
        <v>0</v>
      </c>
      <c r="DT81" s="62">
        <f t="shared" si="92"/>
        <v>0</v>
      </c>
      <c r="DU81" s="2">
        <v>19</v>
      </c>
      <c r="DV81" s="57">
        <f t="shared" si="95"/>
        <v>0</v>
      </c>
      <c r="DW81" s="62">
        <f t="shared" si="96"/>
        <v>0</v>
      </c>
      <c r="DX81" s="2">
        <v>18</v>
      </c>
      <c r="DY81" s="57">
        <f t="shared" si="102"/>
        <v>0</v>
      </c>
      <c r="DZ81" s="62">
        <f t="shared" si="103"/>
        <v>0</v>
      </c>
      <c r="EA81" s="2">
        <v>17</v>
      </c>
      <c r="EB81" s="57">
        <f t="shared" si="109"/>
        <v>0</v>
      </c>
      <c r="EC81" s="62">
        <f t="shared" si="106"/>
        <v>0</v>
      </c>
      <c r="ED81" s="2">
        <v>16</v>
      </c>
      <c r="EE81" s="57">
        <f t="shared" si="113"/>
        <v>0</v>
      </c>
      <c r="EF81" s="62">
        <f t="shared" si="110"/>
        <v>0</v>
      </c>
      <c r="EG81" s="2">
        <v>15</v>
      </c>
      <c r="EH81" s="57">
        <f t="shared" si="117"/>
        <v>0</v>
      </c>
      <c r="EI81" s="62">
        <f t="shared" si="114"/>
        <v>0</v>
      </c>
      <c r="EJ81" s="2">
        <v>14</v>
      </c>
      <c r="EK81" s="57">
        <f t="shared" si="121"/>
        <v>0</v>
      </c>
      <c r="EL81" s="62">
        <f t="shared" si="118"/>
        <v>0</v>
      </c>
      <c r="EM81" s="2">
        <v>13</v>
      </c>
      <c r="EN81" s="57">
        <f t="shared" si="125"/>
        <v>0</v>
      </c>
      <c r="EO81" s="62">
        <f t="shared" si="122"/>
        <v>0</v>
      </c>
      <c r="EP81" s="2">
        <v>12</v>
      </c>
      <c r="EQ81" s="57">
        <f t="shared" si="129"/>
        <v>0</v>
      </c>
      <c r="ER81" s="62">
        <f t="shared" si="126"/>
        <v>0</v>
      </c>
      <c r="ES81" s="2">
        <v>11</v>
      </c>
      <c r="ET81" s="57">
        <f t="shared" si="130"/>
        <v>0</v>
      </c>
      <c r="EU81" s="62">
        <f t="shared" si="131"/>
        <v>0</v>
      </c>
      <c r="EV81" s="2">
        <v>10</v>
      </c>
      <c r="EW81" s="57">
        <f t="shared" si="134"/>
        <v>0</v>
      </c>
      <c r="EX81" s="62">
        <f t="shared" si="135"/>
        <v>0</v>
      </c>
      <c r="EY81" s="2">
        <v>9</v>
      </c>
      <c r="EZ81" s="57">
        <f t="shared" si="141"/>
        <v>0</v>
      </c>
      <c r="FA81" s="62">
        <f t="shared" si="138"/>
        <v>0</v>
      </c>
      <c r="FB81" s="2">
        <v>8</v>
      </c>
      <c r="FC81" s="57">
        <f t="shared" si="142"/>
        <v>0</v>
      </c>
      <c r="FD81" s="62">
        <f t="shared" si="143"/>
        <v>0</v>
      </c>
      <c r="FE81" s="2">
        <v>7</v>
      </c>
      <c r="FF81" s="57">
        <f t="shared" si="149"/>
        <v>0</v>
      </c>
      <c r="FG81" s="62">
        <f t="shared" si="146"/>
        <v>0</v>
      </c>
      <c r="FH81" s="2">
        <v>6</v>
      </c>
      <c r="FI81" s="57">
        <f t="shared" si="150"/>
        <v>0</v>
      </c>
      <c r="FJ81" s="62">
        <f t="shared" si="151"/>
        <v>0</v>
      </c>
      <c r="FK81" s="2">
        <v>5</v>
      </c>
      <c r="FL81" s="57">
        <f t="shared" si="157"/>
        <v>0</v>
      </c>
      <c r="FM81" s="62">
        <f t="shared" si="154"/>
        <v>0</v>
      </c>
      <c r="FN81" s="2">
        <v>4</v>
      </c>
      <c r="FO81" s="57">
        <f t="shared" si="158"/>
        <v>0</v>
      </c>
      <c r="FP81" s="62">
        <f t="shared" si="159"/>
        <v>0</v>
      </c>
      <c r="FQ81" s="2">
        <v>3</v>
      </c>
      <c r="FR81" s="57">
        <f t="shared" si="165"/>
        <v>0</v>
      </c>
      <c r="FS81" s="62">
        <f t="shared" si="162"/>
        <v>0</v>
      </c>
      <c r="FT81" s="2">
        <v>2</v>
      </c>
      <c r="FU81" s="57">
        <f t="shared" si="166"/>
        <v>0</v>
      </c>
      <c r="FV81" s="62">
        <f t="shared" si="167"/>
        <v>0</v>
      </c>
      <c r="FW81" s="2">
        <v>1</v>
      </c>
      <c r="FX81" s="57">
        <f t="shared" si="170"/>
        <v>0</v>
      </c>
      <c r="FY81" s="62">
        <f t="shared" si="171"/>
        <v>0</v>
      </c>
      <c r="FZ81" s="2">
        <v>0</v>
      </c>
      <c r="GA81" s="57">
        <f>$E$80</f>
        <v>0</v>
      </c>
      <c r="GB81" s="62">
        <f t="shared" ref="GB81:GB112" si="174">SUM($G$10*$G$11*GA81*(EXP(-($G$10*FZ81))),$G$10*$G$11*GA81*(EXP(-($G$10*(FZ81+0.1)))),$G$10*$G$11*GA81*(EXP(-($G$10*(FZ81+0.2)))),$G$10*$G$11*GA81*(EXP(-($G$10*(FZ81+0.3)))),$G$10*$G$11*GA81*(EXP(-($G$10*(FZ81+0.4)))),$G$10*$G$11*GA81*(EXP(-($G$10*(FZ81+0.5)))),$G$10*$G$11*GA81*(EXP(-($G$10*(FZ81+0.6)))),$G$10*$G$11*GA81*(EXP(-($G$10*(FZ81+0.7)))),$G$10*$G$11*GA81*(EXP(-($G$10*(FZ81+0.8)))),$G$10*$G$11*GA81*(EXP(-($G$10*(FZ81+0.9)))))/10</f>
        <v>0</v>
      </c>
      <c r="GC81" s="2"/>
      <c r="GD81" s="2"/>
      <c r="GE81" s="2"/>
      <c r="GF81" s="2"/>
      <c r="GG81" s="2"/>
      <c r="GH81" s="2"/>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row>
    <row r="82" spans="2:250">
      <c r="B82" s="56">
        <f>'USER INPUTS'!J67</f>
        <v>2077</v>
      </c>
      <c r="C82" s="420">
        <f>IF(OR(AND(ClosureCalcYes=TRUE,WasteCapacity=""),AND(ClosureCalcYes=FALSE,ClosureYear="")),0,IF('USER INPUTS'!K67&gt;0,IF('USER INPUTS'!$K$4="Mg/year",'USER INPUTS'!K67,'USER INPUTS'!L67),0))</f>
        <v>0</v>
      </c>
      <c r="D82" s="420">
        <f t="shared" si="97"/>
        <v>12946986</v>
      </c>
      <c r="E82" s="420">
        <f>IF(ClosureCalcYes=FALSE,IF(AND(B82&lt;ClosureYear,C82=0,SUM(C82:$C$102)=0),$D$13,IF(B82&lt;=ClosureYear,C82,0)),IF(B82=$D$16,($D$14-F82),IF(B82&lt;$D$16,IF(SUM(C82:$C$102)=0,$D$13,C82),0)))</f>
        <v>0</v>
      </c>
      <c r="F82" s="66">
        <f t="shared" si="98"/>
        <v>12946986</v>
      </c>
      <c r="G82" s="284">
        <f>IF(SUM(C83:$C$101)=0,C82,0)</f>
        <v>0</v>
      </c>
      <c r="H82" s="284">
        <f t="shared" si="99"/>
        <v>0</v>
      </c>
      <c r="I82" s="2">
        <f t="shared" si="8"/>
        <v>2077</v>
      </c>
      <c r="J82" s="379">
        <f t="shared" si="1"/>
        <v>11062419.525437867</v>
      </c>
      <c r="K82" s="2">
        <v>58</v>
      </c>
      <c r="L82" s="57">
        <f t="shared" si="69"/>
        <v>189082</v>
      </c>
      <c r="M82" s="62">
        <f t="shared" si="70"/>
        <v>73005.964525069809</v>
      </c>
      <c r="N82" s="2">
        <v>57</v>
      </c>
      <c r="O82" s="57">
        <f t="shared" si="73"/>
        <v>293489</v>
      </c>
      <c r="P82" s="62">
        <f t="shared" si="74"/>
        <v>117942.88950869962</v>
      </c>
      <c r="Q82" s="2">
        <v>56</v>
      </c>
      <c r="R82" s="57">
        <f t="shared" si="77"/>
        <v>283523</v>
      </c>
      <c r="S82" s="62">
        <f t="shared" si="78"/>
        <v>118587.79933146965</v>
      </c>
      <c r="T82" s="2">
        <v>55</v>
      </c>
      <c r="U82" s="57">
        <f t="shared" si="81"/>
        <v>143321</v>
      </c>
      <c r="V82" s="62">
        <f t="shared" si="82"/>
        <v>62392.63440561622</v>
      </c>
      <c r="W82" s="2">
        <v>54</v>
      </c>
      <c r="X82" s="57">
        <f t="shared" si="85"/>
        <v>227851</v>
      </c>
      <c r="Y82" s="62">
        <f t="shared" si="86"/>
        <v>103239.57588406253</v>
      </c>
      <c r="Z82" s="2">
        <v>53</v>
      </c>
      <c r="AA82" s="57">
        <f t="shared" si="89"/>
        <v>238727</v>
      </c>
      <c r="AB82" s="62">
        <f t="shared" si="90"/>
        <v>112581.90485136615</v>
      </c>
      <c r="AC82" s="2">
        <v>52</v>
      </c>
      <c r="AD82" s="57">
        <f t="shared" si="93"/>
        <v>250122</v>
      </c>
      <c r="AE82" s="62">
        <f t="shared" si="94"/>
        <v>122769.56697468639</v>
      </c>
      <c r="AF82" s="2">
        <v>51</v>
      </c>
      <c r="AG82" s="57">
        <f t="shared" si="100"/>
        <v>262060</v>
      </c>
      <c r="AH82" s="62">
        <f t="shared" si="101"/>
        <v>133878.65706508089</v>
      </c>
      <c r="AI82" s="2">
        <v>50</v>
      </c>
      <c r="AJ82" s="57">
        <f t="shared" si="104"/>
        <v>274569</v>
      </c>
      <c r="AK82" s="62">
        <f t="shared" si="105"/>
        <v>145993.6249039784</v>
      </c>
      <c r="AL82" s="2">
        <v>49</v>
      </c>
      <c r="AM82" s="57">
        <f t="shared" si="107"/>
        <v>287675</v>
      </c>
      <c r="AN82" s="62">
        <f t="shared" si="108"/>
        <v>159204.84891267473</v>
      </c>
      <c r="AO82" s="2">
        <v>48</v>
      </c>
      <c r="AP82" s="57">
        <f t="shared" si="111"/>
        <v>301406</v>
      </c>
      <c r="AQ82" s="62">
        <f t="shared" si="112"/>
        <v>173611.24115477552</v>
      </c>
      <c r="AR82" s="2">
        <v>47</v>
      </c>
      <c r="AS82" s="57">
        <f t="shared" si="115"/>
        <v>315793</v>
      </c>
      <c r="AT82" s="62">
        <f t="shared" si="116"/>
        <v>189321.62642503035</v>
      </c>
      <c r="AU82" s="2">
        <v>46</v>
      </c>
      <c r="AV82" s="57">
        <f t="shared" si="119"/>
        <v>330866</v>
      </c>
      <c r="AW82" s="62">
        <f t="shared" si="120"/>
        <v>206453.21392958559</v>
      </c>
      <c r="AX82" s="2">
        <v>45</v>
      </c>
      <c r="AY82" s="57">
        <f t="shared" si="123"/>
        <v>346659</v>
      </c>
      <c r="AZ82" s="62">
        <f t="shared" si="124"/>
        <v>225135.38853671309</v>
      </c>
      <c r="BA82" s="2">
        <v>44</v>
      </c>
      <c r="BB82" s="57">
        <f t="shared" si="127"/>
        <v>363206</v>
      </c>
      <c r="BC82" s="62">
        <f t="shared" si="128"/>
        <v>245508.24388381551</v>
      </c>
      <c r="BD82" s="2">
        <v>43</v>
      </c>
      <c r="BE82" s="57">
        <f t="shared" si="132"/>
        <v>380542</v>
      </c>
      <c r="BF82" s="62">
        <f t="shared" si="133"/>
        <v>267724.08390870324</v>
      </c>
      <c r="BG82" s="2">
        <v>42</v>
      </c>
      <c r="BH82" s="57">
        <f t="shared" si="136"/>
        <v>398706</v>
      </c>
      <c r="BI82" s="62">
        <f t="shared" si="137"/>
        <v>291950.6156311169</v>
      </c>
      <c r="BJ82" s="2">
        <v>41</v>
      </c>
      <c r="BK82" s="57">
        <f t="shared" si="139"/>
        <v>417737</v>
      </c>
      <c r="BL82" s="62">
        <f t="shared" si="140"/>
        <v>318369.42047366331</v>
      </c>
      <c r="BM82" s="2">
        <v>40</v>
      </c>
      <c r="BN82" s="57">
        <f t="shared" si="144"/>
        <v>437677</v>
      </c>
      <c r="BO82" s="62">
        <f t="shared" si="145"/>
        <v>347179.36750805087</v>
      </c>
      <c r="BP82" s="2">
        <v>39</v>
      </c>
      <c r="BQ82" s="57">
        <f t="shared" si="147"/>
        <v>458568</v>
      </c>
      <c r="BR82" s="62">
        <f t="shared" si="148"/>
        <v>378595.72633476165</v>
      </c>
      <c r="BS82" s="2">
        <v>38</v>
      </c>
      <c r="BT82" s="57">
        <f t="shared" si="152"/>
        <v>480456</v>
      </c>
      <c r="BU82" s="62">
        <f t="shared" si="153"/>
        <v>412854.82306787418</v>
      </c>
      <c r="BV82" s="2">
        <v>37</v>
      </c>
      <c r="BW82" s="57">
        <f t="shared" si="155"/>
        <v>503389</v>
      </c>
      <c r="BX82" s="62">
        <f t="shared" si="156"/>
        <v>450214.25482297863</v>
      </c>
      <c r="BY82" s="2">
        <v>36</v>
      </c>
      <c r="BZ82" s="57">
        <f t="shared" si="160"/>
        <v>527417</v>
      </c>
      <c r="CA82" s="62">
        <f t="shared" si="161"/>
        <v>490954.70215225604</v>
      </c>
      <c r="CB82" s="2">
        <v>35</v>
      </c>
      <c r="CC82" s="57">
        <f t="shared" si="163"/>
        <v>552592</v>
      </c>
      <c r="CD82" s="62">
        <f t="shared" si="164"/>
        <v>535381.88478600758</v>
      </c>
      <c r="CE82" s="2">
        <v>34</v>
      </c>
      <c r="CF82" s="57">
        <f t="shared" si="168"/>
        <v>578968</v>
      </c>
      <c r="CG82" s="62">
        <f t="shared" si="169"/>
        <v>583828.67121183104</v>
      </c>
      <c r="CH82" s="2">
        <v>33</v>
      </c>
      <c r="CI82" s="57">
        <f t="shared" si="172"/>
        <v>606603</v>
      </c>
      <c r="CJ82" s="62">
        <f t="shared" si="173"/>
        <v>636659.45244604093</v>
      </c>
      <c r="CK82" s="2">
        <v>32</v>
      </c>
      <c r="CL82" s="57">
        <f t="shared" ref="CL82:CL113" si="175">$E$49</f>
        <v>635558</v>
      </c>
      <c r="CM82" s="62">
        <f t="shared" ref="CM82:CM113" si="176">SUM($G$10*$G$11*CL82*(EXP(-($G$10*CK82))),$G$10*$G$11*CL82*(EXP(-($G$10*(CK82+0.1)))),$G$10*$G$11*CL82*(EXP(-($G$10*(CK82+0.2)))),$G$10*$G$11*CL82*(EXP(-($G$10*(CK82+0.3)))),$G$10*$G$11*CL82*(EXP(-($G$10*(CK82+0.4)))),$G$10*$G$11*CL82*(EXP(-($G$10*(CK82+0.5)))),$G$10*$G$11*CL82*(EXP(-($G$10*(CK82+0.6)))),$G$10*$G$11*CL82*(EXP(-($G$10*(CK82+0.7)))),$G$10*$G$11*CL82*(EXP(-($G$10*(CK82+0.8)))),$G$10*$G$11*CL82*(EXP(-($G$10*(CK82+0.9)))))/10</f>
        <v>694271.92977958091</v>
      </c>
      <c r="CN82" s="2">
        <v>31</v>
      </c>
      <c r="CO82" s="57">
        <f t="shared" si="59"/>
        <v>665894</v>
      </c>
      <c r="CP82" s="62">
        <f t="shared" si="60"/>
        <v>757096.603532793</v>
      </c>
      <c r="CQ82" s="2">
        <v>30</v>
      </c>
      <c r="CR82" s="57">
        <f t="shared" si="61"/>
        <v>697679</v>
      </c>
      <c r="CS82" s="62">
        <f t="shared" si="62"/>
        <v>825607.49408748432</v>
      </c>
      <c r="CT82" s="2">
        <v>29</v>
      </c>
      <c r="CU82" s="57">
        <f t="shared" si="63"/>
        <v>730980</v>
      </c>
      <c r="CV82" s="62">
        <f t="shared" si="64"/>
        <v>900316.58251827513</v>
      </c>
      <c r="CW82" s="2">
        <v>28</v>
      </c>
      <c r="CX82" s="57">
        <f t="shared" si="65"/>
        <v>765871</v>
      </c>
      <c r="CY82" s="62">
        <f t="shared" si="66"/>
        <v>981786.73288382438</v>
      </c>
      <c r="CZ82" s="2">
        <v>27</v>
      </c>
      <c r="DA82" s="57">
        <f t="shared" si="67"/>
        <v>0</v>
      </c>
      <c r="DB82" s="62">
        <f t="shared" si="68"/>
        <v>0</v>
      </c>
      <c r="DC82" s="2">
        <v>26</v>
      </c>
      <c r="DD82" s="57">
        <f t="shared" si="71"/>
        <v>0</v>
      </c>
      <c r="DE82" s="62">
        <f t="shared" si="72"/>
        <v>0</v>
      </c>
      <c r="DF82" s="2">
        <v>25</v>
      </c>
      <c r="DG82" s="57">
        <f t="shared" si="75"/>
        <v>0</v>
      </c>
      <c r="DH82" s="62">
        <f t="shared" si="76"/>
        <v>0</v>
      </c>
      <c r="DI82" s="2">
        <v>24</v>
      </c>
      <c r="DJ82" s="57">
        <f t="shared" si="79"/>
        <v>0</v>
      </c>
      <c r="DK82" s="62">
        <f t="shared" si="80"/>
        <v>0</v>
      </c>
      <c r="DL82" s="2">
        <v>23</v>
      </c>
      <c r="DM82" s="57">
        <f t="shared" si="83"/>
        <v>0</v>
      </c>
      <c r="DN82" s="62">
        <f t="shared" si="84"/>
        <v>0</v>
      </c>
      <c r="DO82" s="2">
        <v>22</v>
      </c>
      <c r="DP82" s="57">
        <f t="shared" si="87"/>
        <v>0</v>
      </c>
      <c r="DQ82" s="62">
        <f t="shared" si="88"/>
        <v>0</v>
      </c>
      <c r="DR82" s="2">
        <v>21</v>
      </c>
      <c r="DS82" s="57">
        <f t="shared" si="91"/>
        <v>0</v>
      </c>
      <c r="DT82" s="62">
        <f t="shared" si="92"/>
        <v>0</v>
      </c>
      <c r="DU82" s="2">
        <v>20</v>
      </c>
      <c r="DV82" s="57">
        <f t="shared" si="95"/>
        <v>0</v>
      </c>
      <c r="DW82" s="62">
        <f t="shared" si="96"/>
        <v>0</v>
      </c>
      <c r="DX82" s="2">
        <v>19</v>
      </c>
      <c r="DY82" s="57">
        <f t="shared" si="102"/>
        <v>0</v>
      </c>
      <c r="DZ82" s="62">
        <f t="shared" si="103"/>
        <v>0</v>
      </c>
      <c r="EA82" s="2">
        <v>18</v>
      </c>
      <c r="EB82" s="57">
        <f t="shared" si="109"/>
        <v>0</v>
      </c>
      <c r="EC82" s="62">
        <f t="shared" si="106"/>
        <v>0</v>
      </c>
      <c r="ED82" s="2">
        <v>17</v>
      </c>
      <c r="EE82" s="57">
        <f t="shared" si="113"/>
        <v>0</v>
      </c>
      <c r="EF82" s="62">
        <f t="shared" si="110"/>
        <v>0</v>
      </c>
      <c r="EG82" s="2">
        <v>16</v>
      </c>
      <c r="EH82" s="57">
        <f t="shared" si="117"/>
        <v>0</v>
      </c>
      <c r="EI82" s="62">
        <f t="shared" si="114"/>
        <v>0</v>
      </c>
      <c r="EJ82" s="2">
        <v>15</v>
      </c>
      <c r="EK82" s="57">
        <f t="shared" si="121"/>
        <v>0</v>
      </c>
      <c r="EL82" s="62">
        <f t="shared" si="118"/>
        <v>0</v>
      </c>
      <c r="EM82" s="2">
        <v>14</v>
      </c>
      <c r="EN82" s="57">
        <f t="shared" si="125"/>
        <v>0</v>
      </c>
      <c r="EO82" s="62">
        <f t="shared" si="122"/>
        <v>0</v>
      </c>
      <c r="EP82" s="2">
        <v>13</v>
      </c>
      <c r="EQ82" s="57">
        <f t="shared" si="129"/>
        <v>0</v>
      </c>
      <c r="ER82" s="62">
        <f t="shared" si="126"/>
        <v>0</v>
      </c>
      <c r="ES82" s="2">
        <v>12</v>
      </c>
      <c r="ET82" s="57">
        <f t="shared" si="130"/>
        <v>0</v>
      </c>
      <c r="EU82" s="62">
        <f t="shared" si="131"/>
        <v>0</v>
      </c>
      <c r="EV82" s="2">
        <v>11</v>
      </c>
      <c r="EW82" s="57">
        <f t="shared" si="134"/>
        <v>0</v>
      </c>
      <c r="EX82" s="62">
        <f t="shared" si="135"/>
        <v>0</v>
      </c>
      <c r="EY82" s="2">
        <v>10</v>
      </c>
      <c r="EZ82" s="57">
        <f t="shared" si="141"/>
        <v>0</v>
      </c>
      <c r="FA82" s="62">
        <f t="shared" si="138"/>
        <v>0</v>
      </c>
      <c r="FB82" s="2">
        <v>9</v>
      </c>
      <c r="FC82" s="57">
        <f t="shared" si="142"/>
        <v>0</v>
      </c>
      <c r="FD82" s="62">
        <f t="shared" si="143"/>
        <v>0</v>
      </c>
      <c r="FE82" s="2">
        <v>8</v>
      </c>
      <c r="FF82" s="57">
        <f t="shared" si="149"/>
        <v>0</v>
      </c>
      <c r="FG82" s="62">
        <f t="shared" si="146"/>
        <v>0</v>
      </c>
      <c r="FH82" s="2">
        <v>7</v>
      </c>
      <c r="FI82" s="57">
        <f t="shared" si="150"/>
        <v>0</v>
      </c>
      <c r="FJ82" s="62">
        <f t="shared" si="151"/>
        <v>0</v>
      </c>
      <c r="FK82" s="2">
        <v>6</v>
      </c>
      <c r="FL82" s="57">
        <f t="shared" si="157"/>
        <v>0</v>
      </c>
      <c r="FM82" s="62">
        <f t="shared" si="154"/>
        <v>0</v>
      </c>
      <c r="FN82" s="2">
        <v>5</v>
      </c>
      <c r="FO82" s="57">
        <f t="shared" si="158"/>
        <v>0</v>
      </c>
      <c r="FP82" s="62">
        <f t="shared" si="159"/>
        <v>0</v>
      </c>
      <c r="FQ82" s="2">
        <v>4</v>
      </c>
      <c r="FR82" s="57">
        <f t="shared" si="165"/>
        <v>0</v>
      </c>
      <c r="FS82" s="62">
        <f t="shared" si="162"/>
        <v>0</v>
      </c>
      <c r="FT82" s="2">
        <v>3</v>
      </c>
      <c r="FU82" s="57">
        <f t="shared" si="166"/>
        <v>0</v>
      </c>
      <c r="FV82" s="62">
        <f t="shared" si="167"/>
        <v>0</v>
      </c>
      <c r="FW82" s="2">
        <v>2</v>
      </c>
      <c r="FX82" s="57">
        <f t="shared" si="170"/>
        <v>0</v>
      </c>
      <c r="FY82" s="62">
        <f t="shared" si="171"/>
        <v>0</v>
      </c>
      <c r="FZ82" s="2">
        <v>1</v>
      </c>
      <c r="GA82" s="57">
        <f t="shared" ref="GA82:GA145" si="177">$E$80</f>
        <v>0</v>
      </c>
      <c r="GB82" s="62">
        <f t="shared" si="174"/>
        <v>0</v>
      </c>
      <c r="GC82" s="2">
        <v>0</v>
      </c>
      <c r="GD82" s="57">
        <f t="shared" ref="GD82:GD145" si="178">$E$81</f>
        <v>0</v>
      </c>
      <c r="GE82" s="62">
        <f t="shared" ref="GE82:GE113" si="179">SUM($G$10*$G$11*GD82*(EXP(-($G$10*GC82))),$G$10*$G$11*GD82*(EXP(-($G$10*(GC82+0.1)))),$G$10*$G$11*GD82*(EXP(-($G$10*(GC82+0.2)))),$G$10*$G$11*GD82*(EXP(-($G$10*(GC82+0.3)))),$G$10*$G$11*GD82*(EXP(-($G$10*(GC82+0.4)))),$G$10*$G$11*GD82*(EXP(-($G$10*(GC82+0.5)))),$G$10*$G$11*GD82*(EXP(-($G$10*(GC82+0.6)))),$G$10*$G$11*GD82*(EXP(-($G$10*(GC82+0.7)))),$G$10*$G$11*GD82*(EXP(-($G$10*(GC82+0.8)))),$G$10*$G$11*GD82*(EXP(-($G$10*(GC82+0.9)))))/10</f>
        <v>0</v>
      </c>
      <c r="GF82" s="2"/>
      <c r="GG82" s="2"/>
      <c r="GH82" s="2"/>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row>
    <row r="83" spans="2:250">
      <c r="B83" s="56">
        <f>'USER INPUTS'!J68</f>
        <v>2078</v>
      </c>
      <c r="C83" s="420">
        <f>IF(OR(AND(ClosureCalcYes=TRUE,WasteCapacity=""),AND(ClosureCalcYes=FALSE,ClosureYear="")),0,IF('USER INPUTS'!K68&gt;0,IF('USER INPUTS'!$K$4="Mg/year",'USER INPUTS'!K68,'USER INPUTS'!L68),0))</f>
        <v>0</v>
      </c>
      <c r="D83" s="420">
        <f t="shared" si="97"/>
        <v>12946986</v>
      </c>
      <c r="E83" s="420">
        <f>IF(ClosureCalcYes=FALSE,IF(AND(B83&lt;ClosureYear,C83=0,SUM(C83:$C$102)=0),$D$13,IF(B83&lt;=ClosureYear,C83,0)),IF(B83=$D$16,($D$14-F83),IF(B83&lt;$D$16,IF(SUM(C83:$C$102)=0,$D$13,C83),0)))</f>
        <v>0</v>
      </c>
      <c r="F83" s="66">
        <f t="shared" si="98"/>
        <v>12946986</v>
      </c>
      <c r="G83" s="284">
        <f>IF(SUM(C84:$C$101)=0,C83,0)</f>
        <v>0</v>
      </c>
      <c r="H83" s="284">
        <f t="shared" si="99"/>
        <v>0</v>
      </c>
      <c r="I83" s="2">
        <f t="shared" si="8"/>
        <v>2078</v>
      </c>
      <c r="J83" s="379">
        <f t="shared" si="1"/>
        <v>10628655.851513157</v>
      </c>
      <c r="K83" s="2">
        <v>59</v>
      </c>
      <c r="L83" s="57">
        <f t="shared" si="69"/>
        <v>189082</v>
      </c>
      <c r="M83" s="62">
        <f t="shared" si="70"/>
        <v>70143.359710816221</v>
      </c>
      <c r="N83" s="2">
        <v>58</v>
      </c>
      <c r="O83" s="57">
        <f t="shared" si="73"/>
        <v>293489</v>
      </c>
      <c r="P83" s="62">
        <f t="shared" si="74"/>
        <v>113318.28266306795</v>
      </c>
      <c r="Q83" s="2">
        <v>57</v>
      </c>
      <c r="R83" s="57">
        <f t="shared" si="77"/>
        <v>283523</v>
      </c>
      <c r="S83" s="62">
        <f t="shared" si="78"/>
        <v>113937.90520999099</v>
      </c>
      <c r="T83" s="2">
        <v>56</v>
      </c>
      <c r="U83" s="57">
        <f t="shared" si="81"/>
        <v>143321</v>
      </c>
      <c r="V83" s="62">
        <f t="shared" si="82"/>
        <v>59946.184217807968</v>
      </c>
      <c r="W83" s="2">
        <v>55</v>
      </c>
      <c r="X83" s="57">
        <f t="shared" si="85"/>
        <v>227851</v>
      </c>
      <c r="Y83" s="62">
        <f t="shared" si="86"/>
        <v>99191.494211972153</v>
      </c>
      <c r="Z83" s="2">
        <v>54</v>
      </c>
      <c r="AA83" s="57">
        <f t="shared" si="89"/>
        <v>238727</v>
      </c>
      <c r="AB83" s="62">
        <f t="shared" si="90"/>
        <v>108167.50522084432</v>
      </c>
      <c r="AC83" s="2">
        <v>53</v>
      </c>
      <c r="AD83" s="57">
        <f t="shared" si="93"/>
        <v>250122</v>
      </c>
      <c r="AE83" s="62">
        <f t="shared" si="94"/>
        <v>117955.7033985825</v>
      </c>
      <c r="AF83" s="2">
        <v>52</v>
      </c>
      <c r="AG83" s="57">
        <f t="shared" si="100"/>
        <v>262060</v>
      </c>
      <c r="AH83" s="62">
        <f t="shared" si="101"/>
        <v>128629.19983602525</v>
      </c>
      <c r="AI83" s="2">
        <v>51</v>
      </c>
      <c r="AJ83" s="57">
        <f t="shared" si="104"/>
        <v>274569</v>
      </c>
      <c r="AK83" s="62">
        <f t="shared" si="105"/>
        <v>140269.13299130806</v>
      </c>
      <c r="AL83" s="2">
        <v>50</v>
      </c>
      <c r="AM83" s="57">
        <f t="shared" si="107"/>
        <v>287675</v>
      </c>
      <c r="AN83" s="62">
        <f t="shared" si="108"/>
        <v>152962.33749713909</v>
      </c>
      <c r="AO83" s="2">
        <v>49</v>
      </c>
      <c r="AP83" s="57">
        <f t="shared" si="111"/>
        <v>301406</v>
      </c>
      <c r="AQ83" s="62">
        <f t="shared" si="112"/>
        <v>166803.84701963552</v>
      </c>
      <c r="AR83" s="2">
        <v>48</v>
      </c>
      <c r="AS83" s="57">
        <f t="shared" si="115"/>
        <v>315793</v>
      </c>
      <c r="AT83" s="62">
        <f t="shared" si="116"/>
        <v>181898.21927231053</v>
      </c>
      <c r="AU83" s="2">
        <v>47</v>
      </c>
      <c r="AV83" s="57">
        <f t="shared" si="119"/>
        <v>330866</v>
      </c>
      <c r="AW83" s="62">
        <f t="shared" si="120"/>
        <v>198358.06762260111</v>
      </c>
      <c r="AX83" s="2">
        <v>46</v>
      </c>
      <c r="AY83" s="57">
        <f t="shared" si="123"/>
        <v>346659</v>
      </c>
      <c r="AZ83" s="62">
        <f t="shared" si="124"/>
        <v>216307.70368552892</v>
      </c>
      <c r="BA83" s="2">
        <v>45</v>
      </c>
      <c r="BB83" s="57">
        <f t="shared" si="127"/>
        <v>363206</v>
      </c>
      <c r="BC83" s="62">
        <f t="shared" si="128"/>
        <v>235881.7279484029</v>
      </c>
      <c r="BD83" s="2">
        <v>44</v>
      </c>
      <c r="BE83" s="57">
        <f t="shared" si="132"/>
        <v>380542</v>
      </c>
      <c r="BF83" s="62">
        <f t="shared" si="133"/>
        <v>257226.47242621248</v>
      </c>
      <c r="BG83" s="2">
        <v>43</v>
      </c>
      <c r="BH83" s="57">
        <f t="shared" si="136"/>
        <v>398706</v>
      </c>
      <c r="BI83" s="62">
        <f t="shared" si="137"/>
        <v>280503.06825239636</v>
      </c>
      <c r="BJ83" s="2">
        <v>42</v>
      </c>
      <c r="BK83" s="57">
        <f t="shared" si="139"/>
        <v>417737</v>
      </c>
      <c r="BL83" s="62">
        <f t="shared" si="140"/>
        <v>305885.97694014112</v>
      </c>
      <c r="BM83" s="2">
        <v>41</v>
      </c>
      <c r="BN83" s="57">
        <f t="shared" si="144"/>
        <v>437677</v>
      </c>
      <c r="BO83" s="62">
        <f t="shared" si="145"/>
        <v>333566.26979331864</v>
      </c>
      <c r="BP83" s="2">
        <v>40</v>
      </c>
      <c r="BQ83" s="57">
        <f t="shared" si="147"/>
        <v>458568</v>
      </c>
      <c r="BR83" s="62">
        <f t="shared" si="148"/>
        <v>363750.77557064209</v>
      </c>
      <c r="BS83" s="2">
        <v>39</v>
      </c>
      <c r="BT83" s="57">
        <f t="shared" si="152"/>
        <v>480456</v>
      </c>
      <c r="BU83" s="62">
        <f t="shared" si="153"/>
        <v>396666.55390671449</v>
      </c>
      <c r="BV83" s="2">
        <v>38</v>
      </c>
      <c r="BW83" s="57">
        <f t="shared" si="155"/>
        <v>503389</v>
      </c>
      <c r="BX83" s="62">
        <f t="shared" si="156"/>
        <v>432561.10138975072</v>
      </c>
      <c r="BY83" s="2">
        <v>37</v>
      </c>
      <c r="BZ83" s="57">
        <f t="shared" si="160"/>
        <v>527417</v>
      </c>
      <c r="CA83" s="62">
        <f t="shared" si="161"/>
        <v>471704.09293006203</v>
      </c>
      <c r="CB83" s="2">
        <v>36</v>
      </c>
      <c r="CC83" s="57">
        <f t="shared" si="163"/>
        <v>552592</v>
      </c>
      <c r="CD83" s="62">
        <f t="shared" si="164"/>
        <v>514389.26081586193</v>
      </c>
      <c r="CE83" s="2">
        <v>35</v>
      </c>
      <c r="CF83" s="57">
        <f t="shared" si="168"/>
        <v>578968</v>
      </c>
      <c r="CG83" s="62">
        <f t="shared" si="169"/>
        <v>560936.42157466128</v>
      </c>
      <c r="CH83" s="2">
        <v>34</v>
      </c>
      <c r="CI83" s="57">
        <f t="shared" si="172"/>
        <v>606603</v>
      </c>
      <c r="CJ83" s="62">
        <f t="shared" si="173"/>
        <v>611695.67824665678</v>
      </c>
      <c r="CK83" s="2">
        <v>33</v>
      </c>
      <c r="CL83" s="57">
        <f t="shared" si="175"/>
        <v>635558</v>
      </c>
      <c r="CM83" s="62">
        <f t="shared" si="176"/>
        <v>667049.13803212461</v>
      </c>
      <c r="CN83" s="2">
        <v>32</v>
      </c>
      <c r="CO83" s="57">
        <f t="shared" ref="CO83:CO114" si="180">$E$50</f>
        <v>665894</v>
      </c>
      <c r="CP83" s="62">
        <f t="shared" ref="CP83:CP114" si="181">SUM($G$10*$G$11*CO83*(EXP(-($G$10*CN83))),$G$10*$G$11*CO83*(EXP(-($G$10*(CN83+0.1)))),$G$10*$G$11*CO83*(EXP(-($G$10*(CN83+0.2)))),$G$10*$G$11*CO83*(EXP(-($G$10*(CN83+0.3)))),$G$10*$G$11*CO83*(EXP(-($G$10*(CN83+0.4)))),$G$10*$G$11*CO83*(EXP(-($G$10*(CN83+0.5)))),$G$10*$G$11*CO83*(EXP(-($G$10*(CN83+0.6)))),$G$10*$G$11*CO83*(EXP(-($G$10*(CN83+0.7)))),$G$10*$G$11*CO83*(EXP(-($G$10*(CN83+0.8)))),$G$10*$G$11*CO83*(EXP(-($G$10*(CN83+0.9)))))/10</f>
        <v>727410.42109240091</v>
      </c>
      <c r="CQ83" s="2">
        <v>31</v>
      </c>
      <c r="CR83" s="57">
        <f t="shared" si="61"/>
        <v>697679</v>
      </c>
      <c r="CS83" s="62">
        <f t="shared" si="62"/>
        <v>793234.96120426897</v>
      </c>
      <c r="CT83" s="2">
        <v>30</v>
      </c>
      <c r="CU83" s="57">
        <f t="shared" si="63"/>
        <v>730980</v>
      </c>
      <c r="CV83" s="62">
        <f t="shared" si="64"/>
        <v>865014.66437726992</v>
      </c>
      <c r="CW83" s="2">
        <v>29</v>
      </c>
      <c r="CX83" s="57">
        <f t="shared" si="65"/>
        <v>765871</v>
      </c>
      <c r="CY83" s="62">
        <f t="shared" si="66"/>
        <v>943290.32445464132</v>
      </c>
      <c r="CZ83" s="2">
        <v>28</v>
      </c>
      <c r="DA83" s="57">
        <f t="shared" si="67"/>
        <v>0</v>
      </c>
      <c r="DB83" s="62">
        <f t="shared" si="68"/>
        <v>0</v>
      </c>
      <c r="DC83" s="2">
        <v>27</v>
      </c>
      <c r="DD83" s="57">
        <f t="shared" si="71"/>
        <v>0</v>
      </c>
      <c r="DE83" s="62">
        <f t="shared" si="72"/>
        <v>0</v>
      </c>
      <c r="DF83" s="2">
        <v>26</v>
      </c>
      <c r="DG83" s="57">
        <f t="shared" si="75"/>
        <v>0</v>
      </c>
      <c r="DH83" s="62">
        <f t="shared" si="76"/>
        <v>0</v>
      </c>
      <c r="DI83" s="2">
        <v>25</v>
      </c>
      <c r="DJ83" s="57">
        <f t="shared" si="79"/>
        <v>0</v>
      </c>
      <c r="DK83" s="62">
        <f t="shared" si="80"/>
        <v>0</v>
      </c>
      <c r="DL83" s="2">
        <v>24</v>
      </c>
      <c r="DM83" s="57">
        <f t="shared" si="83"/>
        <v>0</v>
      </c>
      <c r="DN83" s="62">
        <f t="shared" si="84"/>
        <v>0</v>
      </c>
      <c r="DO83" s="2">
        <v>23</v>
      </c>
      <c r="DP83" s="57">
        <f t="shared" si="87"/>
        <v>0</v>
      </c>
      <c r="DQ83" s="62">
        <f t="shared" si="88"/>
        <v>0</v>
      </c>
      <c r="DR83" s="2">
        <v>22</v>
      </c>
      <c r="DS83" s="57">
        <f t="shared" si="91"/>
        <v>0</v>
      </c>
      <c r="DT83" s="62">
        <f t="shared" si="92"/>
        <v>0</v>
      </c>
      <c r="DU83" s="2">
        <v>21</v>
      </c>
      <c r="DV83" s="57">
        <f t="shared" si="95"/>
        <v>0</v>
      </c>
      <c r="DW83" s="62">
        <f t="shared" si="96"/>
        <v>0</v>
      </c>
      <c r="DX83" s="2">
        <v>20</v>
      </c>
      <c r="DY83" s="57">
        <f t="shared" si="102"/>
        <v>0</v>
      </c>
      <c r="DZ83" s="62">
        <f t="shared" si="103"/>
        <v>0</v>
      </c>
      <c r="EA83" s="2">
        <v>19</v>
      </c>
      <c r="EB83" s="57">
        <f t="shared" si="109"/>
        <v>0</v>
      </c>
      <c r="EC83" s="62">
        <f t="shared" si="106"/>
        <v>0</v>
      </c>
      <c r="ED83" s="2">
        <v>18</v>
      </c>
      <c r="EE83" s="57">
        <f t="shared" si="113"/>
        <v>0</v>
      </c>
      <c r="EF83" s="62">
        <f t="shared" si="110"/>
        <v>0</v>
      </c>
      <c r="EG83" s="2">
        <v>17</v>
      </c>
      <c r="EH83" s="57">
        <f t="shared" si="117"/>
        <v>0</v>
      </c>
      <c r="EI83" s="62">
        <f t="shared" si="114"/>
        <v>0</v>
      </c>
      <c r="EJ83" s="2">
        <v>16</v>
      </c>
      <c r="EK83" s="57">
        <f t="shared" si="121"/>
        <v>0</v>
      </c>
      <c r="EL83" s="62">
        <f t="shared" si="118"/>
        <v>0</v>
      </c>
      <c r="EM83" s="2">
        <v>15</v>
      </c>
      <c r="EN83" s="57">
        <f t="shared" si="125"/>
        <v>0</v>
      </c>
      <c r="EO83" s="62">
        <f t="shared" si="122"/>
        <v>0</v>
      </c>
      <c r="EP83" s="2">
        <v>14</v>
      </c>
      <c r="EQ83" s="57">
        <f t="shared" si="129"/>
        <v>0</v>
      </c>
      <c r="ER83" s="62">
        <f t="shared" si="126"/>
        <v>0</v>
      </c>
      <c r="ES83" s="2">
        <v>13</v>
      </c>
      <c r="ET83" s="57">
        <f t="shared" si="130"/>
        <v>0</v>
      </c>
      <c r="EU83" s="62">
        <f t="shared" si="131"/>
        <v>0</v>
      </c>
      <c r="EV83" s="2">
        <v>12</v>
      </c>
      <c r="EW83" s="57">
        <f t="shared" si="134"/>
        <v>0</v>
      </c>
      <c r="EX83" s="62">
        <f t="shared" si="135"/>
        <v>0</v>
      </c>
      <c r="EY83" s="2">
        <v>11</v>
      </c>
      <c r="EZ83" s="57">
        <f t="shared" si="141"/>
        <v>0</v>
      </c>
      <c r="FA83" s="62">
        <f t="shared" si="138"/>
        <v>0</v>
      </c>
      <c r="FB83" s="2">
        <v>10</v>
      </c>
      <c r="FC83" s="57">
        <f t="shared" si="142"/>
        <v>0</v>
      </c>
      <c r="FD83" s="62">
        <f t="shared" si="143"/>
        <v>0</v>
      </c>
      <c r="FE83" s="2">
        <v>9</v>
      </c>
      <c r="FF83" s="57">
        <f t="shared" si="149"/>
        <v>0</v>
      </c>
      <c r="FG83" s="62">
        <f t="shared" si="146"/>
        <v>0</v>
      </c>
      <c r="FH83" s="2">
        <v>8</v>
      </c>
      <c r="FI83" s="57">
        <f t="shared" si="150"/>
        <v>0</v>
      </c>
      <c r="FJ83" s="62">
        <f t="shared" si="151"/>
        <v>0</v>
      </c>
      <c r="FK83" s="2">
        <v>7</v>
      </c>
      <c r="FL83" s="57">
        <f t="shared" si="157"/>
        <v>0</v>
      </c>
      <c r="FM83" s="62">
        <f t="shared" si="154"/>
        <v>0</v>
      </c>
      <c r="FN83" s="2">
        <v>6</v>
      </c>
      <c r="FO83" s="57">
        <f t="shared" si="158"/>
        <v>0</v>
      </c>
      <c r="FP83" s="62">
        <f t="shared" si="159"/>
        <v>0</v>
      </c>
      <c r="FQ83" s="2">
        <v>5</v>
      </c>
      <c r="FR83" s="57">
        <f t="shared" si="165"/>
        <v>0</v>
      </c>
      <c r="FS83" s="62">
        <f t="shared" si="162"/>
        <v>0</v>
      </c>
      <c r="FT83" s="2">
        <v>4</v>
      </c>
      <c r="FU83" s="57">
        <f t="shared" si="166"/>
        <v>0</v>
      </c>
      <c r="FV83" s="62">
        <f t="shared" si="167"/>
        <v>0</v>
      </c>
      <c r="FW83" s="2">
        <v>3</v>
      </c>
      <c r="FX83" s="57">
        <f t="shared" si="170"/>
        <v>0</v>
      </c>
      <c r="FY83" s="62">
        <f t="shared" si="171"/>
        <v>0</v>
      </c>
      <c r="FZ83" s="2">
        <v>2</v>
      </c>
      <c r="GA83" s="57">
        <f t="shared" si="177"/>
        <v>0</v>
      </c>
      <c r="GB83" s="62">
        <f t="shared" si="174"/>
        <v>0</v>
      </c>
      <c r="GC83" s="2">
        <v>1</v>
      </c>
      <c r="GD83" s="57">
        <f t="shared" si="178"/>
        <v>0</v>
      </c>
      <c r="GE83" s="62">
        <f t="shared" si="179"/>
        <v>0</v>
      </c>
      <c r="GF83" s="2">
        <v>0</v>
      </c>
      <c r="GG83" s="57">
        <f>$E$82</f>
        <v>0</v>
      </c>
      <c r="GH83" s="62">
        <f t="shared" ref="GH83:GH114" si="182">SUM($G$10*$G$11*GG83*(EXP(-($G$10*GF83))),$G$10*$G$11*GG83*(EXP(-($G$10*(GF83+0.1)))),$G$10*$G$11*GG83*(EXP(-($G$10*(GF83+0.2)))),$G$10*$G$11*GG83*(EXP(-($G$10*(GF83+0.3)))),$G$10*$G$11*GG83*(EXP(-($G$10*(GF83+0.4)))),$G$10*$G$11*GG83*(EXP(-($G$10*(GF83+0.5)))),$G$10*$G$11*GG83*(EXP(-($G$10*(GF83+0.6)))),$G$10*$G$11*GG83*(EXP(-($G$10*(GF83+0.7)))),$G$10*$G$11*GG83*(EXP(-($G$10*(GF83+0.8)))),$G$10*$G$11*GG83*(EXP(-($G$10*(GF83+0.9)))))/10</f>
        <v>0</v>
      </c>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row>
    <row r="84" spans="2:250">
      <c r="B84" s="56">
        <f>'USER INPUTS'!J69</f>
        <v>2079</v>
      </c>
      <c r="C84" s="420">
        <f>IF(OR(AND(ClosureCalcYes=TRUE,WasteCapacity=""),AND(ClosureCalcYes=FALSE,ClosureYear="")),0,IF('USER INPUTS'!K69&gt;0,IF('USER INPUTS'!$K$4="Mg/year",'USER INPUTS'!K69,'USER INPUTS'!L69),0))</f>
        <v>0</v>
      </c>
      <c r="D84" s="420">
        <f t="shared" si="97"/>
        <v>12946986</v>
      </c>
      <c r="E84" s="420">
        <f>IF(ClosureCalcYes=FALSE,IF(AND(B84&lt;ClosureYear,C84=0,SUM(C84:$C$102)=0),$D$13,IF(B84&lt;=ClosureYear,C84,0)),IF(B84=$D$16,($D$14-F84),IF(B84&lt;$D$16,IF(SUM(C84:$C$102)=0,$D$13,C84),0)))</f>
        <v>0</v>
      </c>
      <c r="F84" s="66">
        <f t="shared" si="98"/>
        <v>12946986</v>
      </c>
      <c r="G84" s="284">
        <f>IF(SUM(C85:$C$101)=0,C84,0)</f>
        <v>0</v>
      </c>
      <c r="H84" s="284">
        <f t="shared" si="99"/>
        <v>0</v>
      </c>
      <c r="I84" s="2">
        <f t="shared" si="8"/>
        <v>2079</v>
      </c>
      <c r="J84" s="379">
        <f t="shared" si="1"/>
        <v>10211900.294518385</v>
      </c>
      <c r="K84" s="2">
        <v>60</v>
      </c>
      <c r="L84" s="57">
        <f t="shared" si="69"/>
        <v>189082</v>
      </c>
      <c r="M84" s="62">
        <f t="shared" si="70"/>
        <v>67392.99923681478</v>
      </c>
      <c r="N84" s="2">
        <v>59</v>
      </c>
      <c r="O84" s="57">
        <f t="shared" si="73"/>
        <v>293489</v>
      </c>
      <c r="P84" s="62">
        <f t="shared" si="74"/>
        <v>108875.00924555348</v>
      </c>
      <c r="Q84" s="2">
        <v>58</v>
      </c>
      <c r="R84" s="57">
        <f t="shared" si="77"/>
        <v>283523</v>
      </c>
      <c r="S84" s="62">
        <f t="shared" si="78"/>
        <v>109470.33604489782</v>
      </c>
      <c r="T84" s="2">
        <v>57</v>
      </c>
      <c r="U84" s="57">
        <f t="shared" si="81"/>
        <v>143321</v>
      </c>
      <c r="V84" s="62">
        <f t="shared" si="82"/>
        <v>57595.660713949546</v>
      </c>
      <c r="W84" s="2">
        <v>56</v>
      </c>
      <c r="X84" s="57">
        <f t="shared" si="85"/>
        <v>227851</v>
      </c>
      <c r="Y84" s="62">
        <f t="shared" si="86"/>
        <v>95302.14009260165</v>
      </c>
      <c r="Z84" s="2">
        <v>55</v>
      </c>
      <c r="AA84" s="57">
        <f t="shared" si="89"/>
        <v>238727</v>
      </c>
      <c r="AB84" s="62">
        <f t="shared" si="90"/>
        <v>103926.196675641</v>
      </c>
      <c r="AC84" s="2">
        <v>54</v>
      </c>
      <c r="AD84" s="57">
        <f t="shared" si="93"/>
        <v>250122</v>
      </c>
      <c r="AE84" s="62">
        <f t="shared" si="94"/>
        <v>113330.59411314185</v>
      </c>
      <c r="AF84" s="2">
        <v>53</v>
      </c>
      <c r="AG84" s="57">
        <f t="shared" si="100"/>
        <v>262060</v>
      </c>
      <c r="AH84" s="62">
        <f t="shared" si="101"/>
        <v>123585.57676906681</v>
      </c>
      <c r="AI84" s="2">
        <v>52</v>
      </c>
      <c r="AJ84" s="57">
        <f t="shared" si="104"/>
        <v>274569</v>
      </c>
      <c r="AK84" s="62">
        <f t="shared" si="105"/>
        <v>134769.10161710149</v>
      </c>
      <c r="AL84" s="2">
        <v>51</v>
      </c>
      <c r="AM84" s="57">
        <f t="shared" si="107"/>
        <v>287675</v>
      </c>
      <c r="AN84" s="62">
        <f t="shared" si="108"/>
        <v>146964.59845530469</v>
      </c>
      <c r="AO84" s="2">
        <v>50</v>
      </c>
      <c r="AP84" s="57">
        <f t="shared" si="111"/>
        <v>301406</v>
      </c>
      <c r="AQ84" s="62">
        <f t="shared" si="112"/>
        <v>160263.37462644553</v>
      </c>
      <c r="AR84" s="2">
        <v>49</v>
      </c>
      <c r="AS84" s="57">
        <f t="shared" si="115"/>
        <v>315793</v>
      </c>
      <c r="AT84" s="62">
        <f t="shared" si="116"/>
        <v>174765.88807744952</v>
      </c>
      <c r="AU84" s="2">
        <v>48</v>
      </c>
      <c r="AV84" s="57">
        <f t="shared" si="119"/>
        <v>330866</v>
      </c>
      <c r="AW84" s="62">
        <f t="shared" si="120"/>
        <v>190580.33654245755</v>
      </c>
      <c r="AX84" s="2">
        <v>47</v>
      </c>
      <c r="AY84" s="57">
        <f t="shared" si="123"/>
        <v>346659</v>
      </c>
      <c r="AZ84" s="62">
        <f t="shared" si="124"/>
        <v>207826.15730834627</v>
      </c>
      <c r="BA84" s="2">
        <v>46</v>
      </c>
      <c r="BB84" s="57">
        <f t="shared" si="127"/>
        <v>363206</v>
      </c>
      <c r="BC84" s="62">
        <f t="shared" si="128"/>
        <v>226632.67310182689</v>
      </c>
      <c r="BD84" s="2">
        <v>45</v>
      </c>
      <c r="BE84" s="57">
        <f t="shared" si="132"/>
        <v>380542</v>
      </c>
      <c r="BF84" s="62">
        <f t="shared" si="133"/>
        <v>247140.47817751119</v>
      </c>
      <c r="BG84" s="2">
        <v>44</v>
      </c>
      <c r="BH84" s="57">
        <f t="shared" si="136"/>
        <v>398706</v>
      </c>
      <c r="BI84" s="62">
        <f t="shared" si="137"/>
        <v>269504.38562672574</v>
      </c>
      <c r="BJ84" s="2">
        <v>43</v>
      </c>
      <c r="BK84" s="57">
        <f t="shared" si="139"/>
        <v>417737</v>
      </c>
      <c r="BL84" s="62">
        <f t="shared" si="140"/>
        <v>293892.0162288787</v>
      </c>
      <c r="BM84" s="2">
        <v>42</v>
      </c>
      <c r="BN84" s="57">
        <f t="shared" si="144"/>
        <v>437677</v>
      </c>
      <c r="BO84" s="62">
        <f t="shared" si="145"/>
        <v>320486.94927485508</v>
      </c>
      <c r="BP84" s="2">
        <v>41</v>
      </c>
      <c r="BQ84" s="57">
        <f t="shared" si="147"/>
        <v>458568</v>
      </c>
      <c r="BR84" s="62">
        <f t="shared" si="148"/>
        <v>349487.90365173982</v>
      </c>
      <c r="BS84" s="2">
        <v>40</v>
      </c>
      <c r="BT84" s="57">
        <f t="shared" si="152"/>
        <v>480456</v>
      </c>
      <c r="BU84" s="62">
        <f t="shared" si="153"/>
        <v>381113.03585851705</v>
      </c>
      <c r="BV84" s="2">
        <v>39</v>
      </c>
      <c r="BW84" s="57">
        <f t="shared" si="155"/>
        <v>503389</v>
      </c>
      <c r="BX84" s="62">
        <f t="shared" si="156"/>
        <v>415600.13800336991</v>
      </c>
      <c r="BY84" s="2">
        <v>38</v>
      </c>
      <c r="BZ84" s="57">
        <f t="shared" si="160"/>
        <v>527417</v>
      </c>
      <c r="CA84" s="62">
        <f t="shared" si="161"/>
        <v>453208.31089212961</v>
      </c>
      <c r="CB84" s="2">
        <v>37</v>
      </c>
      <c r="CC84" s="57">
        <f t="shared" si="163"/>
        <v>552592</v>
      </c>
      <c r="CD84" s="62">
        <f t="shared" si="164"/>
        <v>494219.76940525009</v>
      </c>
      <c r="CE84" s="2">
        <v>36</v>
      </c>
      <c r="CF84" s="57">
        <f t="shared" si="168"/>
        <v>578968</v>
      </c>
      <c r="CG84" s="62">
        <f t="shared" si="169"/>
        <v>538941.78988482989</v>
      </c>
      <c r="CH84" s="2">
        <v>35</v>
      </c>
      <c r="CI84" s="57">
        <f t="shared" si="172"/>
        <v>606603</v>
      </c>
      <c r="CJ84" s="62">
        <f t="shared" si="173"/>
        <v>587710.74763450527</v>
      </c>
      <c r="CK84" s="2">
        <v>34</v>
      </c>
      <c r="CL84" s="57">
        <f t="shared" si="175"/>
        <v>635558</v>
      </c>
      <c r="CM84" s="62">
        <f t="shared" si="176"/>
        <v>640893.76721692551</v>
      </c>
      <c r="CN84" s="2">
        <v>33</v>
      </c>
      <c r="CO84" s="57">
        <f t="shared" si="180"/>
        <v>665894</v>
      </c>
      <c r="CP84" s="62">
        <f t="shared" si="181"/>
        <v>698888.25051492325</v>
      </c>
      <c r="CQ84" s="2">
        <v>32</v>
      </c>
      <c r="CR84" s="57">
        <f t="shared" ref="CR84:CR115" si="183">$E$51</f>
        <v>697679</v>
      </c>
      <c r="CS84" s="62">
        <f t="shared" ref="CS84:CS115" si="184">SUM($G$10*$G$11*CR84*(EXP(-($G$10*CQ84))),$G$10*$G$11*CR84*(EXP(-($G$10*(CQ84+0.1)))),$G$10*$G$11*CR84*(EXP(-($G$10*(CQ84+0.2)))),$G$10*$G$11*CR84*(EXP(-($G$10*(CQ84+0.3)))),$G$10*$G$11*CR84*(EXP(-($G$10*(CQ84+0.4)))),$G$10*$G$11*CR84*(EXP(-($G$10*(CQ84+0.5)))),$G$10*$G$11*CR84*(EXP(-($G$10*(CQ84+0.6)))),$G$10*$G$11*CR84*(EXP(-($G$10*(CQ84+0.7)))),$G$10*$G$11*CR84*(EXP(-($G$10*(CQ84+0.8)))),$G$10*$G$11*CR84*(EXP(-($G$10*(CQ84+0.9)))))/10</f>
        <v>762131.77349146444</v>
      </c>
      <c r="CT84" s="2">
        <v>31</v>
      </c>
      <c r="CU84" s="57">
        <f t="shared" si="63"/>
        <v>730980</v>
      </c>
      <c r="CV84" s="62">
        <f t="shared" si="64"/>
        <v>831096.95424557221</v>
      </c>
      <c r="CW84" s="2">
        <v>30</v>
      </c>
      <c r="CX84" s="57">
        <f t="shared" si="65"/>
        <v>765871</v>
      </c>
      <c r="CY84" s="62">
        <f t="shared" si="66"/>
        <v>906303.38179058791</v>
      </c>
      <c r="CZ84" s="2">
        <v>29</v>
      </c>
      <c r="DA84" s="57">
        <f t="shared" si="67"/>
        <v>0</v>
      </c>
      <c r="DB84" s="62">
        <f t="shared" si="68"/>
        <v>0</v>
      </c>
      <c r="DC84" s="2">
        <v>28</v>
      </c>
      <c r="DD84" s="57">
        <f t="shared" si="71"/>
        <v>0</v>
      </c>
      <c r="DE84" s="62">
        <f t="shared" si="72"/>
        <v>0</v>
      </c>
      <c r="DF84" s="2">
        <v>27</v>
      </c>
      <c r="DG84" s="57">
        <f t="shared" si="75"/>
        <v>0</v>
      </c>
      <c r="DH84" s="62">
        <f t="shared" si="76"/>
        <v>0</v>
      </c>
      <c r="DI84" s="2">
        <v>26</v>
      </c>
      <c r="DJ84" s="57">
        <f t="shared" si="79"/>
        <v>0</v>
      </c>
      <c r="DK84" s="62">
        <f t="shared" si="80"/>
        <v>0</v>
      </c>
      <c r="DL84" s="2">
        <v>25</v>
      </c>
      <c r="DM84" s="57">
        <f t="shared" si="83"/>
        <v>0</v>
      </c>
      <c r="DN84" s="62">
        <f t="shared" si="84"/>
        <v>0</v>
      </c>
      <c r="DO84" s="2">
        <v>24</v>
      </c>
      <c r="DP84" s="57">
        <f t="shared" si="87"/>
        <v>0</v>
      </c>
      <c r="DQ84" s="62">
        <f t="shared" si="88"/>
        <v>0</v>
      </c>
      <c r="DR84" s="2">
        <v>23</v>
      </c>
      <c r="DS84" s="57">
        <f t="shared" si="91"/>
        <v>0</v>
      </c>
      <c r="DT84" s="62">
        <f t="shared" si="92"/>
        <v>0</v>
      </c>
      <c r="DU84" s="2">
        <v>22</v>
      </c>
      <c r="DV84" s="57">
        <f t="shared" si="95"/>
        <v>0</v>
      </c>
      <c r="DW84" s="62">
        <f t="shared" si="96"/>
        <v>0</v>
      </c>
      <c r="DX84" s="2">
        <v>21</v>
      </c>
      <c r="DY84" s="57">
        <f t="shared" si="102"/>
        <v>0</v>
      </c>
      <c r="DZ84" s="62">
        <f t="shared" si="103"/>
        <v>0</v>
      </c>
      <c r="EA84" s="2">
        <v>20</v>
      </c>
      <c r="EB84" s="57">
        <f t="shared" si="109"/>
        <v>0</v>
      </c>
      <c r="EC84" s="62">
        <f t="shared" si="106"/>
        <v>0</v>
      </c>
      <c r="ED84" s="2">
        <v>19</v>
      </c>
      <c r="EE84" s="57">
        <f t="shared" si="113"/>
        <v>0</v>
      </c>
      <c r="EF84" s="62">
        <f t="shared" si="110"/>
        <v>0</v>
      </c>
      <c r="EG84" s="2">
        <v>18</v>
      </c>
      <c r="EH84" s="57">
        <f t="shared" si="117"/>
        <v>0</v>
      </c>
      <c r="EI84" s="62">
        <f t="shared" si="114"/>
        <v>0</v>
      </c>
      <c r="EJ84" s="2">
        <v>17</v>
      </c>
      <c r="EK84" s="57">
        <f t="shared" si="121"/>
        <v>0</v>
      </c>
      <c r="EL84" s="62">
        <f t="shared" si="118"/>
        <v>0</v>
      </c>
      <c r="EM84" s="2">
        <v>16</v>
      </c>
      <c r="EN84" s="57">
        <f t="shared" si="125"/>
        <v>0</v>
      </c>
      <c r="EO84" s="62">
        <f t="shared" si="122"/>
        <v>0</v>
      </c>
      <c r="EP84" s="2">
        <v>15</v>
      </c>
      <c r="EQ84" s="57">
        <f t="shared" si="129"/>
        <v>0</v>
      </c>
      <c r="ER84" s="62">
        <f t="shared" si="126"/>
        <v>0</v>
      </c>
      <c r="ES84" s="2">
        <v>14</v>
      </c>
      <c r="ET84" s="57">
        <f t="shared" si="130"/>
        <v>0</v>
      </c>
      <c r="EU84" s="62">
        <f t="shared" si="131"/>
        <v>0</v>
      </c>
      <c r="EV84" s="2">
        <v>13</v>
      </c>
      <c r="EW84" s="57">
        <f t="shared" si="134"/>
        <v>0</v>
      </c>
      <c r="EX84" s="62">
        <f t="shared" si="135"/>
        <v>0</v>
      </c>
      <c r="EY84" s="2">
        <v>12</v>
      </c>
      <c r="EZ84" s="57">
        <f t="shared" si="141"/>
        <v>0</v>
      </c>
      <c r="FA84" s="62">
        <f t="shared" si="138"/>
        <v>0</v>
      </c>
      <c r="FB84" s="2">
        <v>11</v>
      </c>
      <c r="FC84" s="57">
        <f t="shared" si="142"/>
        <v>0</v>
      </c>
      <c r="FD84" s="62">
        <f t="shared" si="143"/>
        <v>0</v>
      </c>
      <c r="FE84" s="2">
        <v>10</v>
      </c>
      <c r="FF84" s="57">
        <f t="shared" si="149"/>
        <v>0</v>
      </c>
      <c r="FG84" s="62">
        <f t="shared" si="146"/>
        <v>0</v>
      </c>
      <c r="FH84" s="2">
        <v>9</v>
      </c>
      <c r="FI84" s="57">
        <f t="shared" si="150"/>
        <v>0</v>
      </c>
      <c r="FJ84" s="62">
        <f t="shared" si="151"/>
        <v>0</v>
      </c>
      <c r="FK84" s="2">
        <v>8</v>
      </c>
      <c r="FL84" s="57">
        <f t="shared" si="157"/>
        <v>0</v>
      </c>
      <c r="FM84" s="62">
        <f t="shared" si="154"/>
        <v>0</v>
      </c>
      <c r="FN84" s="2">
        <v>7</v>
      </c>
      <c r="FO84" s="57">
        <f t="shared" si="158"/>
        <v>0</v>
      </c>
      <c r="FP84" s="62">
        <f t="shared" si="159"/>
        <v>0</v>
      </c>
      <c r="FQ84" s="2">
        <v>6</v>
      </c>
      <c r="FR84" s="57">
        <f t="shared" si="165"/>
        <v>0</v>
      </c>
      <c r="FS84" s="62">
        <f t="shared" si="162"/>
        <v>0</v>
      </c>
      <c r="FT84" s="2">
        <v>5</v>
      </c>
      <c r="FU84" s="57">
        <f t="shared" si="166"/>
        <v>0</v>
      </c>
      <c r="FV84" s="62">
        <f t="shared" si="167"/>
        <v>0</v>
      </c>
      <c r="FW84" s="2">
        <v>4</v>
      </c>
      <c r="FX84" s="57">
        <f t="shared" si="170"/>
        <v>0</v>
      </c>
      <c r="FY84" s="62">
        <f t="shared" si="171"/>
        <v>0</v>
      </c>
      <c r="FZ84" s="2">
        <v>3</v>
      </c>
      <c r="GA84" s="57">
        <f t="shared" si="177"/>
        <v>0</v>
      </c>
      <c r="GB84" s="62">
        <f t="shared" si="174"/>
        <v>0</v>
      </c>
      <c r="GC84" s="2">
        <v>2</v>
      </c>
      <c r="GD84" s="57">
        <f t="shared" si="178"/>
        <v>0</v>
      </c>
      <c r="GE84" s="62">
        <f t="shared" si="179"/>
        <v>0</v>
      </c>
      <c r="GF84" s="2">
        <v>1</v>
      </c>
      <c r="GG84" s="57">
        <f t="shared" ref="GG84:GG147" si="185">$E$82</f>
        <v>0</v>
      </c>
      <c r="GH84" s="62">
        <f t="shared" si="182"/>
        <v>0</v>
      </c>
      <c r="GI84" s="2">
        <v>0</v>
      </c>
      <c r="GJ84" s="57">
        <f t="shared" ref="GJ84:GJ147" si="186">$E$83</f>
        <v>0</v>
      </c>
      <c r="GK84" s="62">
        <f t="shared" ref="GK84:GK115" si="187">SUM($G$10*$G$11*GJ84*(EXP(-($G$10*GI84))),$G$10*$G$11*GJ84*(EXP(-($G$10*(GI84+0.1)))),$G$10*$G$11*GJ84*(EXP(-($G$10*(GI84+0.2)))),$G$10*$G$11*GJ84*(EXP(-($G$10*(GI84+0.3)))),$G$10*$G$11*GJ84*(EXP(-($G$10*(GI84+0.4)))),$G$10*$G$11*GJ84*(EXP(-($G$10*(GI84+0.5)))),$G$10*$G$11*GJ84*(EXP(-($G$10*(GI84+0.6)))),$G$10*$G$11*GJ84*(EXP(-($G$10*(GI84+0.7)))),$G$10*$G$11*GJ84*(EXP(-($G$10*(GI84+0.8)))),$G$10*$G$11*GJ84*(EXP(-($G$10*(GI84+0.9)))))/10</f>
        <v>0</v>
      </c>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row>
    <row r="85" spans="2:250">
      <c r="B85" s="56">
        <f>'USER INPUTS'!J70</f>
        <v>2080</v>
      </c>
      <c r="C85" s="420">
        <f>IF(OR(AND(ClosureCalcYes=TRUE,WasteCapacity=""),AND(ClosureCalcYes=FALSE,ClosureYear="")),0,IF('USER INPUTS'!K70&gt;0,IF('USER INPUTS'!$K$4="Mg/year",'USER INPUTS'!K70,'USER INPUTS'!L70),0))</f>
        <v>0</v>
      </c>
      <c r="D85" s="420">
        <f t="shared" si="97"/>
        <v>12946986</v>
      </c>
      <c r="E85" s="420">
        <f>IF(ClosureCalcYes=FALSE,IF(AND(B85&lt;ClosureYear,C85=0,SUM(C85:$C$102)=0),$D$13,IF(B85&lt;=ClosureYear,C85,0)),IF(B85=$D$16,($D$14-F85),IF(B85&lt;$D$16,IF(SUM(C85:$C$102)=0,$D$13,C85),0)))</f>
        <v>0</v>
      </c>
      <c r="F85" s="66">
        <f t="shared" si="98"/>
        <v>12946986</v>
      </c>
      <c r="G85" s="284">
        <f>IF(SUM(C86:$C$101)=0,C85,0)</f>
        <v>0</v>
      </c>
      <c r="H85" s="284">
        <f t="shared" si="99"/>
        <v>0</v>
      </c>
      <c r="I85" s="2">
        <f t="shared" si="8"/>
        <v>2080</v>
      </c>
      <c r="J85" s="379">
        <f t="shared" si="1"/>
        <v>9811485.9566497635</v>
      </c>
      <c r="K85" s="2">
        <v>61</v>
      </c>
      <c r="L85" s="57">
        <f t="shared" si="69"/>
        <v>189082</v>
      </c>
      <c r="M85" s="62">
        <f t="shared" si="70"/>
        <v>64750.481939532234</v>
      </c>
      <c r="N85" s="2">
        <v>60</v>
      </c>
      <c r="O85" s="57">
        <f t="shared" si="73"/>
        <v>293489</v>
      </c>
      <c r="P85" s="62">
        <f t="shared" si="74"/>
        <v>104605.95907073934</v>
      </c>
      <c r="Q85" s="2">
        <v>59</v>
      </c>
      <c r="R85" s="57">
        <f t="shared" si="77"/>
        <v>283523</v>
      </c>
      <c r="S85" s="62">
        <f t="shared" si="78"/>
        <v>105177.94277239373</v>
      </c>
      <c r="T85" s="2">
        <v>58</v>
      </c>
      <c r="U85" s="57">
        <f t="shared" si="81"/>
        <v>143321</v>
      </c>
      <c r="V85" s="62">
        <f t="shared" si="82"/>
        <v>55337.302554963084</v>
      </c>
      <c r="W85" s="2">
        <v>57</v>
      </c>
      <c r="X85" s="57">
        <f t="shared" si="85"/>
        <v>227851</v>
      </c>
      <c r="Y85" s="62">
        <f t="shared" si="86"/>
        <v>91565.289729586861</v>
      </c>
      <c r="Z85" s="2">
        <v>56</v>
      </c>
      <c r="AA85" s="57">
        <f t="shared" si="89"/>
        <v>238727</v>
      </c>
      <c r="AB85" s="62">
        <f t="shared" si="90"/>
        <v>99851.192217223157</v>
      </c>
      <c r="AC85" s="2">
        <v>55</v>
      </c>
      <c r="AD85" s="57">
        <f t="shared" si="93"/>
        <v>250122</v>
      </c>
      <c r="AE85" s="62">
        <f t="shared" si="94"/>
        <v>108886.83795676516</v>
      </c>
      <c r="AF85" s="2">
        <v>54</v>
      </c>
      <c r="AG85" s="57">
        <f t="shared" si="100"/>
        <v>262060</v>
      </c>
      <c r="AH85" s="62">
        <f t="shared" si="101"/>
        <v>118739.7169912681</v>
      </c>
      <c r="AI85" s="2">
        <v>53</v>
      </c>
      <c r="AJ85" s="57">
        <f t="shared" si="104"/>
        <v>274569</v>
      </c>
      <c r="AK85" s="62">
        <f t="shared" si="105"/>
        <v>129484.72955775741</v>
      </c>
      <c r="AL85" s="2">
        <v>52</v>
      </c>
      <c r="AM85" s="57">
        <f t="shared" si="107"/>
        <v>287675</v>
      </c>
      <c r="AN85" s="62">
        <f t="shared" si="108"/>
        <v>141202.03412511857</v>
      </c>
      <c r="AO85" s="2">
        <v>51</v>
      </c>
      <c r="AP85" s="57">
        <f t="shared" si="111"/>
        <v>301406</v>
      </c>
      <c r="AQ85" s="62">
        <f t="shared" si="112"/>
        <v>153979.35782400126</v>
      </c>
      <c r="AR85" s="2">
        <v>50</v>
      </c>
      <c r="AS85" s="57">
        <f t="shared" si="115"/>
        <v>315793</v>
      </c>
      <c r="AT85" s="62">
        <f t="shared" si="116"/>
        <v>167913.21958889041</v>
      </c>
      <c r="AU85" s="2">
        <v>49</v>
      </c>
      <c r="AV85" s="57">
        <f t="shared" si="119"/>
        <v>330866</v>
      </c>
      <c r="AW85" s="62">
        <f t="shared" si="120"/>
        <v>183107.57466008881</v>
      </c>
      <c r="AX85" s="2">
        <v>48</v>
      </c>
      <c r="AY85" s="57">
        <f t="shared" si="123"/>
        <v>346659</v>
      </c>
      <c r="AZ85" s="62">
        <f t="shared" si="124"/>
        <v>199677.1771214685</v>
      </c>
      <c r="BA85" s="2">
        <v>47</v>
      </c>
      <c r="BB85" s="57">
        <f t="shared" si="127"/>
        <v>363206</v>
      </c>
      <c r="BC85" s="62">
        <f t="shared" si="128"/>
        <v>217746.27888309606</v>
      </c>
      <c r="BD85" s="2">
        <v>46</v>
      </c>
      <c r="BE85" s="57">
        <f t="shared" si="132"/>
        <v>380542</v>
      </c>
      <c r="BF85" s="62">
        <f t="shared" si="133"/>
        <v>237449.96142000798</v>
      </c>
      <c r="BG85" s="2">
        <v>45</v>
      </c>
      <c r="BH85" s="57">
        <f t="shared" si="136"/>
        <v>398706</v>
      </c>
      <c r="BI85" s="62">
        <f t="shared" si="137"/>
        <v>258936.96751539325</v>
      </c>
      <c r="BJ85" s="2">
        <v>44</v>
      </c>
      <c r="BK85" s="57">
        <f t="shared" si="139"/>
        <v>417737</v>
      </c>
      <c r="BL85" s="62">
        <f t="shared" si="140"/>
        <v>282368.34544388985</v>
      </c>
      <c r="BM85" s="2">
        <v>43</v>
      </c>
      <c r="BN85" s="57">
        <f t="shared" si="144"/>
        <v>437677</v>
      </c>
      <c r="BO85" s="62">
        <f t="shared" si="145"/>
        <v>307920.47624942707</v>
      </c>
      <c r="BP85" s="2">
        <v>42</v>
      </c>
      <c r="BQ85" s="57">
        <f t="shared" si="147"/>
        <v>458568</v>
      </c>
      <c r="BR85" s="62">
        <f t="shared" si="148"/>
        <v>335784.28694007621</v>
      </c>
      <c r="BS85" s="2">
        <v>41</v>
      </c>
      <c r="BT85" s="57">
        <f t="shared" si="152"/>
        <v>480456</v>
      </c>
      <c r="BU85" s="62">
        <f t="shared" si="153"/>
        <v>366169.37997614377</v>
      </c>
      <c r="BV85" s="2">
        <v>40</v>
      </c>
      <c r="BW85" s="57">
        <f t="shared" si="155"/>
        <v>503389</v>
      </c>
      <c r="BX85" s="62">
        <f t="shared" si="156"/>
        <v>399304.22350388591</v>
      </c>
      <c r="BY85" s="2">
        <v>39</v>
      </c>
      <c r="BZ85" s="57">
        <f t="shared" si="160"/>
        <v>527417</v>
      </c>
      <c r="CA85" s="62">
        <f t="shared" si="161"/>
        <v>435437.75884122093</v>
      </c>
      <c r="CB85" s="2">
        <v>38</v>
      </c>
      <c r="CC85" s="57">
        <f t="shared" si="163"/>
        <v>552592</v>
      </c>
      <c r="CD85" s="62">
        <f t="shared" si="164"/>
        <v>474841.13506486069</v>
      </c>
      <c r="CE85" s="2">
        <v>37</v>
      </c>
      <c r="CF85" s="57">
        <f t="shared" si="168"/>
        <v>578968</v>
      </c>
      <c r="CG85" s="62">
        <f t="shared" si="169"/>
        <v>517809.58003919496</v>
      </c>
      <c r="CH85" s="2">
        <v>36</v>
      </c>
      <c r="CI85" s="57">
        <f t="shared" si="172"/>
        <v>606603</v>
      </c>
      <c r="CJ85" s="62">
        <f t="shared" si="173"/>
        <v>564666.27960354893</v>
      </c>
      <c r="CK85" s="2">
        <v>35</v>
      </c>
      <c r="CL85" s="57">
        <f t="shared" si="175"/>
        <v>635558</v>
      </c>
      <c r="CM85" s="62">
        <f t="shared" si="176"/>
        <v>615763.96316056955</v>
      </c>
      <c r="CN85" s="2">
        <v>34</v>
      </c>
      <c r="CO85" s="57">
        <f t="shared" si="180"/>
        <v>665894</v>
      </c>
      <c r="CP85" s="62">
        <f t="shared" si="181"/>
        <v>671484.45024238131</v>
      </c>
      <c r="CQ85" s="2">
        <v>33</v>
      </c>
      <c r="CR85" s="57">
        <f t="shared" si="183"/>
        <v>697679</v>
      </c>
      <c r="CS85" s="62">
        <f t="shared" si="184"/>
        <v>732248.15921302955</v>
      </c>
      <c r="CT85" s="2">
        <v>32</v>
      </c>
      <c r="CU85" s="57">
        <f t="shared" ref="CU85:CU116" si="188">$E$52</f>
        <v>730980</v>
      </c>
      <c r="CV85" s="62">
        <f t="shared" ref="CV85:CV116" si="189">SUM($G$10*$G$11*CU85*(EXP(-($G$10*CT85))),$G$10*$G$11*CU85*(EXP(-($G$10*(CT85+0.1)))),$G$10*$G$11*CU85*(EXP(-($G$10*(CT85+0.2)))),$G$10*$G$11*CU85*(EXP(-($G$10*(CT85+0.3)))),$G$10*$G$11*CU85*(EXP(-($G$10*(CT85+0.4)))),$G$10*$G$11*CU85*(EXP(-($G$10*(CT85+0.5)))),$G$10*$G$11*CU85*(EXP(-($G$10*(CT85+0.6)))),$G$10*$G$11*CU85*(EXP(-($G$10*(CT85+0.7)))),$G$10*$G$11*CU85*(EXP(-($G$10*(CT85+0.8)))),$G$10*$G$11*CU85*(EXP(-($G$10*(CT85+0.9)))))/10</f>
        <v>798509.1765508072</v>
      </c>
      <c r="CW85" s="2">
        <v>31</v>
      </c>
      <c r="CX85" s="57">
        <f t="shared" si="65"/>
        <v>765871</v>
      </c>
      <c r="CY85" s="62">
        <f t="shared" si="66"/>
        <v>870766.71789243282</v>
      </c>
      <c r="CZ85" s="2">
        <v>30</v>
      </c>
      <c r="DA85" s="57">
        <f t="shared" si="67"/>
        <v>0</v>
      </c>
      <c r="DB85" s="62">
        <f t="shared" si="68"/>
        <v>0</v>
      </c>
      <c r="DC85" s="2">
        <v>29</v>
      </c>
      <c r="DD85" s="57">
        <f t="shared" si="71"/>
        <v>0</v>
      </c>
      <c r="DE85" s="62">
        <f t="shared" si="72"/>
        <v>0</v>
      </c>
      <c r="DF85" s="2">
        <v>28</v>
      </c>
      <c r="DG85" s="57">
        <f t="shared" si="75"/>
        <v>0</v>
      </c>
      <c r="DH85" s="62">
        <f t="shared" si="76"/>
        <v>0</v>
      </c>
      <c r="DI85" s="2">
        <v>27</v>
      </c>
      <c r="DJ85" s="57">
        <f t="shared" si="79"/>
        <v>0</v>
      </c>
      <c r="DK85" s="62">
        <f t="shared" si="80"/>
        <v>0</v>
      </c>
      <c r="DL85" s="2">
        <v>26</v>
      </c>
      <c r="DM85" s="57">
        <f t="shared" si="83"/>
        <v>0</v>
      </c>
      <c r="DN85" s="62">
        <f t="shared" si="84"/>
        <v>0</v>
      </c>
      <c r="DO85" s="2">
        <v>25</v>
      </c>
      <c r="DP85" s="57">
        <f t="shared" si="87"/>
        <v>0</v>
      </c>
      <c r="DQ85" s="62">
        <f t="shared" si="88"/>
        <v>0</v>
      </c>
      <c r="DR85" s="2">
        <v>24</v>
      </c>
      <c r="DS85" s="57">
        <f t="shared" si="91"/>
        <v>0</v>
      </c>
      <c r="DT85" s="62">
        <f t="shared" si="92"/>
        <v>0</v>
      </c>
      <c r="DU85" s="2">
        <v>23</v>
      </c>
      <c r="DV85" s="57">
        <f t="shared" si="95"/>
        <v>0</v>
      </c>
      <c r="DW85" s="62">
        <f t="shared" si="96"/>
        <v>0</v>
      </c>
      <c r="DX85" s="2">
        <v>22</v>
      </c>
      <c r="DY85" s="57">
        <f t="shared" si="102"/>
        <v>0</v>
      </c>
      <c r="DZ85" s="62">
        <f t="shared" si="103"/>
        <v>0</v>
      </c>
      <c r="EA85" s="2">
        <v>21</v>
      </c>
      <c r="EB85" s="57">
        <f t="shared" si="109"/>
        <v>0</v>
      </c>
      <c r="EC85" s="62">
        <f t="shared" si="106"/>
        <v>0</v>
      </c>
      <c r="ED85" s="2">
        <v>20</v>
      </c>
      <c r="EE85" s="57">
        <f t="shared" si="113"/>
        <v>0</v>
      </c>
      <c r="EF85" s="62">
        <f t="shared" si="110"/>
        <v>0</v>
      </c>
      <c r="EG85" s="2">
        <v>19</v>
      </c>
      <c r="EH85" s="57">
        <f t="shared" si="117"/>
        <v>0</v>
      </c>
      <c r="EI85" s="62">
        <f t="shared" si="114"/>
        <v>0</v>
      </c>
      <c r="EJ85" s="2">
        <v>18</v>
      </c>
      <c r="EK85" s="57">
        <f t="shared" si="121"/>
        <v>0</v>
      </c>
      <c r="EL85" s="62">
        <f t="shared" si="118"/>
        <v>0</v>
      </c>
      <c r="EM85" s="2">
        <v>17</v>
      </c>
      <c r="EN85" s="57">
        <f t="shared" si="125"/>
        <v>0</v>
      </c>
      <c r="EO85" s="62">
        <f t="shared" si="122"/>
        <v>0</v>
      </c>
      <c r="EP85" s="2">
        <v>16</v>
      </c>
      <c r="EQ85" s="57">
        <f t="shared" si="129"/>
        <v>0</v>
      </c>
      <c r="ER85" s="62">
        <f t="shared" si="126"/>
        <v>0</v>
      </c>
      <c r="ES85" s="2">
        <v>15</v>
      </c>
      <c r="ET85" s="57">
        <f t="shared" si="130"/>
        <v>0</v>
      </c>
      <c r="EU85" s="62">
        <f t="shared" si="131"/>
        <v>0</v>
      </c>
      <c r="EV85" s="2">
        <v>14</v>
      </c>
      <c r="EW85" s="57">
        <f t="shared" si="134"/>
        <v>0</v>
      </c>
      <c r="EX85" s="62">
        <f t="shared" si="135"/>
        <v>0</v>
      </c>
      <c r="EY85" s="2">
        <v>13</v>
      </c>
      <c r="EZ85" s="57">
        <f t="shared" si="141"/>
        <v>0</v>
      </c>
      <c r="FA85" s="62">
        <f t="shared" si="138"/>
        <v>0</v>
      </c>
      <c r="FB85" s="2">
        <v>12</v>
      </c>
      <c r="FC85" s="57">
        <f t="shared" si="142"/>
        <v>0</v>
      </c>
      <c r="FD85" s="62">
        <f t="shared" si="143"/>
        <v>0</v>
      </c>
      <c r="FE85" s="2">
        <v>11</v>
      </c>
      <c r="FF85" s="57">
        <f t="shared" si="149"/>
        <v>0</v>
      </c>
      <c r="FG85" s="62">
        <f t="shared" si="146"/>
        <v>0</v>
      </c>
      <c r="FH85" s="2">
        <v>10</v>
      </c>
      <c r="FI85" s="57">
        <f t="shared" si="150"/>
        <v>0</v>
      </c>
      <c r="FJ85" s="62">
        <f t="shared" si="151"/>
        <v>0</v>
      </c>
      <c r="FK85" s="2">
        <v>9</v>
      </c>
      <c r="FL85" s="57">
        <f t="shared" si="157"/>
        <v>0</v>
      </c>
      <c r="FM85" s="62">
        <f t="shared" si="154"/>
        <v>0</v>
      </c>
      <c r="FN85" s="2">
        <v>8</v>
      </c>
      <c r="FO85" s="57">
        <f t="shared" si="158"/>
        <v>0</v>
      </c>
      <c r="FP85" s="62">
        <f t="shared" si="159"/>
        <v>0</v>
      </c>
      <c r="FQ85" s="2">
        <v>7</v>
      </c>
      <c r="FR85" s="57">
        <f t="shared" si="165"/>
        <v>0</v>
      </c>
      <c r="FS85" s="62">
        <f t="shared" si="162"/>
        <v>0</v>
      </c>
      <c r="FT85" s="2">
        <v>6</v>
      </c>
      <c r="FU85" s="57">
        <f t="shared" si="166"/>
        <v>0</v>
      </c>
      <c r="FV85" s="62">
        <f t="shared" si="167"/>
        <v>0</v>
      </c>
      <c r="FW85" s="2">
        <v>5</v>
      </c>
      <c r="FX85" s="57">
        <f t="shared" si="170"/>
        <v>0</v>
      </c>
      <c r="FY85" s="62">
        <f t="shared" si="171"/>
        <v>0</v>
      </c>
      <c r="FZ85" s="2">
        <v>4</v>
      </c>
      <c r="GA85" s="57">
        <f t="shared" si="177"/>
        <v>0</v>
      </c>
      <c r="GB85" s="62">
        <f t="shared" si="174"/>
        <v>0</v>
      </c>
      <c r="GC85" s="2">
        <v>3</v>
      </c>
      <c r="GD85" s="57">
        <f t="shared" si="178"/>
        <v>0</v>
      </c>
      <c r="GE85" s="62">
        <f t="shared" si="179"/>
        <v>0</v>
      </c>
      <c r="GF85" s="2">
        <v>2</v>
      </c>
      <c r="GG85" s="57">
        <f t="shared" si="185"/>
        <v>0</v>
      </c>
      <c r="GH85" s="62">
        <f t="shared" si="182"/>
        <v>0</v>
      </c>
      <c r="GI85" s="2">
        <v>1</v>
      </c>
      <c r="GJ85" s="57">
        <f t="shared" si="186"/>
        <v>0</v>
      </c>
      <c r="GK85" s="62">
        <f t="shared" si="187"/>
        <v>0</v>
      </c>
      <c r="GL85" s="2">
        <v>0</v>
      </c>
      <c r="GM85" s="57">
        <f>$E$84</f>
        <v>0</v>
      </c>
      <c r="GN85" s="62">
        <f t="shared" ref="GN85:GN116" si="190">SUM($G$10*$G$11*GM85*(EXP(-($G$10*GL85))),$G$10*$G$11*GM85*(EXP(-($G$10*(GL85+0.1)))),$G$10*$G$11*GM85*(EXP(-($G$10*(GL85+0.2)))),$G$10*$G$11*GM85*(EXP(-($G$10*(GL85+0.3)))),$G$10*$G$11*GM85*(EXP(-($G$10*(GL85+0.4)))),$G$10*$G$11*GM85*(EXP(-($G$10*(GL85+0.5)))),$G$10*$G$11*GM85*(EXP(-($G$10*(GL85+0.6)))),$G$10*$G$11*GM85*(EXP(-($G$10*(GL85+0.7)))),$G$10*$G$11*GM85*(EXP(-($G$10*(GL85+0.8)))),$G$10*$G$11*GM85*(EXP(-($G$10*(GL85+0.9)))))/10</f>
        <v>0</v>
      </c>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row>
    <row r="86" spans="2:250">
      <c r="B86" s="56">
        <f>'USER INPUTS'!J71</f>
        <v>2081</v>
      </c>
      <c r="C86" s="420">
        <f>IF(OR(AND(ClosureCalcYes=TRUE,WasteCapacity=""),AND(ClosureCalcYes=FALSE,ClosureYear="")),0,IF('USER INPUTS'!K71&gt;0,IF('USER INPUTS'!$K$4="Mg/year",'USER INPUTS'!K71,'USER INPUTS'!L71),0))</f>
        <v>0</v>
      </c>
      <c r="D86" s="420">
        <f t="shared" si="97"/>
        <v>12946986</v>
      </c>
      <c r="E86" s="420">
        <f>IF(ClosureCalcYes=FALSE,IF(AND(B86&lt;ClosureYear,C86=0,SUM(C86:$C$102)=0),$D$13,IF(B86&lt;=ClosureYear,C86,0)),IF(B86=$D$16,($D$14-F86),IF(B86&lt;$D$16,IF(SUM(C86:$C$102)=0,$D$13,C86),0)))</f>
        <v>0</v>
      </c>
      <c r="F86" s="66">
        <f t="shared" si="98"/>
        <v>12946986</v>
      </c>
      <c r="G86" s="284">
        <f>IF(SUM(C87:$C$101)=0,C86,0)</f>
        <v>0</v>
      </c>
      <c r="H86" s="284">
        <f t="shared" si="99"/>
        <v>0</v>
      </c>
      <c r="I86" s="2">
        <f t="shared" si="8"/>
        <v>2081</v>
      </c>
      <c r="J86" s="379">
        <f t="shared" si="1"/>
        <v>9426772.0895404201</v>
      </c>
      <c r="K86" s="2">
        <v>62</v>
      </c>
      <c r="L86" s="57">
        <f t="shared" si="69"/>
        <v>189082</v>
      </c>
      <c r="M86" s="62">
        <f t="shared" si="70"/>
        <v>62211.579227525799</v>
      </c>
      <c r="N86" s="2">
        <v>61</v>
      </c>
      <c r="O86" s="57">
        <f t="shared" si="73"/>
        <v>293489</v>
      </c>
      <c r="P86" s="62">
        <f t="shared" si="74"/>
        <v>100504.30074756652</v>
      </c>
      <c r="Q86" s="2">
        <v>60</v>
      </c>
      <c r="R86" s="57">
        <f t="shared" si="77"/>
        <v>283523</v>
      </c>
      <c r="S86" s="62">
        <f t="shared" si="78"/>
        <v>101053.85664748331</v>
      </c>
      <c r="T86" s="2">
        <v>59</v>
      </c>
      <c r="U86" s="57">
        <f t="shared" si="81"/>
        <v>143321</v>
      </c>
      <c r="V86" s="62">
        <f t="shared" si="82"/>
        <v>53167.495885985416</v>
      </c>
      <c r="W86" s="2">
        <v>58</v>
      </c>
      <c r="X86" s="57">
        <f t="shared" si="85"/>
        <v>227851</v>
      </c>
      <c r="Y86" s="62">
        <f t="shared" si="86"/>
        <v>87974.963365109739</v>
      </c>
      <c r="Z86" s="2">
        <v>57</v>
      </c>
      <c r="AA86" s="57">
        <f t="shared" si="89"/>
        <v>238727</v>
      </c>
      <c r="AB86" s="62">
        <f t="shared" si="90"/>
        <v>95935.970969076647</v>
      </c>
      <c r="AC86" s="2">
        <v>56</v>
      </c>
      <c r="AD86" s="57">
        <f t="shared" si="93"/>
        <v>250122</v>
      </c>
      <c r="AE86" s="62">
        <f t="shared" si="94"/>
        <v>104617.3239715503</v>
      </c>
      <c r="AF86" s="2">
        <v>55</v>
      </c>
      <c r="AG86" s="57">
        <f t="shared" si="100"/>
        <v>262060</v>
      </c>
      <c r="AH86" s="62">
        <f t="shared" si="101"/>
        <v>114083.86609314606</v>
      </c>
      <c r="AI86" s="2">
        <v>54</v>
      </c>
      <c r="AJ86" s="57">
        <f t="shared" si="104"/>
        <v>274569</v>
      </c>
      <c r="AK86" s="62">
        <f t="shared" si="105"/>
        <v>124407.560690588</v>
      </c>
      <c r="AL86" s="2">
        <v>53</v>
      </c>
      <c r="AM86" s="57">
        <f t="shared" si="107"/>
        <v>287675</v>
      </c>
      <c r="AN86" s="62">
        <f t="shared" si="108"/>
        <v>135665.42317423987</v>
      </c>
      <c r="AO86" s="2">
        <v>52</v>
      </c>
      <c r="AP86" s="57">
        <f t="shared" si="111"/>
        <v>301406</v>
      </c>
      <c r="AQ86" s="62">
        <f t="shared" si="112"/>
        <v>147941.74084475706</v>
      </c>
      <c r="AR86" s="2">
        <v>51</v>
      </c>
      <c r="AS86" s="57">
        <f t="shared" si="115"/>
        <v>315793</v>
      </c>
      <c r="AT86" s="62">
        <f t="shared" si="116"/>
        <v>161329.24807507091</v>
      </c>
      <c r="AU86" s="2">
        <v>50</v>
      </c>
      <c r="AV86" s="57">
        <f t="shared" si="119"/>
        <v>330866</v>
      </c>
      <c r="AW86" s="62">
        <f t="shared" si="120"/>
        <v>175927.82396220887</v>
      </c>
      <c r="AX86" s="2">
        <v>49</v>
      </c>
      <c r="AY86" s="57">
        <f t="shared" si="123"/>
        <v>346659</v>
      </c>
      <c r="AZ86" s="62">
        <f t="shared" si="124"/>
        <v>191847.72301805479</v>
      </c>
      <c r="BA86" s="2">
        <v>48</v>
      </c>
      <c r="BB86" s="57">
        <f t="shared" si="127"/>
        <v>363206</v>
      </c>
      <c r="BC86" s="62">
        <f t="shared" si="128"/>
        <v>209208.32516559525</v>
      </c>
      <c r="BD86" s="2">
        <v>47</v>
      </c>
      <c r="BE86" s="57">
        <f t="shared" si="132"/>
        <v>380542</v>
      </c>
      <c r="BF86" s="62">
        <f t="shared" si="133"/>
        <v>228139.41525947023</v>
      </c>
      <c r="BG86" s="2">
        <v>46</v>
      </c>
      <c r="BH86" s="57">
        <f t="shared" si="136"/>
        <v>398706</v>
      </c>
      <c r="BI86" s="62">
        <f t="shared" si="137"/>
        <v>248783.90379491803</v>
      </c>
      <c r="BJ86" s="2">
        <v>45</v>
      </c>
      <c r="BK86" s="57">
        <f t="shared" si="139"/>
        <v>417737</v>
      </c>
      <c r="BL86" s="62">
        <f t="shared" si="140"/>
        <v>271296.52425340435</v>
      </c>
      <c r="BM86" s="2">
        <v>44</v>
      </c>
      <c r="BN86" s="57">
        <f t="shared" si="144"/>
        <v>437677</v>
      </c>
      <c r="BO86" s="62">
        <f t="shared" si="145"/>
        <v>295846.74167920335</v>
      </c>
      <c r="BP86" s="2">
        <v>43</v>
      </c>
      <c r="BQ86" s="57">
        <f t="shared" si="147"/>
        <v>458568</v>
      </c>
      <c r="BR86" s="62">
        <f t="shared" si="148"/>
        <v>322617.99672531866</v>
      </c>
      <c r="BS86" s="2">
        <v>42</v>
      </c>
      <c r="BT86" s="57">
        <f t="shared" si="152"/>
        <v>480456</v>
      </c>
      <c r="BU86" s="62">
        <f t="shared" si="153"/>
        <v>351811.67322203302</v>
      </c>
      <c r="BV86" s="2">
        <v>41</v>
      </c>
      <c r="BW86" s="57">
        <f t="shared" si="155"/>
        <v>503389</v>
      </c>
      <c r="BX86" s="62">
        <f t="shared" si="156"/>
        <v>383647.2809514525</v>
      </c>
      <c r="BY86" s="2">
        <v>40</v>
      </c>
      <c r="BZ86" s="57">
        <f t="shared" si="160"/>
        <v>527417</v>
      </c>
      <c r="CA86" s="62">
        <f t="shared" si="161"/>
        <v>418364.00010280119</v>
      </c>
      <c r="CB86" s="2">
        <v>39</v>
      </c>
      <c r="CC86" s="57">
        <f t="shared" si="163"/>
        <v>552592</v>
      </c>
      <c r="CD86" s="62">
        <f t="shared" si="164"/>
        <v>456222.34784542012</v>
      </c>
      <c r="CE86" s="2">
        <v>38</v>
      </c>
      <c r="CF86" s="57">
        <f t="shared" si="168"/>
        <v>578968</v>
      </c>
      <c r="CG86" s="62">
        <f t="shared" si="169"/>
        <v>497505.97599355818</v>
      </c>
      <c r="CH86" s="2">
        <v>37</v>
      </c>
      <c r="CI86" s="57">
        <f t="shared" si="172"/>
        <v>606603</v>
      </c>
      <c r="CJ86" s="62">
        <f t="shared" si="173"/>
        <v>542525.3980885226</v>
      </c>
      <c r="CK86" s="2">
        <v>36</v>
      </c>
      <c r="CL86" s="57">
        <f t="shared" si="175"/>
        <v>635558</v>
      </c>
      <c r="CM86" s="62">
        <f t="shared" si="176"/>
        <v>591619.51281525532</v>
      </c>
      <c r="CN86" s="2">
        <v>35</v>
      </c>
      <c r="CO86" s="57">
        <f t="shared" si="180"/>
        <v>665894</v>
      </c>
      <c r="CP86" s="62">
        <f t="shared" si="181"/>
        <v>645155.16834788362</v>
      </c>
      <c r="CQ86" s="2">
        <v>34</v>
      </c>
      <c r="CR86" s="57">
        <f t="shared" si="183"/>
        <v>697679</v>
      </c>
      <c r="CS86" s="62">
        <f t="shared" si="184"/>
        <v>703536.29821060784</v>
      </c>
      <c r="CT86" s="2">
        <v>33</v>
      </c>
      <c r="CU86" s="57">
        <f t="shared" si="188"/>
        <v>730980</v>
      </c>
      <c r="CV86" s="62">
        <f t="shared" si="189"/>
        <v>767199.18389623356</v>
      </c>
      <c r="CW86" s="2">
        <v>32</v>
      </c>
      <c r="CX86" s="57">
        <f t="shared" ref="CX86:CX117" si="191">$E$53</f>
        <v>765871</v>
      </c>
      <c r="CY86" s="62">
        <f t="shared" ref="CY86:CY117" si="192">SUM($G$10*$G$11*CX86*(EXP(-($G$10*CW86))),$G$10*$G$11*CX86*(EXP(-($G$10*(CW86+0.1)))),$G$10*$G$11*CX86*(EXP(-($G$10*(CW86+0.2)))),$G$10*$G$11*CX86*(EXP(-($G$10*(CW86+0.3)))),$G$10*$G$11*CX86*(EXP(-($G$10*(CW86+0.4)))),$G$10*$G$11*CX86*(EXP(-($G$10*(CW86+0.5)))),$G$10*$G$11*CX86*(EXP(-($G$10*(CW86+0.6)))),$G$10*$G$11*CX86*(EXP(-($G$10*(CW86+0.7)))),$G$10*$G$11*CX86*(EXP(-($G$10*(CW86+0.8)))),$G$10*$G$11*CX86*(EXP(-($G$10*(CW86+0.9)))))/10</f>
        <v>836623.46651637985</v>
      </c>
      <c r="CZ86" s="2">
        <v>31</v>
      </c>
      <c r="DA86" s="57">
        <f t="shared" si="67"/>
        <v>0</v>
      </c>
      <c r="DB86" s="62">
        <f t="shared" si="68"/>
        <v>0</v>
      </c>
      <c r="DC86" s="2">
        <v>30</v>
      </c>
      <c r="DD86" s="57">
        <f t="shared" si="71"/>
        <v>0</v>
      </c>
      <c r="DE86" s="62">
        <f t="shared" si="72"/>
        <v>0</v>
      </c>
      <c r="DF86" s="2">
        <v>29</v>
      </c>
      <c r="DG86" s="57">
        <f t="shared" si="75"/>
        <v>0</v>
      </c>
      <c r="DH86" s="62">
        <f t="shared" si="76"/>
        <v>0</v>
      </c>
      <c r="DI86" s="2">
        <v>28</v>
      </c>
      <c r="DJ86" s="57">
        <f t="shared" si="79"/>
        <v>0</v>
      </c>
      <c r="DK86" s="62">
        <f t="shared" si="80"/>
        <v>0</v>
      </c>
      <c r="DL86" s="2">
        <v>27</v>
      </c>
      <c r="DM86" s="57">
        <f t="shared" si="83"/>
        <v>0</v>
      </c>
      <c r="DN86" s="62">
        <f t="shared" si="84"/>
        <v>0</v>
      </c>
      <c r="DO86" s="2">
        <v>26</v>
      </c>
      <c r="DP86" s="57">
        <f t="shared" si="87"/>
        <v>0</v>
      </c>
      <c r="DQ86" s="62">
        <f t="shared" si="88"/>
        <v>0</v>
      </c>
      <c r="DR86" s="2">
        <v>25</v>
      </c>
      <c r="DS86" s="57">
        <f t="shared" si="91"/>
        <v>0</v>
      </c>
      <c r="DT86" s="62">
        <f t="shared" si="92"/>
        <v>0</v>
      </c>
      <c r="DU86" s="2">
        <v>24</v>
      </c>
      <c r="DV86" s="57">
        <f t="shared" si="95"/>
        <v>0</v>
      </c>
      <c r="DW86" s="62">
        <f t="shared" si="96"/>
        <v>0</v>
      </c>
      <c r="DX86" s="2">
        <v>23</v>
      </c>
      <c r="DY86" s="57">
        <f t="shared" si="102"/>
        <v>0</v>
      </c>
      <c r="DZ86" s="62">
        <f t="shared" si="103"/>
        <v>0</v>
      </c>
      <c r="EA86" s="2">
        <v>22</v>
      </c>
      <c r="EB86" s="57">
        <f t="shared" si="109"/>
        <v>0</v>
      </c>
      <c r="EC86" s="62">
        <f t="shared" si="106"/>
        <v>0</v>
      </c>
      <c r="ED86" s="2">
        <v>21</v>
      </c>
      <c r="EE86" s="57">
        <f t="shared" si="113"/>
        <v>0</v>
      </c>
      <c r="EF86" s="62">
        <f t="shared" si="110"/>
        <v>0</v>
      </c>
      <c r="EG86" s="2">
        <v>20</v>
      </c>
      <c r="EH86" s="57">
        <f t="shared" si="117"/>
        <v>0</v>
      </c>
      <c r="EI86" s="62">
        <f t="shared" si="114"/>
        <v>0</v>
      </c>
      <c r="EJ86" s="2">
        <v>19</v>
      </c>
      <c r="EK86" s="57">
        <f t="shared" si="121"/>
        <v>0</v>
      </c>
      <c r="EL86" s="62">
        <f t="shared" si="118"/>
        <v>0</v>
      </c>
      <c r="EM86" s="2">
        <v>18</v>
      </c>
      <c r="EN86" s="57">
        <f t="shared" si="125"/>
        <v>0</v>
      </c>
      <c r="EO86" s="62">
        <f t="shared" si="122"/>
        <v>0</v>
      </c>
      <c r="EP86" s="2">
        <v>17</v>
      </c>
      <c r="EQ86" s="57">
        <f t="shared" si="129"/>
        <v>0</v>
      </c>
      <c r="ER86" s="62">
        <f t="shared" si="126"/>
        <v>0</v>
      </c>
      <c r="ES86" s="2">
        <v>16</v>
      </c>
      <c r="ET86" s="57">
        <f t="shared" si="130"/>
        <v>0</v>
      </c>
      <c r="EU86" s="62">
        <f t="shared" si="131"/>
        <v>0</v>
      </c>
      <c r="EV86" s="2">
        <v>15</v>
      </c>
      <c r="EW86" s="57">
        <f t="shared" si="134"/>
        <v>0</v>
      </c>
      <c r="EX86" s="62">
        <f t="shared" si="135"/>
        <v>0</v>
      </c>
      <c r="EY86" s="2">
        <v>14</v>
      </c>
      <c r="EZ86" s="57">
        <f t="shared" si="141"/>
        <v>0</v>
      </c>
      <c r="FA86" s="62">
        <f t="shared" si="138"/>
        <v>0</v>
      </c>
      <c r="FB86" s="2">
        <v>13</v>
      </c>
      <c r="FC86" s="57">
        <f t="shared" si="142"/>
        <v>0</v>
      </c>
      <c r="FD86" s="62">
        <f t="shared" si="143"/>
        <v>0</v>
      </c>
      <c r="FE86" s="2">
        <v>12</v>
      </c>
      <c r="FF86" s="57">
        <f t="shared" si="149"/>
        <v>0</v>
      </c>
      <c r="FG86" s="62">
        <f t="shared" si="146"/>
        <v>0</v>
      </c>
      <c r="FH86" s="2">
        <v>11</v>
      </c>
      <c r="FI86" s="57">
        <f t="shared" si="150"/>
        <v>0</v>
      </c>
      <c r="FJ86" s="62">
        <f t="shared" si="151"/>
        <v>0</v>
      </c>
      <c r="FK86" s="2">
        <v>10</v>
      </c>
      <c r="FL86" s="57">
        <f t="shared" si="157"/>
        <v>0</v>
      </c>
      <c r="FM86" s="62">
        <f t="shared" si="154"/>
        <v>0</v>
      </c>
      <c r="FN86" s="2">
        <v>9</v>
      </c>
      <c r="FO86" s="57">
        <f t="shared" si="158"/>
        <v>0</v>
      </c>
      <c r="FP86" s="62">
        <f t="shared" si="159"/>
        <v>0</v>
      </c>
      <c r="FQ86" s="2">
        <v>8</v>
      </c>
      <c r="FR86" s="57">
        <f t="shared" si="165"/>
        <v>0</v>
      </c>
      <c r="FS86" s="62">
        <f t="shared" si="162"/>
        <v>0</v>
      </c>
      <c r="FT86" s="2">
        <v>7</v>
      </c>
      <c r="FU86" s="57">
        <f t="shared" si="166"/>
        <v>0</v>
      </c>
      <c r="FV86" s="62">
        <f t="shared" si="167"/>
        <v>0</v>
      </c>
      <c r="FW86" s="2">
        <v>6</v>
      </c>
      <c r="FX86" s="57">
        <f t="shared" si="170"/>
        <v>0</v>
      </c>
      <c r="FY86" s="62">
        <f t="shared" si="171"/>
        <v>0</v>
      </c>
      <c r="FZ86" s="2">
        <v>5</v>
      </c>
      <c r="GA86" s="57">
        <f t="shared" si="177"/>
        <v>0</v>
      </c>
      <c r="GB86" s="62">
        <f t="shared" si="174"/>
        <v>0</v>
      </c>
      <c r="GC86" s="2">
        <v>4</v>
      </c>
      <c r="GD86" s="57">
        <f t="shared" si="178"/>
        <v>0</v>
      </c>
      <c r="GE86" s="62">
        <f t="shared" si="179"/>
        <v>0</v>
      </c>
      <c r="GF86" s="2">
        <v>3</v>
      </c>
      <c r="GG86" s="57">
        <f t="shared" si="185"/>
        <v>0</v>
      </c>
      <c r="GH86" s="62">
        <f t="shared" si="182"/>
        <v>0</v>
      </c>
      <c r="GI86" s="2">
        <v>2</v>
      </c>
      <c r="GJ86" s="57">
        <f t="shared" si="186"/>
        <v>0</v>
      </c>
      <c r="GK86" s="62">
        <f t="shared" si="187"/>
        <v>0</v>
      </c>
      <c r="GL86" s="2">
        <v>1</v>
      </c>
      <c r="GM86" s="57">
        <f t="shared" ref="GM86:GM149" si="193">$E$84</f>
        <v>0</v>
      </c>
      <c r="GN86" s="62">
        <f t="shared" si="190"/>
        <v>0</v>
      </c>
      <c r="GO86" s="2">
        <v>0</v>
      </c>
      <c r="GP86" s="57">
        <f t="shared" ref="GP86:GP149" si="194">$E$85</f>
        <v>0</v>
      </c>
      <c r="GQ86" s="62">
        <f t="shared" ref="GQ86:GQ117" si="195">SUM($G$10*$G$11*GP86*(EXP(-($G$10*GO86))),$G$10*$G$11*GP86*(EXP(-($G$10*(GO86+0.1)))),$G$10*$G$11*GP86*(EXP(-($G$10*(GO86+0.2)))),$G$10*$G$11*GP86*(EXP(-($G$10*(GO86+0.3)))),$G$10*$G$11*GP86*(EXP(-($G$10*(GO86+0.4)))),$G$10*$G$11*GP86*(EXP(-($G$10*(GO86+0.5)))),$G$10*$G$11*GP86*(EXP(-($G$10*(GO86+0.6)))),$G$10*$G$11*GP86*(EXP(-($G$10*(GO86+0.7)))),$G$10*$G$11*GP86*(EXP(-($G$10*(GO86+0.8)))),$G$10*$G$11*GP86*(EXP(-($G$10*(GO86+0.9)))))/10</f>
        <v>0</v>
      </c>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row>
    <row r="87" spans="2:250">
      <c r="B87" s="56">
        <f>'USER INPUTS'!J72</f>
        <v>2082</v>
      </c>
      <c r="C87" s="420">
        <f>IF(OR(AND(ClosureCalcYes=TRUE,WasteCapacity=""),AND(ClosureCalcYes=FALSE,ClosureYear="")),0,IF('USER INPUTS'!K72&gt;0,IF('USER INPUTS'!$K$4="Mg/year",'USER INPUTS'!K72,'USER INPUTS'!L72),0))</f>
        <v>0</v>
      </c>
      <c r="D87" s="420">
        <f t="shared" si="97"/>
        <v>12946986</v>
      </c>
      <c r="E87" s="420">
        <f>IF(ClosureCalcYes=FALSE,IF(AND(B87&lt;ClosureYear,C87=0,SUM(C87:$C$102)=0),$D$13,IF(B87&lt;=ClosureYear,C87,0)),IF(B87=$D$16,($D$14-F87),IF(B87&lt;$D$16,IF(SUM(C87:$C$102)=0,$D$13,C87),0)))</f>
        <v>0</v>
      </c>
      <c r="F87" s="66">
        <f t="shared" si="98"/>
        <v>12946986</v>
      </c>
      <c r="G87" s="284">
        <f>IF(SUM(C88:$C$101)=0,C87,0)</f>
        <v>0</v>
      </c>
      <c r="H87" s="284">
        <f t="shared" si="99"/>
        <v>0</v>
      </c>
      <c r="I87" s="2">
        <f t="shared" si="8"/>
        <v>2082</v>
      </c>
      <c r="J87" s="379">
        <f t="shared" si="1"/>
        <v>9057143.0689263139</v>
      </c>
      <c r="K87" s="2">
        <v>63</v>
      </c>
      <c r="L87" s="57">
        <f t="shared" si="69"/>
        <v>189082</v>
      </c>
      <c r="M87" s="62">
        <f t="shared" si="70"/>
        <v>59772.228314794833</v>
      </c>
      <c r="N87" s="2">
        <v>62</v>
      </c>
      <c r="O87" s="57">
        <f t="shared" si="73"/>
        <v>293489</v>
      </c>
      <c r="P87" s="62">
        <f t="shared" si="74"/>
        <v>96563.470747650863</v>
      </c>
      <c r="Q87" s="2">
        <v>61</v>
      </c>
      <c r="R87" s="57">
        <f t="shared" si="77"/>
        <v>283523</v>
      </c>
      <c r="S87" s="62">
        <f t="shared" si="78"/>
        <v>97091.478252514746</v>
      </c>
      <c r="T87" s="2">
        <v>60</v>
      </c>
      <c r="U87" s="57">
        <f t="shared" si="81"/>
        <v>143321</v>
      </c>
      <c r="V87" s="62">
        <f t="shared" si="82"/>
        <v>51082.768553429363</v>
      </c>
      <c r="W87" s="2">
        <v>59</v>
      </c>
      <c r="X87" s="57">
        <f t="shared" si="85"/>
        <v>227851</v>
      </c>
      <c r="Y87" s="62">
        <f t="shared" si="86"/>
        <v>84525.415711009977</v>
      </c>
      <c r="Z87" s="2">
        <v>58</v>
      </c>
      <c r="AA87" s="57">
        <f t="shared" si="89"/>
        <v>238727</v>
      </c>
      <c r="AB87" s="62">
        <f t="shared" si="90"/>
        <v>92174.267741912714</v>
      </c>
      <c r="AC87" s="2">
        <v>57</v>
      </c>
      <c r="AD87" s="57">
        <f t="shared" si="93"/>
        <v>250122</v>
      </c>
      <c r="AE87" s="62">
        <f t="shared" si="94"/>
        <v>100515.22002424272</v>
      </c>
      <c r="AF87" s="2">
        <v>56</v>
      </c>
      <c r="AG87" s="57">
        <f t="shared" si="100"/>
        <v>262060</v>
      </c>
      <c r="AH87" s="62">
        <f t="shared" si="101"/>
        <v>109610.57371996254</v>
      </c>
      <c r="AI87" s="2">
        <v>55</v>
      </c>
      <c r="AJ87" s="57">
        <f t="shared" si="104"/>
        <v>274569</v>
      </c>
      <c r="AK87" s="62">
        <f t="shared" si="105"/>
        <v>119529.47046221865</v>
      </c>
      <c r="AL87" s="2">
        <v>54</v>
      </c>
      <c r="AM87" s="57">
        <f t="shared" si="107"/>
        <v>287675</v>
      </c>
      <c r="AN87" s="62">
        <f t="shared" si="108"/>
        <v>130345.90584394049</v>
      </c>
      <c r="AO87" s="2">
        <v>53</v>
      </c>
      <c r="AP87" s="57">
        <f t="shared" si="111"/>
        <v>301406</v>
      </c>
      <c r="AQ87" s="62">
        <f t="shared" si="112"/>
        <v>142140.86221345246</v>
      </c>
      <c r="AR87" s="2">
        <v>52</v>
      </c>
      <c r="AS87" s="57">
        <f t="shared" si="115"/>
        <v>315793</v>
      </c>
      <c r="AT87" s="62">
        <f t="shared" si="116"/>
        <v>155003.4377769134</v>
      </c>
      <c r="AU87" s="2">
        <v>51</v>
      </c>
      <c r="AV87" s="57">
        <f t="shared" si="119"/>
        <v>330866</v>
      </c>
      <c r="AW87" s="62">
        <f t="shared" si="120"/>
        <v>169029.59531593931</v>
      </c>
      <c r="AX87" s="2">
        <v>50</v>
      </c>
      <c r="AY87" s="57">
        <f t="shared" si="123"/>
        <v>346659</v>
      </c>
      <c r="AZ87" s="62">
        <f t="shared" si="124"/>
        <v>184325.26620116713</v>
      </c>
      <c r="BA87" s="2">
        <v>49</v>
      </c>
      <c r="BB87" s="57">
        <f t="shared" si="127"/>
        <v>363206</v>
      </c>
      <c r="BC87" s="62">
        <f t="shared" si="128"/>
        <v>201005.14940184914</v>
      </c>
      <c r="BD87" s="2">
        <v>48</v>
      </c>
      <c r="BE87" s="57">
        <f t="shared" si="132"/>
        <v>380542</v>
      </c>
      <c r="BF87" s="62">
        <f t="shared" si="133"/>
        <v>219193.94083568532</v>
      </c>
      <c r="BG87" s="2">
        <v>47</v>
      </c>
      <c r="BH87" s="57">
        <f t="shared" si="136"/>
        <v>398706</v>
      </c>
      <c r="BI87" s="62">
        <f t="shared" si="137"/>
        <v>239028.94739724477</v>
      </c>
      <c r="BJ87" s="2">
        <v>46</v>
      </c>
      <c r="BK87" s="57">
        <f t="shared" si="139"/>
        <v>417737</v>
      </c>
      <c r="BL87" s="62">
        <f t="shared" si="140"/>
        <v>260658.83538140301</v>
      </c>
      <c r="BM87" s="2">
        <v>45</v>
      </c>
      <c r="BN87" s="57">
        <f t="shared" si="144"/>
        <v>437677</v>
      </c>
      <c r="BO87" s="62">
        <f t="shared" si="145"/>
        <v>284246.42501300399</v>
      </c>
      <c r="BP87" s="2">
        <v>44</v>
      </c>
      <c r="BQ87" s="57">
        <f t="shared" si="147"/>
        <v>458568</v>
      </c>
      <c r="BR87" s="62">
        <f t="shared" si="148"/>
        <v>309967.96413416497</v>
      </c>
      <c r="BS87" s="2">
        <v>43</v>
      </c>
      <c r="BT87" s="57">
        <f t="shared" si="152"/>
        <v>480456</v>
      </c>
      <c r="BU87" s="62">
        <f t="shared" si="153"/>
        <v>338016.94020223763</v>
      </c>
      <c r="BV87" s="2">
        <v>42</v>
      </c>
      <c r="BW87" s="57">
        <f t="shared" si="155"/>
        <v>503389</v>
      </c>
      <c r="BX87" s="62">
        <f t="shared" si="156"/>
        <v>368604.25589765969</v>
      </c>
      <c r="BY87" s="2">
        <v>41</v>
      </c>
      <c r="BZ87" s="57">
        <f t="shared" si="160"/>
        <v>527417</v>
      </c>
      <c r="CA87" s="62">
        <f t="shared" si="161"/>
        <v>401959.71302029281</v>
      </c>
      <c r="CB87" s="2">
        <v>40</v>
      </c>
      <c r="CC87" s="57">
        <f t="shared" si="163"/>
        <v>552592</v>
      </c>
      <c r="CD87" s="62">
        <f t="shared" si="164"/>
        <v>438333.61371515726</v>
      </c>
      <c r="CE87" s="2">
        <v>39</v>
      </c>
      <c r="CF87" s="57">
        <f t="shared" si="168"/>
        <v>578968</v>
      </c>
      <c r="CG87" s="62">
        <f t="shared" si="169"/>
        <v>477998.48764977988</v>
      </c>
      <c r="CH87" s="2">
        <v>38</v>
      </c>
      <c r="CI87" s="57">
        <f t="shared" si="172"/>
        <v>606603</v>
      </c>
      <c r="CJ87" s="62">
        <f t="shared" si="173"/>
        <v>521252.67295536259</v>
      </c>
      <c r="CK87" s="2">
        <v>37</v>
      </c>
      <c r="CL87" s="57">
        <f t="shared" si="175"/>
        <v>635558</v>
      </c>
      <c r="CM87" s="62">
        <f t="shared" si="176"/>
        <v>568421.77990933997</v>
      </c>
      <c r="CN87" s="2">
        <v>36</v>
      </c>
      <c r="CO87" s="57">
        <f t="shared" si="180"/>
        <v>665894</v>
      </c>
      <c r="CP87" s="62">
        <f t="shared" si="181"/>
        <v>619858.27236318588</v>
      </c>
      <c r="CQ87" s="2">
        <v>35</v>
      </c>
      <c r="CR87" s="57">
        <f t="shared" si="183"/>
        <v>697679</v>
      </c>
      <c r="CS87" s="62">
        <f t="shared" si="184"/>
        <v>675950.24538107147</v>
      </c>
      <c r="CT87" s="2">
        <v>34</v>
      </c>
      <c r="CU87" s="57">
        <f t="shared" si="188"/>
        <v>730980</v>
      </c>
      <c r="CV87" s="62">
        <f t="shared" si="189"/>
        <v>737116.87361378246</v>
      </c>
      <c r="CW87" s="2">
        <v>33</v>
      </c>
      <c r="CX87" s="57">
        <f t="shared" si="191"/>
        <v>765871</v>
      </c>
      <c r="CY87" s="62">
        <f t="shared" si="192"/>
        <v>803818.99117594503</v>
      </c>
      <c r="CZ87" s="2">
        <v>32</v>
      </c>
      <c r="DA87" s="57">
        <f t="shared" ref="DA87:DA150" si="196">$E$54</f>
        <v>0</v>
      </c>
      <c r="DB87" s="62">
        <f t="shared" ref="DB87:DB118" si="197">SUM($G$10*$G$11*DA87*(EXP(-($G$10*CZ87))),$G$10*$G$11*DA87*(EXP(-($G$10*(CZ87+0.1)))),$G$10*$G$11*DA87*(EXP(-($G$10*(CZ87+0.2)))),$G$10*$G$11*DA87*(EXP(-($G$10*(CZ87+0.3)))),$G$10*$G$11*DA87*(EXP(-($G$10*(CZ87+0.4)))),$G$10*$G$11*DA87*(EXP(-($G$10*(CZ87+0.5)))),$G$10*$G$11*DA87*(EXP(-($G$10*(CZ87+0.6)))),$G$10*$G$11*DA87*(EXP(-($G$10*(CZ87+0.7)))),$G$10*$G$11*DA87*(EXP(-($G$10*(CZ87+0.8)))),$G$10*$G$11*DA87*(EXP(-($G$10*(CZ87+0.9)))))/10</f>
        <v>0</v>
      </c>
      <c r="DC87" s="2">
        <v>31</v>
      </c>
      <c r="DD87" s="57">
        <f t="shared" si="71"/>
        <v>0</v>
      </c>
      <c r="DE87" s="62">
        <f t="shared" si="72"/>
        <v>0</v>
      </c>
      <c r="DF87" s="2">
        <v>30</v>
      </c>
      <c r="DG87" s="57">
        <f t="shared" si="75"/>
        <v>0</v>
      </c>
      <c r="DH87" s="62">
        <f t="shared" si="76"/>
        <v>0</v>
      </c>
      <c r="DI87" s="2">
        <v>29</v>
      </c>
      <c r="DJ87" s="57">
        <f t="shared" si="79"/>
        <v>0</v>
      </c>
      <c r="DK87" s="62">
        <f t="shared" si="80"/>
        <v>0</v>
      </c>
      <c r="DL87" s="2">
        <v>28</v>
      </c>
      <c r="DM87" s="57">
        <f t="shared" si="83"/>
        <v>0</v>
      </c>
      <c r="DN87" s="62">
        <f t="shared" si="84"/>
        <v>0</v>
      </c>
      <c r="DO87" s="2">
        <v>27</v>
      </c>
      <c r="DP87" s="57">
        <f t="shared" si="87"/>
        <v>0</v>
      </c>
      <c r="DQ87" s="62">
        <f t="shared" si="88"/>
        <v>0</v>
      </c>
      <c r="DR87" s="2">
        <v>26</v>
      </c>
      <c r="DS87" s="57">
        <f t="shared" si="91"/>
        <v>0</v>
      </c>
      <c r="DT87" s="62">
        <f t="shared" si="92"/>
        <v>0</v>
      </c>
      <c r="DU87" s="2">
        <v>25</v>
      </c>
      <c r="DV87" s="57">
        <f t="shared" si="95"/>
        <v>0</v>
      </c>
      <c r="DW87" s="62">
        <f t="shared" si="96"/>
        <v>0</v>
      </c>
      <c r="DX87" s="2">
        <v>24</v>
      </c>
      <c r="DY87" s="57">
        <f t="shared" si="102"/>
        <v>0</v>
      </c>
      <c r="DZ87" s="62">
        <f t="shared" si="103"/>
        <v>0</v>
      </c>
      <c r="EA87" s="2">
        <v>23</v>
      </c>
      <c r="EB87" s="57">
        <f t="shared" si="109"/>
        <v>0</v>
      </c>
      <c r="EC87" s="62">
        <f t="shared" si="106"/>
        <v>0</v>
      </c>
      <c r="ED87" s="2">
        <v>22</v>
      </c>
      <c r="EE87" s="57">
        <f t="shared" si="113"/>
        <v>0</v>
      </c>
      <c r="EF87" s="62">
        <f t="shared" si="110"/>
        <v>0</v>
      </c>
      <c r="EG87" s="2">
        <v>21</v>
      </c>
      <c r="EH87" s="57">
        <f t="shared" si="117"/>
        <v>0</v>
      </c>
      <c r="EI87" s="62">
        <f t="shared" si="114"/>
        <v>0</v>
      </c>
      <c r="EJ87" s="2">
        <v>20</v>
      </c>
      <c r="EK87" s="57">
        <f t="shared" si="121"/>
        <v>0</v>
      </c>
      <c r="EL87" s="62">
        <f t="shared" si="118"/>
        <v>0</v>
      </c>
      <c r="EM87" s="2">
        <v>19</v>
      </c>
      <c r="EN87" s="57">
        <f t="shared" si="125"/>
        <v>0</v>
      </c>
      <c r="EO87" s="62">
        <f t="shared" si="122"/>
        <v>0</v>
      </c>
      <c r="EP87" s="2">
        <v>18</v>
      </c>
      <c r="EQ87" s="57">
        <f t="shared" si="129"/>
        <v>0</v>
      </c>
      <c r="ER87" s="62">
        <f t="shared" si="126"/>
        <v>0</v>
      </c>
      <c r="ES87" s="2">
        <v>17</v>
      </c>
      <c r="ET87" s="57">
        <f t="shared" si="130"/>
        <v>0</v>
      </c>
      <c r="EU87" s="62">
        <f t="shared" si="131"/>
        <v>0</v>
      </c>
      <c r="EV87" s="2">
        <v>16</v>
      </c>
      <c r="EW87" s="57">
        <f t="shared" si="134"/>
        <v>0</v>
      </c>
      <c r="EX87" s="62">
        <f t="shared" si="135"/>
        <v>0</v>
      </c>
      <c r="EY87" s="2">
        <v>15</v>
      </c>
      <c r="EZ87" s="57">
        <f t="shared" si="141"/>
        <v>0</v>
      </c>
      <c r="FA87" s="62">
        <f t="shared" si="138"/>
        <v>0</v>
      </c>
      <c r="FB87" s="2">
        <v>14</v>
      </c>
      <c r="FC87" s="57">
        <f t="shared" si="142"/>
        <v>0</v>
      </c>
      <c r="FD87" s="62">
        <f t="shared" si="143"/>
        <v>0</v>
      </c>
      <c r="FE87" s="2">
        <v>13</v>
      </c>
      <c r="FF87" s="57">
        <f t="shared" si="149"/>
        <v>0</v>
      </c>
      <c r="FG87" s="62">
        <f t="shared" si="146"/>
        <v>0</v>
      </c>
      <c r="FH87" s="2">
        <v>12</v>
      </c>
      <c r="FI87" s="57">
        <f t="shared" si="150"/>
        <v>0</v>
      </c>
      <c r="FJ87" s="62">
        <f t="shared" si="151"/>
        <v>0</v>
      </c>
      <c r="FK87" s="2">
        <v>11</v>
      </c>
      <c r="FL87" s="57">
        <f t="shared" si="157"/>
        <v>0</v>
      </c>
      <c r="FM87" s="62">
        <f t="shared" si="154"/>
        <v>0</v>
      </c>
      <c r="FN87" s="2">
        <v>10</v>
      </c>
      <c r="FO87" s="57">
        <f t="shared" si="158"/>
        <v>0</v>
      </c>
      <c r="FP87" s="62">
        <f t="shared" si="159"/>
        <v>0</v>
      </c>
      <c r="FQ87" s="2">
        <v>9</v>
      </c>
      <c r="FR87" s="57">
        <f t="shared" si="165"/>
        <v>0</v>
      </c>
      <c r="FS87" s="62">
        <f t="shared" si="162"/>
        <v>0</v>
      </c>
      <c r="FT87" s="2">
        <v>8</v>
      </c>
      <c r="FU87" s="57">
        <f t="shared" si="166"/>
        <v>0</v>
      </c>
      <c r="FV87" s="62">
        <f t="shared" si="167"/>
        <v>0</v>
      </c>
      <c r="FW87" s="2">
        <v>7</v>
      </c>
      <c r="FX87" s="57">
        <f t="shared" si="170"/>
        <v>0</v>
      </c>
      <c r="FY87" s="62">
        <f t="shared" si="171"/>
        <v>0</v>
      </c>
      <c r="FZ87" s="2">
        <v>6</v>
      </c>
      <c r="GA87" s="57">
        <f t="shared" si="177"/>
        <v>0</v>
      </c>
      <c r="GB87" s="62">
        <f t="shared" si="174"/>
        <v>0</v>
      </c>
      <c r="GC87" s="2">
        <v>5</v>
      </c>
      <c r="GD87" s="57">
        <f t="shared" si="178"/>
        <v>0</v>
      </c>
      <c r="GE87" s="62">
        <f t="shared" si="179"/>
        <v>0</v>
      </c>
      <c r="GF87" s="2">
        <v>4</v>
      </c>
      <c r="GG87" s="57">
        <f t="shared" si="185"/>
        <v>0</v>
      </c>
      <c r="GH87" s="62">
        <f t="shared" si="182"/>
        <v>0</v>
      </c>
      <c r="GI87" s="2">
        <v>3</v>
      </c>
      <c r="GJ87" s="57">
        <f t="shared" si="186"/>
        <v>0</v>
      </c>
      <c r="GK87" s="62">
        <f t="shared" si="187"/>
        <v>0</v>
      </c>
      <c r="GL87" s="2">
        <v>2</v>
      </c>
      <c r="GM87" s="57">
        <f t="shared" si="193"/>
        <v>0</v>
      </c>
      <c r="GN87" s="62">
        <f t="shared" si="190"/>
        <v>0</v>
      </c>
      <c r="GO87" s="2">
        <v>1</v>
      </c>
      <c r="GP87" s="57">
        <f t="shared" si="194"/>
        <v>0</v>
      </c>
      <c r="GQ87" s="62">
        <f t="shared" si="195"/>
        <v>0</v>
      </c>
      <c r="GR87" s="2">
        <v>0</v>
      </c>
      <c r="GS87" s="57">
        <f>$E$86</f>
        <v>0</v>
      </c>
      <c r="GT87" s="62">
        <f t="shared" ref="GT87:GT118" si="198">SUM($G$10*$G$11*GS87*(EXP(-($G$10*GR87))),$G$10*$G$11*GS87*(EXP(-($G$10*(GR87+0.1)))),$G$10*$G$11*GS87*(EXP(-($G$10*(GR87+0.2)))),$G$10*$G$11*GS87*(EXP(-($G$10*(GR87+0.3)))),$G$10*$G$11*GS87*(EXP(-($G$10*(GR87+0.4)))),$G$10*$G$11*GS87*(EXP(-($G$10*(GR87+0.5)))),$G$10*$G$11*GS87*(EXP(-($G$10*(GR87+0.6)))),$G$10*$G$11*GS87*(EXP(-($G$10*(GR87+0.7)))),$G$10*$G$11*GS87*(EXP(-($G$10*(GR87+0.8)))),$G$10*$G$11*GS87*(EXP(-($G$10*(GR87+0.9)))))/10</f>
        <v>0</v>
      </c>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row>
    <row r="88" spans="2:250">
      <c r="B88" s="56">
        <f>'USER INPUTS'!J73</f>
        <v>2083</v>
      </c>
      <c r="C88" s="420">
        <f>IF(OR(AND(ClosureCalcYes=TRUE,WasteCapacity=""),AND(ClosureCalcYes=FALSE,ClosureYear="")),0,IF('USER INPUTS'!K73&gt;0,IF('USER INPUTS'!$K$4="Mg/year",'USER INPUTS'!K73,'USER INPUTS'!L73),0))</f>
        <v>0</v>
      </c>
      <c r="D88" s="420">
        <f t="shared" si="97"/>
        <v>12946986</v>
      </c>
      <c r="E88" s="420">
        <f>IF(ClosureCalcYes=FALSE,IF(AND(B88&lt;ClosureYear,C88=0,SUM(C88:$C$102)=0),$D$13,IF(B88&lt;=ClosureYear,C88,0)),IF(B88=$D$16,($D$14-F88),IF(B88&lt;$D$16,IF(SUM(C88:$C$102)=0,$D$13,C88),0)))</f>
        <v>0</v>
      </c>
      <c r="F88" s="66">
        <f t="shared" si="98"/>
        <v>12946986</v>
      </c>
      <c r="G88" s="284">
        <f>IF(SUM(C89:$C$101)=0,C88,0)</f>
        <v>0</v>
      </c>
      <c r="H88" s="284">
        <f t="shared" si="99"/>
        <v>0</v>
      </c>
      <c r="I88" s="2">
        <f t="shared" si="8"/>
        <v>2083</v>
      </c>
      <c r="J88" s="379">
        <f t="shared" ref="J88:J98" si="199">(M88+P88+S88+V88+Y88+AB88+AE88+AH88+AK88+AN88+AQ88+AT88+AW88+AZ88+BC88+BF88+BI88+BL88+BO88+BR88+BU88+BX88+CA88+CD88+CG88+CJ88+CM88+CP88+CS88+CV88+CY88+DB88+DE88+DH88+DK88+DN88+DQ88+DT88+DW88+DZ88+EC88+EF88+EI88+EL88+EO88+ER88+EU88+EX88+FA88+FD88+FG88+FJ88+FM88+FP88+FS88+FV88+FY88+GB88+GE88+GH88+GK88+GN88+GQ88+GT88+GW88+GZ88+HC88+HF88+HI88+HL88+HO88+HR88+HU88+HX88+IA88+ID88+IG88+IJ88+IM88+IP88)</f>
        <v>8702007.4095160645</v>
      </c>
      <c r="K88" s="2">
        <v>64</v>
      </c>
      <c r="L88" s="57">
        <f t="shared" ref="L88:L151" si="200">$E$23</f>
        <v>189082</v>
      </c>
      <c r="M88" s="62">
        <f t="shared" ref="M88:M119" si="201">SUM($G$10*$G$11*L88*(EXP(-($G$10*K88))),$G$10*$G$11*L88*(EXP(-($G$10*(K88+0.1)))),$G$10*$G$11*L88*(EXP(-($G$10*(K88+0.2)))),$G$10*$G$11*L88*(EXP(-($G$10*(K88+0.3)))),$G$10*$G$11*L88*(EXP(-($G$10*(K88+0.4)))),$G$10*$G$11*L88*(EXP(-($G$10*(K88+0.5)))),$G$10*$G$11*L88*(EXP(-($G$10*(K88+0.6)))),$G$10*$G$11*L88*(EXP(-($G$10*(K88+0.7)))),$G$10*$G$11*L88*(EXP(-($G$10*(K88+0.8)))),$G$10*$G$11*L88*(EXP(-($G$10*(K88+0.9)))))/10</f>
        <v>57428.525719456338</v>
      </c>
      <c r="N88" s="2">
        <v>63</v>
      </c>
      <c r="O88" s="57">
        <f t="shared" si="73"/>
        <v>293489</v>
      </c>
      <c r="P88" s="62">
        <f t="shared" si="74"/>
        <v>92777.162902237236</v>
      </c>
      <c r="Q88" s="2">
        <v>62</v>
      </c>
      <c r="R88" s="57">
        <f t="shared" si="77"/>
        <v>283523</v>
      </c>
      <c r="S88" s="62">
        <f t="shared" si="78"/>
        <v>93284.466936703655</v>
      </c>
      <c r="T88" s="2">
        <v>61</v>
      </c>
      <c r="U88" s="57">
        <f t="shared" si="81"/>
        <v>143321</v>
      </c>
      <c r="V88" s="62">
        <f t="shared" si="82"/>
        <v>49079.784548797346</v>
      </c>
      <c r="W88" s="2">
        <v>60</v>
      </c>
      <c r="X88" s="57">
        <f t="shared" si="85"/>
        <v>227851</v>
      </c>
      <c r="Y88" s="62">
        <f t="shared" si="86"/>
        <v>81211.126755098259</v>
      </c>
      <c r="Z88" s="2">
        <v>59</v>
      </c>
      <c r="AA88" s="57">
        <f t="shared" si="89"/>
        <v>238727</v>
      </c>
      <c r="AB88" s="62">
        <f t="shared" si="90"/>
        <v>88560.063008028403</v>
      </c>
      <c r="AC88" s="2">
        <v>58</v>
      </c>
      <c r="AD88" s="57">
        <f t="shared" si="93"/>
        <v>250122</v>
      </c>
      <c r="AE88" s="62">
        <f t="shared" si="94"/>
        <v>96573.961873364518</v>
      </c>
      <c r="AF88" s="2">
        <v>57</v>
      </c>
      <c r="AG88" s="57">
        <f t="shared" si="100"/>
        <v>262060</v>
      </c>
      <c r="AH88" s="62">
        <f t="shared" si="101"/>
        <v>105312.68164956718</v>
      </c>
      <c r="AI88" s="2">
        <v>56</v>
      </c>
      <c r="AJ88" s="57">
        <f t="shared" si="104"/>
        <v>274569</v>
      </c>
      <c r="AK88" s="62">
        <f t="shared" si="105"/>
        <v>114842.65288756925</v>
      </c>
      <c r="AL88" s="2">
        <v>55</v>
      </c>
      <c r="AM88" s="57">
        <f t="shared" si="107"/>
        <v>287675</v>
      </c>
      <c r="AN88" s="62">
        <f t="shared" si="108"/>
        <v>125234.96977160111</v>
      </c>
      <c r="AO88" s="2">
        <v>54</v>
      </c>
      <c r="AP88" s="57">
        <f t="shared" si="111"/>
        <v>301406</v>
      </c>
      <c r="AQ88" s="62">
        <f t="shared" si="112"/>
        <v>136567.43928669064</v>
      </c>
      <c r="AR88" s="2">
        <v>53</v>
      </c>
      <c r="AS88" s="57">
        <f t="shared" si="115"/>
        <v>315793</v>
      </c>
      <c r="AT88" s="62">
        <f t="shared" si="116"/>
        <v>148925.66604836268</v>
      </c>
      <c r="AU88" s="2">
        <v>52</v>
      </c>
      <c r="AV88" s="57">
        <f t="shared" si="119"/>
        <v>330866</v>
      </c>
      <c r="AW88" s="62">
        <f t="shared" si="120"/>
        <v>162401.85008374546</v>
      </c>
      <c r="AX88" s="2">
        <v>51</v>
      </c>
      <c r="AY88" s="57">
        <f t="shared" si="123"/>
        <v>346659</v>
      </c>
      <c r="AZ88" s="62">
        <f t="shared" si="124"/>
        <v>177097.76913502201</v>
      </c>
      <c r="BA88" s="2">
        <v>50</v>
      </c>
      <c r="BB88" s="57">
        <f t="shared" si="127"/>
        <v>363206</v>
      </c>
      <c r="BC88" s="62">
        <f t="shared" si="128"/>
        <v>193123.62476053153</v>
      </c>
      <c r="BD88" s="2">
        <v>49</v>
      </c>
      <c r="BE88" s="57">
        <f t="shared" si="132"/>
        <v>380542</v>
      </c>
      <c r="BF88" s="62">
        <f t="shared" si="133"/>
        <v>210599.2234811057</v>
      </c>
      <c r="BG88" s="2">
        <v>48</v>
      </c>
      <c r="BH88" s="57">
        <f t="shared" si="136"/>
        <v>398706</v>
      </c>
      <c r="BI88" s="62">
        <f t="shared" si="137"/>
        <v>229656.48831096906</v>
      </c>
      <c r="BJ88" s="2">
        <v>47</v>
      </c>
      <c r="BK88" s="57">
        <f t="shared" si="139"/>
        <v>417737</v>
      </c>
      <c r="BL88" s="62">
        <f t="shared" si="140"/>
        <v>250438.25625619595</v>
      </c>
      <c r="BM88" s="2">
        <v>46</v>
      </c>
      <c r="BN88" s="57">
        <f t="shared" si="144"/>
        <v>437677</v>
      </c>
      <c r="BO88" s="62">
        <f t="shared" si="145"/>
        <v>273100.96326929703</v>
      </c>
      <c r="BP88" s="2">
        <v>45</v>
      </c>
      <c r="BQ88" s="57">
        <f t="shared" si="147"/>
        <v>458568</v>
      </c>
      <c r="BR88" s="62">
        <f t="shared" si="148"/>
        <v>297813.94641565182</v>
      </c>
      <c r="BS88" s="2">
        <v>44</v>
      </c>
      <c r="BT88" s="57">
        <f t="shared" si="152"/>
        <v>480456</v>
      </c>
      <c r="BU88" s="62">
        <f t="shared" si="153"/>
        <v>324763.10640089225</v>
      </c>
      <c r="BV88" s="2">
        <v>43</v>
      </c>
      <c r="BW88" s="57">
        <f t="shared" si="155"/>
        <v>503389</v>
      </c>
      <c r="BX88" s="62">
        <f t="shared" si="156"/>
        <v>354151.07629307202</v>
      </c>
      <c r="BY88" s="2">
        <v>42</v>
      </c>
      <c r="BZ88" s="57">
        <f t="shared" si="160"/>
        <v>527417</v>
      </c>
      <c r="CA88" s="62">
        <f t="shared" si="161"/>
        <v>386198.64723459596</v>
      </c>
      <c r="CB88" s="2">
        <v>41</v>
      </c>
      <c r="CC88" s="57">
        <f t="shared" si="163"/>
        <v>552592</v>
      </c>
      <c r="CD88" s="62">
        <f t="shared" si="164"/>
        <v>421146.30688299704</v>
      </c>
      <c r="CE88" s="2">
        <v>40</v>
      </c>
      <c r="CF88" s="57">
        <f t="shared" si="168"/>
        <v>578968</v>
      </c>
      <c r="CG88" s="62">
        <f t="shared" si="169"/>
        <v>459255.8988646908</v>
      </c>
      <c r="CH88" s="2">
        <v>39</v>
      </c>
      <c r="CI88" s="57">
        <f t="shared" si="172"/>
        <v>606603</v>
      </c>
      <c r="CJ88" s="62">
        <f t="shared" si="173"/>
        <v>500814.06330543227</v>
      </c>
      <c r="CK88" s="2">
        <v>38</v>
      </c>
      <c r="CL88" s="57">
        <f t="shared" si="175"/>
        <v>635558</v>
      </c>
      <c r="CM88" s="62">
        <f t="shared" si="176"/>
        <v>546133.64312105987</v>
      </c>
      <c r="CN88" s="2">
        <v>37</v>
      </c>
      <c r="CO88" s="57">
        <f t="shared" si="180"/>
        <v>665894</v>
      </c>
      <c r="CP88" s="62">
        <f t="shared" si="181"/>
        <v>595553.28185775329</v>
      </c>
      <c r="CQ88" s="2">
        <v>36</v>
      </c>
      <c r="CR88" s="57">
        <f t="shared" si="183"/>
        <v>697679</v>
      </c>
      <c r="CS88" s="62">
        <f t="shared" si="184"/>
        <v>649445.8571545548</v>
      </c>
      <c r="CT88" s="2">
        <v>35</v>
      </c>
      <c r="CU88" s="57">
        <f t="shared" si="188"/>
        <v>730980</v>
      </c>
      <c r="CV88" s="62">
        <f t="shared" si="189"/>
        <v>708214.10758909979</v>
      </c>
      <c r="CW88" s="2">
        <v>34</v>
      </c>
      <c r="CX88" s="57">
        <f t="shared" si="191"/>
        <v>765871</v>
      </c>
      <c r="CY88" s="62">
        <f t="shared" si="192"/>
        <v>772300.79771192244</v>
      </c>
      <c r="CZ88" s="2">
        <v>33</v>
      </c>
      <c r="DA88" s="57">
        <f t="shared" si="196"/>
        <v>0</v>
      </c>
      <c r="DB88" s="62">
        <f t="shared" si="197"/>
        <v>0</v>
      </c>
      <c r="DC88" s="2">
        <v>32</v>
      </c>
      <c r="DD88" s="57">
        <f t="shared" ref="DD88:DD151" si="202">$E$55</f>
        <v>0</v>
      </c>
      <c r="DE88" s="62">
        <f t="shared" ref="DE88:DE119" si="203">SUM($G$10*$G$11*DD88*(EXP(-($G$10*DC88))),$G$10*$G$11*DD88*(EXP(-($G$10*(DC88+0.1)))),$G$10*$G$11*DD88*(EXP(-($G$10*(DC88+0.2)))),$G$10*$G$11*DD88*(EXP(-($G$10*(DC88+0.3)))),$G$10*$G$11*DD88*(EXP(-($G$10*(DC88+0.4)))),$G$10*$G$11*DD88*(EXP(-($G$10*(DC88+0.5)))),$G$10*$G$11*DD88*(EXP(-($G$10*(DC88+0.6)))),$G$10*$G$11*DD88*(EXP(-($G$10*(DC88+0.7)))),$G$10*$G$11*DD88*(EXP(-($G$10*(DC88+0.8)))),$G$10*$G$11*DD88*(EXP(-($G$10*(DC88+0.9)))))/10</f>
        <v>0</v>
      </c>
      <c r="DF88" s="2">
        <v>31</v>
      </c>
      <c r="DG88" s="57">
        <f t="shared" si="75"/>
        <v>0</v>
      </c>
      <c r="DH88" s="62">
        <f t="shared" si="76"/>
        <v>0</v>
      </c>
      <c r="DI88" s="2">
        <v>30</v>
      </c>
      <c r="DJ88" s="57">
        <f t="shared" si="79"/>
        <v>0</v>
      </c>
      <c r="DK88" s="62">
        <f t="shared" si="80"/>
        <v>0</v>
      </c>
      <c r="DL88" s="2">
        <v>29</v>
      </c>
      <c r="DM88" s="57">
        <f t="shared" si="83"/>
        <v>0</v>
      </c>
      <c r="DN88" s="62">
        <f t="shared" si="84"/>
        <v>0</v>
      </c>
      <c r="DO88" s="2">
        <v>28</v>
      </c>
      <c r="DP88" s="57">
        <f t="shared" si="87"/>
        <v>0</v>
      </c>
      <c r="DQ88" s="62">
        <f t="shared" si="88"/>
        <v>0</v>
      </c>
      <c r="DR88" s="2">
        <v>27</v>
      </c>
      <c r="DS88" s="57">
        <f t="shared" si="91"/>
        <v>0</v>
      </c>
      <c r="DT88" s="62">
        <f t="shared" si="92"/>
        <v>0</v>
      </c>
      <c r="DU88" s="2">
        <v>26</v>
      </c>
      <c r="DV88" s="57">
        <f t="shared" si="95"/>
        <v>0</v>
      </c>
      <c r="DW88" s="62">
        <f t="shared" si="96"/>
        <v>0</v>
      </c>
      <c r="DX88" s="2">
        <v>25</v>
      </c>
      <c r="DY88" s="57">
        <f t="shared" si="102"/>
        <v>0</v>
      </c>
      <c r="DZ88" s="62">
        <f t="shared" si="103"/>
        <v>0</v>
      </c>
      <c r="EA88" s="2">
        <v>24</v>
      </c>
      <c r="EB88" s="57">
        <f t="shared" si="109"/>
        <v>0</v>
      </c>
      <c r="EC88" s="62">
        <f t="shared" si="106"/>
        <v>0</v>
      </c>
      <c r="ED88" s="2">
        <v>23</v>
      </c>
      <c r="EE88" s="57">
        <f t="shared" si="113"/>
        <v>0</v>
      </c>
      <c r="EF88" s="62">
        <f t="shared" si="110"/>
        <v>0</v>
      </c>
      <c r="EG88" s="2">
        <v>22</v>
      </c>
      <c r="EH88" s="57">
        <f t="shared" si="117"/>
        <v>0</v>
      </c>
      <c r="EI88" s="62">
        <f t="shared" si="114"/>
        <v>0</v>
      </c>
      <c r="EJ88" s="2">
        <v>21</v>
      </c>
      <c r="EK88" s="57">
        <f t="shared" si="121"/>
        <v>0</v>
      </c>
      <c r="EL88" s="62">
        <f t="shared" si="118"/>
        <v>0</v>
      </c>
      <c r="EM88" s="2">
        <v>20</v>
      </c>
      <c r="EN88" s="57">
        <f t="shared" si="125"/>
        <v>0</v>
      </c>
      <c r="EO88" s="62">
        <f t="shared" si="122"/>
        <v>0</v>
      </c>
      <c r="EP88" s="2">
        <v>19</v>
      </c>
      <c r="EQ88" s="57">
        <f t="shared" si="129"/>
        <v>0</v>
      </c>
      <c r="ER88" s="62">
        <f t="shared" si="126"/>
        <v>0</v>
      </c>
      <c r="ES88" s="2">
        <v>18</v>
      </c>
      <c r="ET88" s="57">
        <f t="shared" si="130"/>
        <v>0</v>
      </c>
      <c r="EU88" s="62">
        <f t="shared" si="131"/>
        <v>0</v>
      </c>
      <c r="EV88" s="2">
        <v>17</v>
      </c>
      <c r="EW88" s="57">
        <f t="shared" si="134"/>
        <v>0</v>
      </c>
      <c r="EX88" s="62">
        <f t="shared" si="135"/>
        <v>0</v>
      </c>
      <c r="EY88" s="2">
        <v>16</v>
      </c>
      <c r="EZ88" s="57">
        <f t="shared" si="141"/>
        <v>0</v>
      </c>
      <c r="FA88" s="62">
        <f t="shared" si="138"/>
        <v>0</v>
      </c>
      <c r="FB88" s="2">
        <v>15</v>
      </c>
      <c r="FC88" s="57">
        <f t="shared" si="142"/>
        <v>0</v>
      </c>
      <c r="FD88" s="62">
        <f t="shared" si="143"/>
        <v>0</v>
      </c>
      <c r="FE88" s="2">
        <v>14</v>
      </c>
      <c r="FF88" s="57">
        <f t="shared" si="149"/>
        <v>0</v>
      </c>
      <c r="FG88" s="62">
        <f t="shared" si="146"/>
        <v>0</v>
      </c>
      <c r="FH88" s="2">
        <v>13</v>
      </c>
      <c r="FI88" s="57">
        <f t="shared" si="150"/>
        <v>0</v>
      </c>
      <c r="FJ88" s="62">
        <f t="shared" si="151"/>
        <v>0</v>
      </c>
      <c r="FK88" s="2">
        <v>12</v>
      </c>
      <c r="FL88" s="57">
        <f t="shared" si="157"/>
        <v>0</v>
      </c>
      <c r="FM88" s="62">
        <f t="shared" si="154"/>
        <v>0</v>
      </c>
      <c r="FN88" s="2">
        <v>11</v>
      </c>
      <c r="FO88" s="57">
        <f t="shared" si="158"/>
        <v>0</v>
      </c>
      <c r="FP88" s="62">
        <f t="shared" si="159"/>
        <v>0</v>
      </c>
      <c r="FQ88" s="2">
        <v>10</v>
      </c>
      <c r="FR88" s="57">
        <f t="shared" si="165"/>
        <v>0</v>
      </c>
      <c r="FS88" s="62">
        <f t="shared" si="162"/>
        <v>0</v>
      </c>
      <c r="FT88" s="2">
        <v>9</v>
      </c>
      <c r="FU88" s="57">
        <f t="shared" si="166"/>
        <v>0</v>
      </c>
      <c r="FV88" s="62">
        <f t="shared" si="167"/>
        <v>0</v>
      </c>
      <c r="FW88" s="2">
        <v>8</v>
      </c>
      <c r="FX88" s="57">
        <f t="shared" si="170"/>
        <v>0</v>
      </c>
      <c r="FY88" s="62">
        <f t="shared" si="171"/>
        <v>0</v>
      </c>
      <c r="FZ88" s="2">
        <v>7</v>
      </c>
      <c r="GA88" s="57">
        <f t="shared" si="177"/>
        <v>0</v>
      </c>
      <c r="GB88" s="62">
        <f t="shared" si="174"/>
        <v>0</v>
      </c>
      <c r="GC88" s="2">
        <v>6</v>
      </c>
      <c r="GD88" s="57">
        <f t="shared" si="178"/>
        <v>0</v>
      </c>
      <c r="GE88" s="62">
        <f t="shared" si="179"/>
        <v>0</v>
      </c>
      <c r="GF88" s="2">
        <v>5</v>
      </c>
      <c r="GG88" s="57">
        <f t="shared" si="185"/>
        <v>0</v>
      </c>
      <c r="GH88" s="62">
        <f t="shared" si="182"/>
        <v>0</v>
      </c>
      <c r="GI88" s="2">
        <v>4</v>
      </c>
      <c r="GJ88" s="57">
        <f t="shared" si="186"/>
        <v>0</v>
      </c>
      <c r="GK88" s="62">
        <f t="shared" si="187"/>
        <v>0</v>
      </c>
      <c r="GL88" s="2">
        <v>3</v>
      </c>
      <c r="GM88" s="57">
        <f t="shared" si="193"/>
        <v>0</v>
      </c>
      <c r="GN88" s="62">
        <f t="shared" si="190"/>
        <v>0</v>
      </c>
      <c r="GO88" s="2">
        <v>2</v>
      </c>
      <c r="GP88" s="57">
        <f t="shared" si="194"/>
        <v>0</v>
      </c>
      <c r="GQ88" s="62">
        <f t="shared" si="195"/>
        <v>0</v>
      </c>
      <c r="GR88" s="2">
        <v>1</v>
      </c>
      <c r="GS88" s="57">
        <f t="shared" ref="GS88:GS151" si="204">$E$86</f>
        <v>0</v>
      </c>
      <c r="GT88" s="62">
        <f t="shared" si="198"/>
        <v>0</v>
      </c>
      <c r="GU88" s="2">
        <v>0</v>
      </c>
      <c r="GV88" s="57">
        <f t="shared" ref="GV88:GV151" si="205">$E$87</f>
        <v>0</v>
      </c>
      <c r="GW88" s="62">
        <f t="shared" ref="GW88:GW119" si="206">SUM($G$10*$G$11*GV88*(EXP(-($G$10*GU88))),$G$10*$G$11*GV88*(EXP(-($G$10*(GU88+0.1)))),$G$10*$G$11*GV88*(EXP(-($G$10*(GU88+0.2)))),$G$10*$G$11*GV88*(EXP(-($G$10*(GU88+0.3)))),$G$10*$G$11*GV88*(EXP(-($G$10*(GU88+0.4)))),$G$10*$G$11*GV88*(EXP(-($G$10*(GU88+0.5)))),$G$10*$G$11*GV88*(EXP(-($G$10*(GU88+0.6)))),$G$10*$G$11*GV88*(EXP(-($G$10*(GU88+0.7)))),$G$10*$G$11*GV88*(EXP(-($G$10*(GU88+0.8)))),$G$10*$G$11*GV88*(EXP(-($G$10*(GU88+0.9)))))/10</f>
        <v>0</v>
      </c>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row>
    <row r="89" spans="2:250">
      <c r="B89" s="56">
        <f>'USER INPUTS'!J74</f>
        <v>2084</v>
      </c>
      <c r="C89" s="420">
        <f>IF(OR(AND(ClosureCalcYes=TRUE,WasteCapacity=""),AND(ClosureCalcYes=FALSE,ClosureYear="")),0,IF('USER INPUTS'!K74&gt;0,IF('USER INPUTS'!$K$4="Mg/year",'USER INPUTS'!K74,'USER INPUTS'!L74),0))</f>
        <v>0</v>
      </c>
      <c r="D89" s="420">
        <f t="shared" si="97"/>
        <v>12946986</v>
      </c>
      <c r="E89" s="420">
        <f>IF(ClosureCalcYes=FALSE,IF(AND(B89&lt;ClosureYear,C89=0,SUM(C89:$C$102)=0),$D$13,IF(B89&lt;=ClosureYear,C89,0)),IF(B89=$D$16,($D$14-F89),IF(B89&lt;$D$16,IF(SUM(C89:$C$102)=0,$D$13,C89),0)))</f>
        <v>0</v>
      </c>
      <c r="F89" s="66">
        <f t="shared" si="98"/>
        <v>12946986</v>
      </c>
      <c r="G89" s="284">
        <f>IF(SUM(C90:$C$101)=0,C89,0)</f>
        <v>0</v>
      </c>
      <c r="H89" s="284">
        <f t="shared" si="99"/>
        <v>0</v>
      </c>
      <c r="I89" s="2">
        <f t="shared" si="8"/>
        <v>2084</v>
      </c>
      <c r="J89" s="379">
        <f t="shared" si="199"/>
        <v>8360796.8184883008</v>
      </c>
      <c r="K89" s="2">
        <v>65</v>
      </c>
      <c r="L89" s="57">
        <f t="shared" si="200"/>
        <v>189082</v>
      </c>
      <c r="M89" s="62">
        <f t="shared" si="201"/>
        <v>55176.721017341224</v>
      </c>
      <c r="N89" s="2">
        <v>64</v>
      </c>
      <c r="O89" s="57">
        <f t="shared" ref="O89:O152" si="207">$E$24</f>
        <v>293489</v>
      </c>
      <c r="P89" s="62">
        <f t="shared" ref="P89:P120" si="208">SUM($G$10*$G$11*O89*(EXP(-($G$10*N89))),$G$10*$G$11*O89*(EXP(-($G$10*(N89+0.1)))),$G$10*$G$11*O89*(EXP(-($G$10*(N89+0.2)))),$G$10*$G$11*O89*(EXP(-($G$10*(N89+0.3)))),$G$10*$G$11*O89*(EXP(-($G$10*(N89+0.4)))),$G$10*$G$11*O89*(EXP(-($G$10*(N89+0.5)))),$G$10*$G$11*O89*(EXP(-($G$10*(N89+0.6)))),$G$10*$G$11*O89*(EXP(-($G$10*(N89+0.7)))),$G$10*$G$11*O89*(EXP(-($G$10*(N89+0.8)))),$G$10*$G$11*O89*(EXP(-($G$10*(N89+0.9)))))/10</f>
        <v>89139.318310984236</v>
      </c>
      <c r="Q89" s="2">
        <v>63</v>
      </c>
      <c r="R89" s="57">
        <f t="shared" si="77"/>
        <v>283523</v>
      </c>
      <c r="S89" s="62">
        <f t="shared" si="78"/>
        <v>89626.730669738929</v>
      </c>
      <c r="T89" s="2">
        <v>62</v>
      </c>
      <c r="U89" s="57">
        <f t="shared" si="81"/>
        <v>143321</v>
      </c>
      <c r="V89" s="62">
        <f t="shared" si="82"/>
        <v>47155.338670355864</v>
      </c>
      <c r="W89" s="2">
        <v>61</v>
      </c>
      <c r="X89" s="57">
        <f t="shared" si="85"/>
        <v>227851</v>
      </c>
      <c r="Y89" s="62">
        <f t="shared" si="86"/>
        <v>78026.792927959075</v>
      </c>
      <c r="Z89" s="2">
        <v>60</v>
      </c>
      <c r="AA89" s="57">
        <f t="shared" si="89"/>
        <v>238727</v>
      </c>
      <c r="AB89" s="62">
        <f t="shared" si="90"/>
        <v>85087.573268778011</v>
      </c>
      <c r="AC89" s="2">
        <v>59</v>
      </c>
      <c r="AD89" s="57">
        <f t="shared" si="93"/>
        <v>250122</v>
      </c>
      <c r="AE89" s="62">
        <f t="shared" si="94"/>
        <v>92787.242665027748</v>
      </c>
      <c r="AF89" s="2">
        <v>58</v>
      </c>
      <c r="AG89" s="57">
        <f t="shared" si="100"/>
        <v>262060</v>
      </c>
      <c r="AH89" s="62">
        <f t="shared" si="101"/>
        <v>101183.31233771483</v>
      </c>
      <c r="AI89" s="2">
        <v>57</v>
      </c>
      <c r="AJ89" s="57">
        <f t="shared" si="104"/>
        <v>274569</v>
      </c>
      <c r="AK89" s="62">
        <f t="shared" si="105"/>
        <v>110339.6080586126</v>
      </c>
      <c r="AL89" s="2">
        <v>56</v>
      </c>
      <c r="AM89" s="57">
        <f t="shared" si="107"/>
        <v>287675</v>
      </c>
      <c r="AN89" s="62">
        <f t="shared" si="108"/>
        <v>120324.43636911479</v>
      </c>
      <c r="AO89" s="2">
        <v>55</v>
      </c>
      <c r="AP89" s="57">
        <f t="shared" si="111"/>
        <v>301406</v>
      </c>
      <c r="AQ89" s="62">
        <f t="shared" si="112"/>
        <v>131212.55339872846</v>
      </c>
      <c r="AR89" s="2">
        <v>54</v>
      </c>
      <c r="AS89" s="57">
        <f t="shared" si="115"/>
        <v>315793</v>
      </c>
      <c r="AT89" s="62">
        <f t="shared" si="116"/>
        <v>143086.20715799253</v>
      </c>
      <c r="AU89" s="2">
        <v>53</v>
      </c>
      <c r="AV89" s="57">
        <f t="shared" si="119"/>
        <v>330866</v>
      </c>
      <c r="AW89" s="62">
        <f t="shared" si="120"/>
        <v>156033.98245926146</v>
      </c>
      <c r="AX89" s="2">
        <v>52</v>
      </c>
      <c r="AY89" s="57">
        <f t="shared" si="123"/>
        <v>346659</v>
      </c>
      <c r="AZ89" s="62">
        <f t="shared" si="124"/>
        <v>170153.66628236545</v>
      </c>
      <c r="BA89" s="2">
        <v>51</v>
      </c>
      <c r="BB89" s="57">
        <f t="shared" si="127"/>
        <v>363206</v>
      </c>
      <c r="BC89" s="62">
        <f t="shared" si="128"/>
        <v>185551.13912073482</v>
      </c>
      <c r="BD89" s="2">
        <v>50</v>
      </c>
      <c r="BE89" s="57">
        <f t="shared" si="132"/>
        <v>380542</v>
      </c>
      <c r="BF89" s="62">
        <f t="shared" si="133"/>
        <v>202341.50981432627</v>
      </c>
      <c r="BG89" s="2">
        <v>49</v>
      </c>
      <c r="BH89" s="57">
        <f t="shared" si="136"/>
        <v>398706</v>
      </c>
      <c r="BI89" s="62">
        <f t="shared" si="137"/>
        <v>220651.52860198804</v>
      </c>
      <c r="BJ89" s="2">
        <v>48</v>
      </c>
      <c r="BK89" s="57">
        <f t="shared" si="139"/>
        <v>417737</v>
      </c>
      <c r="BL89" s="62">
        <f t="shared" si="140"/>
        <v>240618.43177067634</v>
      </c>
      <c r="BM89" s="2">
        <v>47</v>
      </c>
      <c r="BN89" s="57">
        <f t="shared" si="144"/>
        <v>437677</v>
      </c>
      <c r="BO89" s="62">
        <f t="shared" si="145"/>
        <v>262392.52133146708</v>
      </c>
      <c r="BP89" s="2">
        <v>46</v>
      </c>
      <c r="BQ89" s="57">
        <f t="shared" si="147"/>
        <v>458568</v>
      </c>
      <c r="BR89" s="62">
        <f t="shared" si="148"/>
        <v>286136.49454843404</v>
      </c>
      <c r="BS89" s="2">
        <v>45</v>
      </c>
      <c r="BT89" s="57">
        <f t="shared" si="152"/>
        <v>480456</v>
      </c>
      <c r="BU89" s="62">
        <f t="shared" si="153"/>
        <v>312028.96285627957</v>
      </c>
      <c r="BV89" s="2">
        <v>44</v>
      </c>
      <c r="BW89" s="57">
        <f t="shared" si="155"/>
        <v>503389</v>
      </c>
      <c r="BX89" s="62">
        <f t="shared" si="156"/>
        <v>340264.61396681226</v>
      </c>
      <c r="BY89" s="2">
        <v>43</v>
      </c>
      <c r="BZ89" s="57">
        <f t="shared" si="160"/>
        <v>527417</v>
      </c>
      <c r="CA89" s="62">
        <f t="shared" si="161"/>
        <v>371055.58167791337</v>
      </c>
      <c r="CB89" s="2">
        <v>42</v>
      </c>
      <c r="CC89" s="57">
        <f t="shared" si="163"/>
        <v>552592</v>
      </c>
      <c r="CD89" s="62">
        <f t="shared" si="164"/>
        <v>404632.92399118695</v>
      </c>
      <c r="CE89" s="2">
        <v>41</v>
      </c>
      <c r="CF89" s="57">
        <f t="shared" si="168"/>
        <v>578968</v>
      </c>
      <c r="CG89" s="62">
        <f t="shared" si="169"/>
        <v>441248.21749760228</v>
      </c>
      <c r="CH89" s="2">
        <v>40</v>
      </c>
      <c r="CI89" s="57">
        <f t="shared" si="172"/>
        <v>606603</v>
      </c>
      <c r="CJ89" s="62">
        <f t="shared" si="173"/>
        <v>481176.86300282227</v>
      </c>
      <c r="CK89" s="2">
        <v>39</v>
      </c>
      <c r="CL89" s="57">
        <f t="shared" si="175"/>
        <v>635558</v>
      </c>
      <c r="CM89" s="62">
        <f t="shared" si="176"/>
        <v>524719.43667649827</v>
      </c>
      <c r="CN89" s="2">
        <v>38</v>
      </c>
      <c r="CO89" s="57">
        <f t="shared" si="180"/>
        <v>665894</v>
      </c>
      <c r="CP89" s="62">
        <f t="shared" si="181"/>
        <v>572201.30366143631</v>
      </c>
      <c r="CQ89" s="2">
        <v>37</v>
      </c>
      <c r="CR89" s="57">
        <f t="shared" si="183"/>
        <v>697679</v>
      </c>
      <c r="CS89" s="62">
        <f t="shared" si="184"/>
        <v>623980.72085532453</v>
      </c>
      <c r="CT89" s="2">
        <v>36</v>
      </c>
      <c r="CU89" s="57">
        <f t="shared" si="188"/>
        <v>730980</v>
      </c>
      <c r="CV89" s="62">
        <f t="shared" si="189"/>
        <v>680444.6352302942</v>
      </c>
      <c r="CW89" s="2">
        <v>35</v>
      </c>
      <c r="CX89" s="57">
        <f t="shared" si="191"/>
        <v>765871</v>
      </c>
      <c r="CY89" s="62">
        <f t="shared" si="192"/>
        <v>742018.45029052976</v>
      </c>
      <c r="CZ89" s="2">
        <v>34</v>
      </c>
      <c r="DA89" s="57">
        <f t="shared" si="196"/>
        <v>0</v>
      </c>
      <c r="DB89" s="62">
        <f t="shared" si="197"/>
        <v>0</v>
      </c>
      <c r="DC89" s="2">
        <v>33</v>
      </c>
      <c r="DD89" s="57">
        <f t="shared" si="202"/>
        <v>0</v>
      </c>
      <c r="DE89" s="62">
        <f t="shared" si="203"/>
        <v>0</v>
      </c>
      <c r="DF89" s="2">
        <v>32</v>
      </c>
      <c r="DG89" s="57">
        <f t="shared" ref="DG89:DG152" si="209">$E$56</f>
        <v>0</v>
      </c>
      <c r="DH89" s="62">
        <f t="shared" ref="DH89:DH120" si="210">SUM($G$10*$G$11*DG89*(EXP(-($G$10*DF89))),$G$10*$G$11*DG89*(EXP(-($G$10*(DF89+0.1)))),$G$10*$G$11*DG89*(EXP(-($G$10*(DF89+0.2)))),$G$10*$G$11*DG89*(EXP(-($G$10*(DF89+0.3)))),$G$10*$G$11*DG89*(EXP(-($G$10*(DF89+0.4)))),$G$10*$G$11*DG89*(EXP(-($G$10*(DF89+0.5)))),$G$10*$G$11*DG89*(EXP(-($G$10*(DF89+0.6)))),$G$10*$G$11*DG89*(EXP(-($G$10*(DF89+0.7)))),$G$10*$G$11*DG89*(EXP(-($G$10*(DF89+0.8)))),$G$10*$G$11*DG89*(EXP(-($G$10*(DF89+0.9)))))/10</f>
        <v>0</v>
      </c>
      <c r="DI89" s="2">
        <v>31</v>
      </c>
      <c r="DJ89" s="57">
        <f t="shared" si="79"/>
        <v>0</v>
      </c>
      <c r="DK89" s="62">
        <f t="shared" si="80"/>
        <v>0</v>
      </c>
      <c r="DL89" s="2">
        <v>30</v>
      </c>
      <c r="DM89" s="57">
        <f t="shared" si="83"/>
        <v>0</v>
      </c>
      <c r="DN89" s="62">
        <f t="shared" si="84"/>
        <v>0</v>
      </c>
      <c r="DO89" s="2">
        <v>29</v>
      </c>
      <c r="DP89" s="57">
        <f t="shared" si="87"/>
        <v>0</v>
      </c>
      <c r="DQ89" s="62">
        <f t="shared" si="88"/>
        <v>0</v>
      </c>
      <c r="DR89" s="2">
        <v>28</v>
      </c>
      <c r="DS89" s="57">
        <f t="shared" si="91"/>
        <v>0</v>
      </c>
      <c r="DT89" s="62">
        <f t="shared" si="92"/>
        <v>0</v>
      </c>
      <c r="DU89" s="2">
        <v>27</v>
      </c>
      <c r="DV89" s="57">
        <f t="shared" si="95"/>
        <v>0</v>
      </c>
      <c r="DW89" s="62">
        <f t="shared" si="96"/>
        <v>0</v>
      </c>
      <c r="DX89" s="2">
        <v>26</v>
      </c>
      <c r="DY89" s="57">
        <f t="shared" si="102"/>
        <v>0</v>
      </c>
      <c r="DZ89" s="62">
        <f t="shared" si="103"/>
        <v>0</v>
      </c>
      <c r="EA89" s="2">
        <v>25</v>
      </c>
      <c r="EB89" s="57">
        <f t="shared" si="109"/>
        <v>0</v>
      </c>
      <c r="EC89" s="62">
        <f t="shared" si="106"/>
        <v>0</v>
      </c>
      <c r="ED89" s="2">
        <v>24</v>
      </c>
      <c r="EE89" s="57">
        <f t="shared" si="113"/>
        <v>0</v>
      </c>
      <c r="EF89" s="62">
        <f t="shared" si="110"/>
        <v>0</v>
      </c>
      <c r="EG89" s="2">
        <v>23</v>
      </c>
      <c r="EH89" s="57">
        <f t="shared" si="117"/>
        <v>0</v>
      </c>
      <c r="EI89" s="62">
        <f t="shared" si="114"/>
        <v>0</v>
      </c>
      <c r="EJ89" s="2">
        <v>22</v>
      </c>
      <c r="EK89" s="57">
        <f t="shared" si="121"/>
        <v>0</v>
      </c>
      <c r="EL89" s="62">
        <f t="shared" si="118"/>
        <v>0</v>
      </c>
      <c r="EM89" s="2">
        <v>21</v>
      </c>
      <c r="EN89" s="57">
        <f t="shared" si="125"/>
        <v>0</v>
      </c>
      <c r="EO89" s="62">
        <f t="shared" si="122"/>
        <v>0</v>
      </c>
      <c r="EP89" s="2">
        <v>20</v>
      </c>
      <c r="EQ89" s="57">
        <f t="shared" si="129"/>
        <v>0</v>
      </c>
      <c r="ER89" s="62">
        <f t="shared" si="126"/>
        <v>0</v>
      </c>
      <c r="ES89" s="2">
        <v>19</v>
      </c>
      <c r="ET89" s="57">
        <f t="shared" si="130"/>
        <v>0</v>
      </c>
      <c r="EU89" s="62">
        <f t="shared" si="131"/>
        <v>0</v>
      </c>
      <c r="EV89" s="2">
        <v>18</v>
      </c>
      <c r="EW89" s="57">
        <f t="shared" si="134"/>
        <v>0</v>
      </c>
      <c r="EX89" s="62">
        <f t="shared" si="135"/>
        <v>0</v>
      </c>
      <c r="EY89" s="2">
        <v>17</v>
      </c>
      <c r="EZ89" s="57">
        <f t="shared" si="141"/>
        <v>0</v>
      </c>
      <c r="FA89" s="62">
        <f t="shared" si="138"/>
        <v>0</v>
      </c>
      <c r="FB89" s="2">
        <v>16</v>
      </c>
      <c r="FC89" s="57">
        <f t="shared" si="142"/>
        <v>0</v>
      </c>
      <c r="FD89" s="62">
        <f t="shared" si="143"/>
        <v>0</v>
      </c>
      <c r="FE89" s="2">
        <v>15</v>
      </c>
      <c r="FF89" s="57">
        <f t="shared" si="149"/>
        <v>0</v>
      </c>
      <c r="FG89" s="62">
        <f t="shared" si="146"/>
        <v>0</v>
      </c>
      <c r="FH89" s="2">
        <v>14</v>
      </c>
      <c r="FI89" s="57">
        <f t="shared" si="150"/>
        <v>0</v>
      </c>
      <c r="FJ89" s="62">
        <f t="shared" si="151"/>
        <v>0</v>
      </c>
      <c r="FK89" s="2">
        <v>13</v>
      </c>
      <c r="FL89" s="57">
        <f t="shared" si="157"/>
        <v>0</v>
      </c>
      <c r="FM89" s="62">
        <f t="shared" si="154"/>
        <v>0</v>
      </c>
      <c r="FN89" s="2">
        <v>12</v>
      </c>
      <c r="FO89" s="57">
        <f t="shared" si="158"/>
        <v>0</v>
      </c>
      <c r="FP89" s="62">
        <f t="shared" si="159"/>
        <v>0</v>
      </c>
      <c r="FQ89" s="2">
        <v>11</v>
      </c>
      <c r="FR89" s="57">
        <f t="shared" si="165"/>
        <v>0</v>
      </c>
      <c r="FS89" s="62">
        <f t="shared" si="162"/>
        <v>0</v>
      </c>
      <c r="FT89" s="2">
        <v>10</v>
      </c>
      <c r="FU89" s="57">
        <f t="shared" si="166"/>
        <v>0</v>
      </c>
      <c r="FV89" s="62">
        <f t="shared" si="167"/>
        <v>0</v>
      </c>
      <c r="FW89" s="2">
        <v>9</v>
      </c>
      <c r="FX89" s="57">
        <f t="shared" si="170"/>
        <v>0</v>
      </c>
      <c r="FY89" s="62">
        <f t="shared" si="171"/>
        <v>0</v>
      </c>
      <c r="FZ89" s="2">
        <v>8</v>
      </c>
      <c r="GA89" s="57">
        <f t="shared" si="177"/>
        <v>0</v>
      </c>
      <c r="GB89" s="62">
        <f t="shared" si="174"/>
        <v>0</v>
      </c>
      <c r="GC89" s="2">
        <v>7</v>
      </c>
      <c r="GD89" s="57">
        <f t="shared" si="178"/>
        <v>0</v>
      </c>
      <c r="GE89" s="62">
        <f t="shared" si="179"/>
        <v>0</v>
      </c>
      <c r="GF89" s="2">
        <v>6</v>
      </c>
      <c r="GG89" s="57">
        <f t="shared" si="185"/>
        <v>0</v>
      </c>
      <c r="GH89" s="62">
        <f t="shared" si="182"/>
        <v>0</v>
      </c>
      <c r="GI89" s="2">
        <v>5</v>
      </c>
      <c r="GJ89" s="57">
        <f t="shared" si="186"/>
        <v>0</v>
      </c>
      <c r="GK89" s="62">
        <f t="shared" si="187"/>
        <v>0</v>
      </c>
      <c r="GL89" s="2">
        <v>4</v>
      </c>
      <c r="GM89" s="57">
        <f t="shared" si="193"/>
        <v>0</v>
      </c>
      <c r="GN89" s="62">
        <f t="shared" si="190"/>
        <v>0</v>
      </c>
      <c r="GO89" s="2">
        <v>3</v>
      </c>
      <c r="GP89" s="57">
        <f t="shared" si="194"/>
        <v>0</v>
      </c>
      <c r="GQ89" s="62">
        <f t="shared" si="195"/>
        <v>0</v>
      </c>
      <c r="GR89" s="2">
        <v>2</v>
      </c>
      <c r="GS89" s="57">
        <f t="shared" si="204"/>
        <v>0</v>
      </c>
      <c r="GT89" s="62">
        <f t="shared" si="198"/>
        <v>0</v>
      </c>
      <c r="GU89" s="2">
        <v>1</v>
      </c>
      <c r="GV89" s="57">
        <f t="shared" si="205"/>
        <v>0</v>
      </c>
      <c r="GW89" s="62">
        <f t="shared" si="206"/>
        <v>0</v>
      </c>
      <c r="GX89" s="2">
        <v>0</v>
      </c>
      <c r="GY89" s="57">
        <f>$E$88</f>
        <v>0</v>
      </c>
      <c r="GZ89" s="62">
        <f t="shared" ref="GZ89:GZ120" si="211">SUM($G$10*$G$11*GY89*(EXP(-($G$10*GX89))),$G$10*$G$11*GY89*(EXP(-($G$10*(GX89+0.1)))),$G$10*$G$11*GY89*(EXP(-($G$10*(GX89+0.2)))),$G$10*$G$11*GY89*(EXP(-($G$10*(GX89+0.3)))),$G$10*$G$11*GY89*(EXP(-($G$10*(GX89+0.4)))),$G$10*$G$11*GY89*(EXP(-($G$10*(GX89+0.5)))),$G$10*$G$11*GY89*(EXP(-($G$10*(GX89+0.6)))),$G$10*$G$11*GY89*(EXP(-($G$10*(GX89+0.7)))),$G$10*$G$11*GY89*(EXP(-($G$10*(GX89+0.8)))),$G$10*$G$11*GY89*(EXP(-($G$10*(GX89+0.9)))))/10</f>
        <v>0</v>
      </c>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row>
    <row r="90" spans="2:250">
      <c r="B90" s="56">
        <f>'USER INPUTS'!J75</f>
        <v>2085</v>
      </c>
      <c r="C90" s="420">
        <f>IF(OR(AND(ClosureCalcYes=TRUE,WasteCapacity=""),AND(ClosureCalcYes=FALSE,ClosureYear="")),0,IF('USER INPUTS'!K75&gt;0,IF('USER INPUTS'!$K$4="Mg/year",'USER INPUTS'!K75,'USER INPUTS'!L75),0))</f>
        <v>0</v>
      </c>
      <c r="D90" s="420">
        <f t="shared" si="97"/>
        <v>12946986</v>
      </c>
      <c r="E90" s="420">
        <f>IF(ClosureCalcYes=FALSE,IF(AND(B90&lt;ClosureYear,C90=0,SUM(C90:$C$102)=0),$D$13,IF(B90&lt;=ClosureYear,C90,0)),IF(B90=$D$16,($D$14-F90),IF(B90&lt;$D$16,IF(SUM(C90:$C$102)=0,$D$13,C90),0)))</f>
        <v>0</v>
      </c>
      <c r="F90" s="66">
        <f t="shared" si="98"/>
        <v>12946986</v>
      </c>
      <c r="G90" s="284">
        <f>IF(SUM(C91:$C$101)=0,C90,0)</f>
        <v>0</v>
      </c>
      <c r="H90" s="284">
        <f t="shared" si="99"/>
        <v>0</v>
      </c>
      <c r="I90" s="2">
        <f t="shared" ref="I90:K123" si="212">IF(I89="","",(I89+1))</f>
        <v>2085</v>
      </c>
      <c r="J90" s="379">
        <f t="shared" si="199"/>
        <v>8032965.2861019047</v>
      </c>
      <c r="K90" s="2">
        <v>66</v>
      </c>
      <c r="L90" s="57">
        <f t="shared" si="200"/>
        <v>189082</v>
      </c>
      <c r="M90" s="62">
        <f t="shared" si="201"/>
        <v>53013.21084051548</v>
      </c>
      <c r="N90" s="2">
        <v>65</v>
      </c>
      <c r="O90" s="57">
        <f t="shared" si="207"/>
        <v>293489</v>
      </c>
      <c r="P90" s="62">
        <f t="shared" si="208"/>
        <v>85644.115646430961</v>
      </c>
      <c r="Q90" s="2">
        <v>64</v>
      </c>
      <c r="R90" s="57">
        <f t="shared" ref="R90:R153" si="213">$E$25</f>
        <v>283523</v>
      </c>
      <c r="S90" s="62">
        <f t="shared" ref="S90:S121" si="214">SUM($G$10*$G$11*R90*(EXP(-($G$10*Q90))),$G$10*$G$11*R90*(EXP(-($G$10*(Q90+0.1)))),$G$10*$G$11*R90*(EXP(-($G$10*(Q90+0.2)))),$G$10*$G$11*R90*(EXP(-($G$10*(Q90+0.3)))),$G$10*$G$11*R90*(EXP(-($G$10*(Q90+0.4)))),$G$10*$G$11*R90*(EXP(-($G$10*(Q90+0.5)))),$G$10*$G$11*R90*(EXP(-($G$10*(Q90+0.6)))),$G$10*$G$11*R90*(EXP(-($G$10*(Q90+0.7)))),$G$10*$G$11*R90*(EXP(-($G$10*(Q90+0.8)))),$G$10*$G$11*R90*(EXP(-($G$10*(Q90+0.9)))))/10</f>
        <v>86112.416293234797</v>
      </c>
      <c r="T90" s="2">
        <v>63</v>
      </c>
      <c r="U90" s="57">
        <f t="shared" si="81"/>
        <v>143321</v>
      </c>
      <c r="V90" s="62">
        <f t="shared" si="82"/>
        <v>45306.351394129051</v>
      </c>
      <c r="W90" s="2">
        <v>62</v>
      </c>
      <c r="X90" s="57">
        <f t="shared" si="85"/>
        <v>227851</v>
      </c>
      <c r="Y90" s="62">
        <f t="shared" si="86"/>
        <v>74967.318616108256</v>
      </c>
      <c r="Z90" s="2">
        <v>61</v>
      </c>
      <c r="AA90" s="57">
        <f t="shared" si="89"/>
        <v>238727</v>
      </c>
      <c r="AB90" s="62">
        <f t="shared" si="90"/>
        <v>81751.241799741445</v>
      </c>
      <c r="AC90" s="2">
        <v>60</v>
      </c>
      <c r="AD90" s="57">
        <f t="shared" si="93"/>
        <v>250122</v>
      </c>
      <c r="AE90" s="62">
        <f t="shared" si="94"/>
        <v>89149.002840622517</v>
      </c>
      <c r="AF90" s="2">
        <v>59</v>
      </c>
      <c r="AG90" s="57">
        <f t="shared" si="100"/>
        <v>262060</v>
      </c>
      <c r="AH90" s="62">
        <f t="shared" si="101"/>
        <v>97215.857912527368</v>
      </c>
      <c r="AI90" s="2">
        <v>58</v>
      </c>
      <c r="AJ90" s="57">
        <f t="shared" si="104"/>
        <v>274569</v>
      </c>
      <c r="AK90" s="62">
        <f t="shared" si="105"/>
        <v>106013.13014292155</v>
      </c>
      <c r="AL90" s="2">
        <v>57</v>
      </c>
      <c r="AM90" s="57">
        <f t="shared" si="107"/>
        <v>287675</v>
      </c>
      <c r="AN90" s="62">
        <f t="shared" si="108"/>
        <v>115606.44773540119</v>
      </c>
      <c r="AO90" s="2">
        <v>56</v>
      </c>
      <c r="AP90" s="57">
        <f t="shared" si="111"/>
        <v>301406</v>
      </c>
      <c r="AQ90" s="62">
        <f t="shared" si="112"/>
        <v>126067.63558970857</v>
      </c>
      <c r="AR90" s="2">
        <v>55</v>
      </c>
      <c r="AS90" s="57">
        <f t="shared" si="115"/>
        <v>315793</v>
      </c>
      <c r="AT90" s="62">
        <f t="shared" si="116"/>
        <v>137475.71672576078</v>
      </c>
      <c r="AU90" s="2">
        <v>54</v>
      </c>
      <c r="AV90" s="57">
        <f t="shared" si="119"/>
        <v>330866</v>
      </c>
      <c r="AW90" s="62">
        <f t="shared" si="120"/>
        <v>149915.80249573727</v>
      </c>
      <c r="AX90" s="2">
        <v>53</v>
      </c>
      <c r="AY90" s="57">
        <f t="shared" si="123"/>
        <v>346659</v>
      </c>
      <c r="AZ90" s="62">
        <f t="shared" si="124"/>
        <v>163481.84559714544</v>
      </c>
      <c r="BA90" s="2">
        <v>52</v>
      </c>
      <c r="BB90" s="57">
        <f t="shared" si="127"/>
        <v>363206</v>
      </c>
      <c r="BC90" s="62">
        <f t="shared" si="128"/>
        <v>178275.57488988549</v>
      </c>
      <c r="BD90" s="2">
        <v>51</v>
      </c>
      <c r="BE90" s="57">
        <f t="shared" si="132"/>
        <v>380542</v>
      </c>
      <c r="BF90" s="62">
        <f t="shared" si="133"/>
        <v>194407.58573174087</v>
      </c>
      <c r="BG90" s="2">
        <v>50</v>
      </c>
      <c r="BH90" s="57">
        <f t="shared" si="136"/>
        <v>398706</v>
      </c>
      <c r="BI90" s="62">
        <f t="shared" si="137"/>
        <v>211999.65841360684</v>
      </c>
      <c r="BJ90" s="2">
        <v>49</v>
      </c>
      <c r="BK90" s="57">
        <f t="shared" si="139"/>
        <v>417737</v>
      </c>
      <c r="BL90" s="62">
        <f t="shared" si="140"/>
        <v>231183.64811065962</v>
      </c>
      <c r="BM90" s="2">
        <v>48</v>
      </c>
      <c r="BN90" s="57">
        <f t="shared" si="144"/>
        <v>437677</v>
      </c>
      <c r="BO90" s="62">
        <f t="shared" si="145"/>
        <v>252103.96340782428</v>
      </c>
      <c r="BP90" s="2">
        <v>47</v>
      </c>
      <c r="BQ90" s="57">
        <f t="shared" si="147"/>
        <v>458568</v>
      </c>
      <c r="BR90" s="62">
        <f t="shared" si="148"/>
        <v>274916.92211820179</v>
      </c>
      <c r="BS90" s="2">
        <v>46</v>
      </c>
      <c r="BT90" s="57">
        <f t="shared" si="152"/>
        <v>480456</v>
      </c>
      <c r="BU90" s="62">
        <f t="shared" si="153"/>
        <v>299794.13222196588</v>
      </c>
      <c r="BV90" s="2">
        <v>45</v>
      </c>
      <c r="BW90" s="57">
        <f t="shared" si="155"/>
        <v>503389</v>
      </c>
      <c r="BX90" s="62">
        <f t="shared" si="156"/>
        <v>326922.64761655533</v>
      </c>
      <c r="BY90" s="2">
        <v>44</v>
      </c>
      <c r="BZ90" s="57">
        <f t="shared" si="160"/>
        <v>527417</v>
      </c>
      <c r="CA90" s="62">
        <f t="shared" si="161"/>
        <v>356506.28421466151</v>
      </c>
      <c r="CB90" s="2">
        <v>43</v>
      </c>
      <c r="CC90" s="57">
        <f t="shared" si="163"/>
        <v>552592</v>
      </c>
      <c r="CD90" s="62">
        <f t="shared" si="164"/>
        <v>388767.04010405717</v>
      </c>
      <c r="CE90" s="2">
        <v>42</v>
      </c>
      <c r="CF90" s="57">
        <f t="shared" si="168"/>
        <v>578968</v>
      </c>
      <c r="CG90" s="62">
        <f t="shared" si="169"/>
        <v>423946.62741648371</v>
      </c>
      <c r="CH90" s="2">
        <v>41</v>
      </c>
      <c r="CI90" s="57">
        <f t="shared" si="172"/>
        <v>606603</v>
      </c>
      <c r="CJ90" s="62">
        <f t="shared" si="173"/>
        <v>462309.64833755593</v>
      </c>
      <c r="CK90" s="2">
        <v>40</v>
      </c>
      <c r="CL90" s="57">
        <f t="shared" si="175"/>
        <v>635558</v>
      </c>
      <c r="CM90" s="62">
        <f t="shared" si="176"/>
        <v>504144.89327673567</v>
      </c>
      <c r="CN90" s="2">
        <v>39</v>
      </c>
      <c r="CO90" s="57">
        <f t="shared" si="180"/>
        <v>665894</v>
      </c>
      <c r="CP90" s="62">
        <f t="shared" si="181"/>
        <v>549764.96962709969</v>
      </c>
      <c r="CQ90" s="2">
        <v>38</v>
      </c>
      <c r="CR90" s="57">
        <f t="shared" si="183"/>
        <v>697679</v>
      </c>
      <c r="CS90" s="62">
        <f t="shared" si="184"/>
        <v>599514.08683244954</v>
      </c>
      <c r="CT90" s="2">
        <v>37</v>
      </c>
      <c r="CU90" s="57">
        <f t="shared" si="188"/>
        <v>730980</v>
      </c>
      <c r="CV90" s="62">
        <f t="shared" si="189"/>
        <v>653764.01945712161</v>
      </c>
      <c r="CW90" s="2">
        <v>36</v>
      </c>
      <c r="CX90" s="57">
        <f t="shared" si="191"/>
        <v>765871</v>
      </c>
      <c r="CY90" s="62">
        <f t="shared" si="192"/>
        <v>712923.49069531413</v>
      </c>
      <c r="CZ90" s="2">
        <v>35</v>
      </c>
      <c r="DA90" s="57">
        <f t="shared" si="196"/>
        <v>0</v>
      </c>
      <c r="DB90" s="62">
        <f t="shared" si="197"/>
        <v>0</v>
      </c>
      <c r="DC90" s="2">
        <v>34</v>
      </c>
      <c r="DD90" s="57">
        <f t="shared" si="202"/>
        <v>0</v>
      </c>
      <c r="DE90" s="62">
        <f t="shared" si="203"/>
        <v>0</v>
      </c>
      <c r="DF90" s="2">
        <v>33</v>
      </c>
      <c r="DG90" s="57">
        <f t="shared" si="209"/>
        <v>0</v>
      </c>
      <c r="DH90" s="62">
        <f t="shared" si="210"/>
        <v>0</v>
      </c>
      <c r="DI90" s="2">
        <v>32</v>
      </c>
      <c r="DJ90" s="57">
        <f t="shared" ref="DJ90:DJ153" si="215">$E$57</f>
        <v>0</v>
      </c>
      <c r="DK90" s="62">
        <f t="shared" ref="DK90:DK121" si="216">SUM($G$10*$G$11*DJ90*(EXP(-($G$10*DI90))),$G$10*$G$11*DJ90*(EXP(-($G$10*(DI90+0.1)))),$G$10*$G$11*DJ90*(EXP(-($G$10*(DI90+0.2)))),$G$10*$G$11*DJ90*(EXP(-($G$10*(DI90+0.3)))),$G$10*$G$11*DJ90*(EXP(-($G$10*(DI90+0.4)))),$G$10*$G$11*DJ90*(EXP(-($G$10*(DI90+0.5)))),$G$10*$G$11*DJ90*(EXP(-($G$10*(DI90+0.6)))),$G$10*$G$11*DJ90*(EXP(-($G$10*(DI90+0.7)))),$G$10*$G$11*DJ90*(EXP(-($G$10*(DI90+0.8)))),$G$10*$G$11*DJ90*(EXP(-($G$10*(DI90+0.9)))))/10</f>
        <v>0</v>
      </c>
      <c r="DL90" s="2">
        <v>31</v>
      </c>
      <c r="DM90" s="57">
        <f t="shared" si="83"/>
        <v>0</v>
      </c>
      <c r="DN90" s="62">
        <f t="shared" si="84"/>
        <v>0</v>
      </c>
      <c r="DO90" s="2">
        <v>30</v>
      </c>
      <c r="DP90" s="57">
        <f t="shared" si="87"/>
        <v>0</v>
      </c>
      <c r="DQ90" s="62">
        <f t="shared" si="88"/>
        <v>0</v>
      </c>
      <c r="DR90" s="2">
        <v>29</v>
      </c>
      <c r="DS90" s="57">
        <f t="shared" si="91"/>
        <v>0</v>
      </c>
      <c r="DT90" s="62">
        <f t="shared" si="92"/>
        <v>0</v>
      </c>
      <c r="DU90" s="2">
        <v>28</v>
      </c>
      <c r="DV90" s="57">
        <f t="shared" si="95"/>
        <v>0</v>
      </c>
      <c r="DW90" s="62">
        <f t="shared" si="96"/>
        <v>0</v>
      </c>
      <c r="DX90" s="2">
        <v>27</v>
      </c>
      <c r="DY90" s="57">
        <f t="shared" si="102"/>
        <v>0</v>
      </c>
      <c r="DZ90" s="62">
        <f t="shared" si="103"/>
        <v>0</v>
      </c>
      <c r="EA90" s="2">
        <v>26</v>
      </c>
      <c r="EB90" s="57">
        <f t="shared" si="109"/>
        <v>0</v>
      </c>
      <c r="EC90" s="62">
        <f t="shared" si="106"/>
        <v>0</v>
      </c>
      <c r="ED90" s="2">
        <v>25</v>
      </c>
      <c r="EE90" s="57">
        <f t="shared" si="113"/>
        <v>0</v>
      </c>
      <c r="EF90" s="62">
        <f t="shared" si="110"/>
        <v>0</v>
      </c>
      <c r="EG90" s="2">
        <v>24</v>
      </c>
      <c r="EH90" s="57">
        <f t="shared" si="117"/>
        <v>0</v>
      </c>
      <c r="EI90" s="62">
        <f t="shared" si="114"/>
        <v>0</v>
      </c>
      <c r="EJ90" s="2">
        <v>23</v>
      </c>
      <c r="EK90" s="57">
        <f t="shared" si="121"/>
        <v>0</v>
      </c>
      <c r="EL90" s="62">
        <f t="shared" si="118"/>
        <v>0</v>
      </c>
      <c r="EM90" s="2">
        <v>22</v>
      </c>
      <c r="EN90" s="57">
        <f t="shared" si="125"/>
        <v>0</v>
      </c>
      <c r="EO90" s="62">
        <f t="shared" si="122"/>
        <v>0</v>
      </c>
      <c r="EP90" s="2">
        <v>21</v>
      </c>
      <c r="EQ90" s="57">
        <f t="shared" si="129"/>
        <v>0</v>
      </c>
      <c r="ER90" s="62">
        <f t="shared" si="126"/>
        <v>0</v>
      </c>
      <c r="ES90" s="2">
        <v>20</v>
      </c>
      <c r="ET90" s="57">
        <f t="shared" si="130"/>
        <v>0</v>
      </c>
      <c r="EU90" s="62">
        <f t="shared" si="131"/>
        <v>0</v>
      </c>
      <c r="EV90" s="2">
        <v>19</v>
      </c>
      <c r="EW90" s="57">
        <f t="shared" si="134"/>
        <v>0</v>
      </c>
      <c r="EX90" s="62">
        <f t="shared" si="135"/>
        <v>0</v>
      </c>
      <c r="EY90" s="2">
        <v>18</v>
      </c>
      <c r="EZ90" s="57">
        <f t="shared" si="141"/>
        <v>0</v>
      </c>
      <c r="FA90" s="62">
        <f t="shared" si="138"/>
        <v>0</v>
      </c>
      <c r="FB90" s="2">
        <v>17</v>
      </c>
      <c r="FC90" s="57">
        <f t="shared" si="142"/>
        <v>0</v>
      </c>
      <c r="FD90" s="62">
        <f t="shared" si="143"/>
        <v>0</v>
      </c>
      <c r="FE90" s="2">
        <v>16</v>
      </c>
      <c r="FF90" s="57">
        <f t="shared" si="149"/>
        <v>0</v>
      </c>
      <c r="FG90" s="62">
        <f t="shared" si="146"/>
        <v>0</v>
      </c>
      <c r="FH90" s="2">
        <v>15</v>
      </c>
      <c r="FI90" s="57">
        <f t="shared" si="150"/>
        <v>0</v>
      </c>
      <c r="FJ90" s="62">
        <f t="shared" si="151"/>
        <v>0</v>
      </c>
      <c r="FK90" s="2">
        <v>14</v>
      </c>
      <c r="FL90" s="57">
        <f t="shared" si="157"/>
        <v>0</v>
      </c>
      <c r="FM90" s="62">
        <f t="shared" si="154"/>
        <v>0</v>
      </c>
      <c r="FN90" s="2">
        <v>13</v>
      </c>
      <c r="FO90" s="57">
        <f t="shared" si="158"/>
        <v>0</v>
      </c>
      <c r="FP90" s="62">
        <f t="shared" si="159"/>
        <v>0</v>
      </c>
      <c r="FQ90" s="2">
        <v>12</v>
      </c>
      <c r="FR90" s="57">
        <f t="shared" si="165"/>
        <v>0</v>
      </c>
      <c r="FS90" s="62">
        <f t="shared" si="162"/>
        <v>0</v>
      </c>
      <c r="FT90" s="2">
        <v>11</v>
      </c>
      <c r="FU90" s="57">
        <f t="shared" si="166"/>
        <v>0</v>
      </c>
      <c r="FV90" s="62">
        <f t="shared" si="167"/>
        <v>0</v>
      </c>
      <c r="FW90" s="2">
        <v>10</v>
      </c>
      <c r="FX90" s="57">
        <f t="shared" si="170"/>
        <v>0</v>
      </c>
      <c r="FY90" s="62">
        <f t="shared" si="171"/>
        <v>0</v>
      </c>
      <c r="FZ90" s="2">
        <v>9</v>
      </c>
      <c r="GA90" s="57">
        <f t="shared" si="177"/>
        <v>0</v>
      </c>
      <c r="GB90" s="62">
        <f t="shared" si="174"/>
        <v>0</v>
      </c>
      <c r="GC90" s="2">
        <v>8</v>
      </c>
      <c r="GD90" s="57">
        <f t="shared" si="178"/>
        <v>0</v>
      </c>
      <c r="GE90" s="62">
        <f t="shared" si="179"/>
        <v>0</v>
      </c>
      <c r="GF90" s="2">
        <v>7</v>
      </c>
      <c r="GG90" s="57">
        <f t="shared" si="185"/>
        <v>0</v>
      </c>
      <c r="GH90" s="62">
        <f t="shared" si="182"/>
        <v>0</v>
      </c>
      <c r="GI90" s="2">
        <v>6</v>
      </c>
      <c r="GJ90" s="57">
        <f t="shared" si="186"/>
        <v>0</v>
      </c>
      <c r="GK90" s="62">
        <f t="shared" si="187"/>
        <v>0</v>
      </c>
      <c r="GL90" s="2">
        <v>5</v>
      </c>
      <c r="GM90" s="57">
        <f t="shared" si="193"/>
        <v>0</v>
      </c>
      <c r="GN90" s="62">
        <f t="shared" si="190"/>
        <v>0</v>
      </c>
      <c r="GO90" s="2">
        <v>4</v>
      </c>
      <c r="GP90" s="57">
        <f t="shared" si="194"/>
        <v>0</v>
      </c>
      <c r="GQ90" s="62">
        <f t="shared" si="195"/>
        <v>0</v>
      </c>
      <c r="GR90" s="2">
        <v>3</v>
      </c>
      <c r="GS90" s="57">
        <f t="shared" si="204"/>
        <v>0</v>
      </c>
      <c r="GT90" s="62">
        <f t="shared" si="198"/>
        <v>0</v>
      </c>
      <c r="GU90" s="2">
        <v>2</v>
      </c>
      <c r="GV90" s="57">
        <f t="shared" si="205"/>
        <v>0</v>
      </c>
      <c r="GW90" s="62">
        <f t="shared" si="206"/>
        <v>0</v>
      </c>
      <c r="GX90" s="2">
        <v>1</v>
      </c>
      <c r="GY90" s="57">
        <f t="shared" ref="GY90:GY153" si="217">$E$88</f>
        <v>0</v>
      </c>
      <c r="GZ90" s="62">
        <f t="shared" si="211"/>
        <v>0</v>
      </c>
      <c r="HA90" s="2">
        <v>0</v>
      </c>
      <c r="HB90" s="57">
        <f t="shared" ref="HB90:HB153" si="218">$E$89</f>
        <v>0</v>
      </c>
      <c r="HC90" s="62">
        <f t="shared" ref="HC90:HC121" si="219">SUM($G$10*$G$11*HB90*(EXP(-($G$10*HA90))),$G$10*$G$11*HB90*(EXP(-($G$10*(HA90+0.1)))),$G$10*$G$11*HB90*(EXP(-($G$10*(HA90+0.2)))),$G$10*$G$11*HB90*(EXP(-($G$10*(HA90+0.3)))),$G$10*$G$11*HB90*(EXP(-($G$10*(HA90+0.4)))),$G$10*$G$11*HB90*(EXP(-($G$10*(HA90+0.5)))),$G$10*$G$11*HB90*(EXP(-($G$10*(HA90+0.6)))),$G$10*$G$11*HB90*(EXP(-($G$10*(HA90+0.7)))),$G$10*$G$11*HB90*(EXP(-($G$10*(HA90+0.8)))),$G$10*$G$11*HB90*(EXP(-($G$10*(HA90+0.9)))))/10</f>
        <v>0</v>
      </c>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row>
    <row r="91" spans="2:250">
      <c r="B91" s="56">
        <f>'USER INPUTS'!J76</f>
        <v>2086</v>
      </c>
      <c r="C91" s="420">
        <f>IF(OR(AND(ClosureCalcYes=TRUE,WasteCapacity=""),AND(ClosureCalcYes=FALSE,ClosureYear="")),0,IF('USER INPUTS'!K76&gt;0,IF('USER INPUTS'!$K$4="Mg/year",'USER INPUTS'!K76,'USER INPUTS'!L76),0))</f>
        <v>0</v>
      </c>
      <c r="D91" s="420">
        <f t="shared" si="97"/>
        <v>12946986</v>
      </c>
      <c r="E91" s="420">
        <f>IF(ClosureCalcYes=FALSE,IF(AND(B91&lt;ClosureYear,C91=0,SUM(C91:$C$102)=0),$D$13,IF(B91&lt;=ClosureYear,C91,0)),IF(B91=$D$16,($D$14-F91),IF(B91&lt;$D$16,IF(SUM(C91:$C$102)=0,$D$13,C91),0)))</f>
        <v>0</v>
      </c>
      <c r="F91" s="66">
        <f t="shared" si="98"/>
        <v>12946986</v>
      </c>
      <c r="G91" s="284">
        <f>IF(SUM(C92:$C$101)=0,C91,0)</f>
        <v>0</v>
      </c>
      <c r="H91" s="284">
        <f t="shared" si="99"/>
        <v>0</v>
      </c>
      <c r="I91" s="2">
        <f t="shared" si="212"/>
        <v>2086</v>
      </c>
      <c r="J91" s="379">
        <f t="shared" si="199"/>
        <v>7717988.2119639292</v>
      </c>
      <c r="K91" s="2">
        <v>67</v>
      </c>
      <c r="L91" s="57">
        <f t="shared" si="200"/>
        <v>189082</v>
      </c>
      <c r="M91" s="62">
        <f t="shared" si="201"/>
        <v>50934.533111122735</v>
      </c>
      <c r="N91" s="2">
        <v>66</v>
      </c>
      <c r="O91" s="57">
        <f t="shared" si="207"/>
        <v>293489</v>
      </c>
      <c r="P91" s="62">
        <f t="shared" si="208"/>
        <v>82285.96183863109</v>
      </c>
      <c r="Q91" s="2">
        <v>65</v>
      </c>
      <c r="R91" s="57">
        <f t="shared" si="213"/>
        <v>283523</v>
      </c>
      <c r="S91" s="62">
        <f t="shared" si="214"/>
        <v>82735.900154428411</v>
      </c>
      <c r="T91" s="2">
        <v>64</v>
      </c>
      <c r="U91" s="57">
        <f t="shared" ref="U91:U154" si="220">$E$26</f>
        <v>143321</v>
      </c>
      <c r="V91" s="62">
        <f t="shared" ref="V91:V122" si="221">SUM($G$10*$G$11*U91*(EXP(-($G$10*T91))),$G$10*$G$11*U91*(EXP(-($G$10*(T91+0.1)))),$G$10*$G$11*U91*(EXP(-($G$10*(T91+0.2)))),$G$10*$G$11*U91*(EXP(-($G$10*(T91+0.3)))),$G$10*$G$11*U91*(EXP(-($G$10*(T91+0.4)))),$G$10*$G$11*U91*(EXP(-($G$10*(T91+0.5)))),$G$10*$G$11*U91*(EXP(-($G$10*(T91+0.6)))),$G$10*$G$11*U91*(EXP(-($G$10*(T91+0.7)))),$G$10*$G$11*U91*(EXP(-($G$10*(T91+0.8)))),$G$10*$G$11*U91*(EXP(-($G$10*(T91+0.9)))))/10</f>
        <v>43529.86394600333</v>
      </c>
      <c r="W91" s="2">
        <v>63</v>
      </c>
      <c r="X91" s="57">
        <f t="shared" si="85"/>
        <v>227851</v>
      </c>
      <c r="Y91" s="62">
        <f t="shared" si="86"/>
        <v>72027.808007924163</v>
      </c>
      <c r="Z91" s="2">
        <v>62</v>
      </c>
      <c r="AA91" s="57">
        <f t="shared" si="89"/>
        <v>238727</v>
      </c>
      <c r="AB91" s="62">
        <f t="shared" si="90"/>
        <v>78545.729758779533</v>
      </c>
      <c r="AC91" s="2">
        <v>61</v>
      </c>
      <c r="AD91" s="57">
        <f t="shared" si="93"/>
        <v>250122</v>
      </c>
      <c r="AE91" s="62">
        <f t="shared" si="94"/>
        <v>85653.420440230606</v>
      </c>
      <c r="AF91" s="2">
        <v>60</v>
      </c>
      <c r="AG91" s="57">
        <f t="shared" si="100"/>
        <v>262060</v>
      </c>
      <c r="AH91" s="62">
        <f t="shared" si="101"/>
        <v>93403.969600489101</v>
      </c>
      <c r="AI91" s="2">
        <v>59</v>
      </c>
      <c r="AJ91" s="57">
        <f t="shared" si="104"/>
        <v>274569</v>
      </c>
      <c r="AK91" s="62">
        <f t="shared" si="105"/>
        <v>101856.29585279983</v>
      </c>
      <c r="AL91" s="2">
        <v>58</v>
      </c>
      <c r="AM91" s="57">
        <f t="shared" si="107"/>
        <v>287675</v>
      </c>
      <c r="AN91" s="62">
        <f t="shared" si="108"/>
        <v>111073.4540820885</v>
      </c>
      <c r="AO91" s="2">
        <v>57</v>
      </c>
      <c r="AP91" s="57">
        <f t="shared" si="111"/>
        <v>301406</v>
      </c>
      <c r="AQ91" s="62">
        <f t="shared" si="112"/>
        <v>121124.45289349556</v>
      </c>
      <c r="AR91" s="2">
        <v>56</v>
      </c>
      <c r="AS91" s="57">
        <f t="shared" si="115"/>
        <v>315793</v>
      </c>
      <c r="AT91" s="62">
        <f t="shared" si="116"/>
        <v>132085.21677000739</v>
      </c>
      <c r="AU91" s="2">
        <v>55</v>
      </c>
      <c r="AV91" s="57">
        <f t="shared" si="119"/>
        <v>330866</v>
      </c>
      <c r="AW91" s="62">
        <f t="shared" si="120"/>
        <v>144037.51979994986</v>
      </c>
      <c r="AX91" s="2">
        <v>54</v>
      </c>
      <c r="AY91" s="57">
        <f t="shared" si="123"/>
        <v>346659</v>
      </c>
      <c r="AZ91" s="62">
        <f t="shared" si="124"/>
        <v>157071.63074286809</v>
      </c>
      <c r="BA91" s="2">
        <v>53</v>
      </c>
      <c r="BB91" s="57">
        <f t="shared" si="127"/>
        <v>363206</v>
      </c>
      <c r="BC91" s="62">
        <f t="shared" si="128"/>
        <v>171285.28961301106</v>
      </c>
      <c r="BD91" s="2">
        <v>52</v>
      </c>
      <c r="BE91" s="57">
        <f t="shared" si="132"/>
        <v>380542</v>
      </c>
      <c r="BF91" s="62">
        <f t="shared" si="133"/>
        <v>186784.75526215645</v>
      </c>
      <c r="BG91" s="2">
        <v>51</v>
      </c>
      <c r="BH91" s="57">
        <f t="shared" si="136"/>
        <v>398706</v>
      </c>
      <c r="BI91" s="62">
        <f t="shared" si="137"/>
        <v>203687.03290769344</v>
      </c>
      <c r="BJ91" s="2">
        <v>50</v>
      </c>
      <c r="BK91" s="57">
        <f t="shared" si="139"/>
        <v>417737</v>
      </c>
      <c r="BL91" s="62">
        <f t="shared" si="140"/>
        <v>222118.80760942871</v>
      </c>
      <c r="BM91" s="2">
        <v>49</v>
      </c>
      <c r="BN91" s="57">
        <f t="shared" si="144"/>
        <v>437677</v>
      </c>
      <c r="BO91" s="62">
        <f t="shared" si="145"/>
        <v>242218.82561068135</v>
      </c>
      <c r="BP91" s="2">
        <v>48</v>
      </c>
      <c r="BQ91" s="57">
        <f t="shared" si="147"/>
        <v>458568</v>
      </c>
      <c r="BR91" s="62">
        <f t="shared" si="148"/>
        <v>264137.27541542996</v>
      </c>
      <c r="BS91" s="2">
        <v>47</v>
      </c>
      <c r="BT91" s="57">
        <f t="shared" si="152"/>
        <v>480456</v>
      </c>
      <c r="BU91" s="62">
        <f t="shared" si="153"/>
        <v>288039.03615870007</v>
      </c>
      <c r="BV91" s="2">
        <v>46</v>
      </c>
      <c r="BW91" s="57">
        <f t="shared" si="155"/>
        <v>503389</v>
      </c>
      <c r="BX91" s="62">
        <f t="shared" si="156"/>
        <v>314103.82724970282</v>
      </c>
      <c r="BY91" s="2">
        <v>45</v>
      </c>
      <c r="BZ91" s="57">
        <f t="shared" si="160"/>
        <v>527417</v>
      </c>
      <c r="CA91" s="62">
        <f t="shared" si="161"/>
        <v>342527.47286488337</v>
      </c>
      <c r="CB91" s="2">
        <v>44</v>
      </c>
      <c r="CC91" s="57">
        <f t="shared" si="163"/>
        <v>552592</v>
      </c>
      <c r="CD91" s="62">
        <f t="shared" si="164"/>
        <v>373523.26642248582</v>
      </c>
      <c r="CE91" s="2">
        <v>43</v>
      </c>
      <c r="CF91" s="57">
        <f t="shared" si="168"/>
        <v>578968</v>
      </c>
      <c r="CG91" s="62">
        <f t="shared" si="169"/>
        <v>407323.44238600228</v>
      </c>
      <c r="CH91" s="2">
        <v>42</v>
      </c>
      <c r="CI91" s="57">
        <f t="shared" si="172"/>
        <v>606603</v>
      </c>
      <c r="CJ91" s="62">
        <f t="shared" si="173"/>
        <v>444182.22774094797</v>
      </c>
      <c r="CK91" s="2">
        <v>41</v>
      </c>
      <c r="CL91" s="57">
        <f t="shared" si="175"/>
        <v>635558</v>
      </c>
      <c r="CM91" s="62">
        <f t="shared" si="176"/>
        <v>484377.08926286281</v>
      </c>
      <c r="CN91" s="2">
        <v>40</v>
      </c>
      <c r="CO91" s="57">
        <f t="shared" si="180"/>
        <v>665894</v>
      </c>
      <c r="CP91" s="62">
        <f t="shared" si="181"/>
        <v>528208.37683361489</v>
      </c>
      <c r="CQ91" s="2">
        <v>39</v>
      </c>
      <c r="CR91" s="57">
        <f t="shared" si="183"/>
        <v>697679</v>
      </c>
      <c r="CS91" s="62">
        <f t="shared" si="184"/>
        <v>576006.80325166637</v>
      </c>
      <c r="CT91" s="2">
        <v>38</v>
      </c>
      <c r="CU91" s="57">
        <f t="shared" si="188"/>
        <v>730980</v>
      </c>
      <c r="CV91" s="62">
        <f t="shared" si="189"/>
        <v>628129.5655921764</v>
      </c>
      <c r="CW91" s="2">
        <v>37</v>
      </c>
      <c r="CX91" s="57">
        <f t="shared" si="191"/>
        <v>765871</v>
      </c>
      <c r="CY91" s="62">
        <f t="shared" si="192"/>
        <v>684969.3607836673</v>
      </c>
      <c r="CZ91" s="2">
        <v>36</v>
      </c>
      <c r="DA91" s="57">
        <f t="shared" si="196"/>
        <v>0</v>
      </c>
      <c r="DB91" s="62">
        <f t="shared" si="197"/>
        <v>0</v>
      </c>
      <c r="DC91" s="2">
        <v>35</v>
      </c>
      <c r="DD91" s="57">
        <f t="shared" si="202"/>
        <v>0</v>
      </c>
      <c r="DE91" s="62">
        <f t="shared" si="203"/>
        <v>0</v>
      </c>
      <c r="DF91" s="2">
        <v>34</v>
      </c>
      <c r="DG91" s="57">
        <f t="shared" si="209"/>
        <v>0</v>
      </c>
      <c r="DH91" s="62">
        <f t="shared" si="210"/>
        <v>0</v>
      </c>
      <c r="DI91" s="2">
        <v>33</v>
      </c>
      <c r="DJ91" s="57">
        <f t="shared" si="215"/>
        <v>0</v>
      </c>
      <c r="DK91" s="62">
        <f t="shared" si="216"/>
        <v>0</v>
      </c>
      <c r="DL91" s="2">
        <v>32</v>
      </c>
      <c r="DM91" s="57">
        <f t="shared" ref="DM91:DM154" si="222">$E$58</f>
        <v>0</v>
      </c>
      <c r="DN91" s="62">
        <f t="shared" ref="DN91:DN122" si="223">SUM($G$10*$G$11*DM91*(EXP(-($G$10*DL91))),$G$10*$G$11*DM91*(EXP(-($G$10*(DL91+0.1)))),$G$10*$G$11*DM91*(EXP(-($G$10*(DL91+0.2)))),$G$10*$G$11*DM91*(EXP(-($G$10*(DL91+0.3)))),$G$10*$G$11*DM91*(EXP(-($G$10*(DL91+0.4)))),$G$10*$G$11*DM91*(EXP(-($G$10*(DL91+0.5)))),$G$10*$G$11*DM91*(EXP(-($G$10*(DL91+0.6)))),$G$10*$G$11*DM91*(EXP(-($G$10*(DL91+0.7)))),$G$10*$G$11*DM91*(EXP(-($G$10*(DL91+0.8)))),$G$10*$G$11*DM91*(EXP(-($G$10*(DL91+0.9)))))/10</f>
        <v>0</v>
      </c>
      <c r="DO91" s="2">
        <v>31</v>
      </c>
      <c r="DP91" s="57">
        <f t="shared" si="87"/>
        <v>0</v>
      </c>
      <c r="DQ91" s="62">
        <f t="shared" si="88"/>
        <v>0</v>
      </c>
      <c r="DR91" s="2">
        <v>30</v>
      </c>
      <c r="DS91" s="57">
        <f t="shared" si="91"/>
        <v>0</v>
      </c>
      <c r="DT91" s="62">
        <f t="shared" si="92"/>
        <v>0</v>
      </c>
      <c r="DU91" s="2">
        <v>29</v>
      </c>
      <c r="DV91" s="57">
        <f t="shared" si="95"/>
        <v>0</v>
      </c>
      <c r="DW91" s="62">
        <f t="shared" si="96"/>
        <v>0</v>
      </c>
      <c r="DX91" s="2">
        <v>28</v>
      </c>
      <c r="DY91" s="57">
        <f t="shared" si="102"/>
        <v>0</v>
      </c>
      <c r="DZ91" s="62">
        <f t="shared" si="103"/>
        <v>0</v>
      </c>
      <c r="EA91" s="2">
        <v>27</v>
      </c>
      <c r="EB91" s="57">
        <f t="shared" si="109"/>
        <v>0</v>
      </c>
      <c r="EC91" s="62">
        <f t="shared" si="106"/>
        <v>0</v>
      </c>
      <c r="ED91" s="2">
        <v>26</v>
      </c>
      <c r="EE91" s="57">
        <f t="shared" si="113"/>
        <v>0</v>
      </c>
      <c r="EF91" s="62">
        <f t="shared" si="110"/>
        <v>0</v>
      </c>
      <c r="EG91" s="2">
        <v>25</v>
      </c>
      <c r="EH91" s="57">
        <f t="shared" si="117"/>
        <v>0</v>
      </c>
      <c r="EI91" s="62">
        <f t="shared" si="114"/>
        <v>0</v>
      </c>
      <c r="EJ91" s="2">
        <v>24</v>
      </c>
      <c r="EK91" s="57">
        <f t="shared" si="121"/>
        <v>0</v>
      </c>
      <c r="EL91" s="62">
        <f t="shared" si="118"/>
        <v>0</v>
      </c>
      <c r="EM91" s="2">
        <v>23</v>
      </c>
      <c r="EN91" s="57">
        <f t="shared" si="125"/>
        <v>0</v>
      </c>
      <c r="EO91" s="62">
        <f t="shared" si="122"/>
        <v>0</v>
      </c>
      <c r="EP91" s="2">
        <v>22</v>
      </c>
      <c r="EQ91" s="57">
        <f t="shared" si="129"/>
        <v>0</v>
      </c>
      <c r="ER91" s="62">
        <f t="shared" si="126"/>
        <v>0</v>
      </c>
      <c r="ES91" s="2">
        <v>21</v>
      </c>
      <c r="ET91" s="57">
        <f t="shared" si="130"/>
        <v>0</v>
      </c>
      <c r="EU91" s="62">
        <f t="shared" si="131"/>
        <v>0</v>
      </c>
      <c r="EV91" s="2">
        <v>20</v>
      </c>
      <c r="EW91" s="57">
        <f t="shared" si="134"/>
        <v>0</v>
      </c>
      <c r="EX91" s="62">
        <f t="shared" si="135"/>
        <v>0</v>
      </c>
      <c r="EY91" s="2">
        <v>19</v>
      </c>
      <c r="EZ91" s="57">
        <f t="shared" si="141"/>
        <v>0</v>
      </c>
      <c r="FA91" s="62">
        <f t="shared" si="138"/>
        <v>0</v>
      </c>
      <c r="FB91" s="2">
        <v>18</v>
      </c>
      <c r="FC91" s="57">
        <f t="shared" si="142"/>
        <v>0</v>
      </c>
      <c r="FD91" s="62">
        <f t="shared" si="143"/>
        <v>0</v>
      </c>
      <c r="FE91" s="2">
        <v>17</v>
      </c>
      <c r="FF91" s="57">
        <f t="shared" si="149"/>
        <v>0</v>
      </c>
      <c r="FG91" s="62">
        <f t="shared" si="146"/>
        <v>0</v>
      </c>
      <c r="FH91" s="2">
        <v>16</v>
      </c>
      <c r="FI91" s="57">
        <f t="shared" si="150"/>
        <v>0</v>
      </c>
      <c r="FJ91" s="62">
        <f t="shared" si="151"/>
        <v>0</v>
      </c>
      <c r="FK91" s="2">
        <v>15</v>
      </c>
      <c r="FL91" s="57">
        <f t="shared" si="157"/>
        <v>0</v>
      </c>
      <c r="FM91" s="62">
        <f t="shared" si="154"/>
        <v>0</v>
      </c>
      <c r="FN91" s="2">
        <v>14</v>
      </c>
      <c r="FO91" s="57">
        <f t="shared" si="158"/>
        <v>0</v>
      </c>
      <c r="FP91" s="62">
        <f t="shared" si="159"/>
        <v>0</v>
      </c>
      <c r="FQ91" s="2">
        <v>13</v>
      </c>
      <c r="FR91" s="57">
        <f t="shared" si="165"/>
        <v>0</v>
      </c>
      <c r="FS91" s="62">
        <f t="shared" si="162"/>
        <v>0</v>
      </c>
      <c r="FT91" s="2">
        <v>12</v>
      </c>
      <c r="FU91" s="57">
        <f t="shared" si="166"/>
        <v>0</v>
      </c>
      <c r="FV91" s="62">
        <f t="shared" si="167"/>
        <v>0</v>
      </c>
      <c r="FW91" s="2">
        <v>11</v>
      </c>
      <c r="FX91" s="57">
        <f t="shared" si="170"/>
        <v>0</v>
      </c>
      <c r="FY91" s="62">
        <f t="shared" si="171"/>
        <v>0</v>
      </c>
      <c r="FZ91" s="2">
        <v>10</v>
      </c>
      <c r="GA91" s="57">
        <f t="shared" si="177"/>
        <v>0</v>
      </c>
      <c r="GB91" s="62">
        <f t="shared" si="174"/>
        <v>0</v>
      </c>
      <c r="GC91" s="2">
        <v>9</v>
      </c>
      <c r="GD91" s="57">
        <f t="shared" si="178"/>
        <v>0</v>
      </c>
      <c r="GE91" s="62">
        <f t="shared" si="179"/>
        <v>0</v>
      </c>
      <c r="GF91" s="2">
        <v>8</v>
      </c>
      <c r="GG91" s="57">
        <f t="shared" si="185"/>
        <v>0</v>
      </c>
      <c r="GH91" s="62">
        <f t="shared" si="182"/>
        <v>0</v>
      </c>
      <c r="GI91" s="2">
        <v>7</v>
      </c>
      <c r="GJ91" s="57">
        <f t="shared" si="186"/>
        <v>0</v>
      </c>
      <c r="GK91" s="62">
        <f t="shared" si="187"/>
        <v>0</v>
      </c>
      <c r="GL91" s="2">
        <v>6</v>
      </c>
      <c r="GM91" s="57">
        <f t="shared" si="193"/>
        <v>0</v>
      </c>
      <c r="GN91" s="62">
        <f t="shared" si="190"/>
        <v>0</v>
      </c>
      <c r="GO91" s="2">
        <v>5</v>
      </c>
      <c r="GP91" s="57">
        <f t="shared" si="194"/>
        <v>0</v>
      </c>
      <c r="GQ91" s="62">
        <f t="shared" si="195"/>
        <v>0</v>
      </c>
      <c r="GR91" s="2">
        <v>4</v>
      </c>
      <c r="GS91" s="57">
        <f t="shared" si="204"/>
        <v>0</v>
      </c>
      <c r="GT91" s="62">
        <f t="shared" si="198"/>
        <v>0</v>
      </c>
      <c r="GU91" s="2">
        <v>3</v>
      </c>
      <c r="GV91" s="57">
        <f t="shared" si="205"/>
        <v>0</v>
      </c>
      <c r="GW91" s="62">
        <f t="shared" si="206"/>
        <v>0</v>
      </c>
      <c r="GX91" s="2">
        <v>2</v>
      </c>
      <c r="GY91" s="57">
        <f t="shared" si="217"/>
        <v>0</v>
      </c>
      <c r="GZ91" s="62">
        <f t="shared" si="211"/>
        <v>0</v>
      </c>
      <c r="HA91" s="2">
        <v>1</v>
      </c>
      <c r="HB91" s="57">
        <f t="shared" si="218"/>
        <v>0</v>
      </c>
      <c r="HC91" s="62">
        <f t="shared" si="219"/>
        <v>0</v>
      </c>
      <c r="HD91" s="2">
        <v>0</v>
      </c>
      <c r="HE91" s="57">
        <f>$E$90</f>
        <v>0</v>
      </c>
      <c r="HF91" s="62">
        <f t="shared" ref="HF91:HF122" si="224">SUM($G$10*$G$11*HE91*(EXP(-($G$10*HD91))),$G$10*$G$11*HE91*(EXP(-($G$10*(HD91+0.1)))),$G$10*$G$11*HE91*(EXP(-($G$10*(HD91+0.2)))),$G$10*$G$11*HE91*(EXP(-($G$10*(HD91+0.3)))),$G$10*$G$11*HE91*(EXP(-($G$10*(HD91+0.4)))),$G$10*$G$11*HE91*(EXP(-($G$10*(HD91+0.5)))),$G$10*$G$11*HE91*(EXP(-($G$10*(HD91+0.6)))),$G$10*$G$11*HE91*(EXP(-($G$10*(HD91+0.7)))),$G$10*$G$11*HE91*(EXP(-($G$10*(HD91+0.8)))),$G$10*$G$11*HE91*(EXP(-($G$10*(HD91+0.9)))))/10</f>
        <v>0</v>
      </c>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row>
    <row r="92" spans="2:250">
      <c r="B92" s="56">
        <f>'USER INPUTS'!J77</f>
        <v>2087</v>
      </c>
      <c r="C92" s="420">
        <f>IF(OR(AND(ClosureCalcYes=TRUE,WasteCapacity=""),AND(ClosureCalcYes=FALSE,ClosureYear="")),0,IF('USER INPUTS'!K77&gt;0,IF('USER INPUTS'!$K$4="Mg/year",'USER INPUTS'!K77,'USER INPUTS'!L77),0))</f>
        <v>0</v>
      </c>
      <c r="D92" s="420">
        <f t="shared" si="97"/>
        <v>12946986</v>
      </c>
      <c r="E92" s="420">
        <f>IF(ClosureCalcYes=FALSE,IF(AND(B92&lt;ClosureYear,C92=0,SUM(C92:$C$102)=0),$D$13,IF(B92&lt;=ClosureYear,C92,0)),IF(B92=$D$16,($D$14-F92),IF(B92&lt;$D$16,IF(SUM(C92:$C$102)=0,$D$13,C92),0)))</f>
        <v>0</v>
      </c>
      <c r="F92" s="66">
        <f t="shared" si="98"/>
        <v>12946986</v>
      </c>
      <c r="G92" s="284">
        <f>IF(SUM(C93:$C$101)=0,C92,0)</f>
        <v>0</v>
      </c>
      <c r="H92" s="284">
        <f t="shared" si="99"/>
        <v>0</v>
      </c>
      <c r="I92" s="2">
        <f t="shared" si="212"/>
        <v>2087</v>
      </c>
      <c r="J92" s="379">
        <f t="shared" si="199"/>
        <v>7415361.5655570664</v>
      </c>
      <c r="K92" s="2">
        <v>68</v>
      </c>
      <c r="L92" s="57">
        <f t="shared" si="200"/>
        <v>189082</v>
      </c>
      <c r="M92" s="62">
        <f t="shared" si="201"/>
        <v>48937.361501321036</v>
      </c>
      <c r="N92" s="2">
        <v>67</v>
      </c>
      <c r="O92" s="57">
        <f t="shared" si="207"/>
        <v>293489</v>
      </c>
      <c r="P92" s="62">
        <f t="shared" si="208"/>
        <v>79059.483125047875</v>
      </c>
      <c r="Q92" s="2">
        <v>66</v>
      </c>
      <c r="R92" s="57">
        <f t="shared" si="213"/>
        <v>283523</v>
      </c>
      <c r="S92" s="62">
        <f t="shared" si="214"/>
        <v>79491.77910713591</v>
      </c>
      <c r="T92" s="2">
        <v>65</v>
      </c>
      <c r="U92" s="57">
        <f t="shared" si="220"/>
        <v>143321</v>
      </c>
      <c r="V92" s="62">
        <f t="shared" si="221"/>
        <v>41823.033567057471</v>
      </c>
      <c r="W92" s="2">
        <v>64</v>
      </c>
      <c r="X92" s="57">
        <f t="shared" ref="X92:X155" si="225">$E$27</f>
        <v>227851</v>
      </c>
      <c r="Y92" s="62">
        <f t="shared" ref="Y92:Y123" si="226">SUM($G$10*$G$11*X92*(EXP(-($G$10*W92))),$G$10*$G$11*X92*(EXP(-($G$10*(W92+0.1)))),$G$10*$G$11*X92*(EXP(-($G$10*(W92+0.2)))),$G$10*$G$11*X92*(EXP(-($G$10*(W92+0.3)))),$G$10*$G$11*X92*(EXP(-($G$10*(W92+0.4)))),$G$10*$G$11*X92*(EXP(-($G$10*(W92+0.5)))),$G$10*$G$11*X92*(EXP(-($G$10*(W92+0.6)))),$G$10*$G$11*X92*(EXP(-($G$10*(W92+0.7)))),$G$10*$G$11*X92*(EXP(-($G$10*(W92+0.8)))),$G$10*$G$11*X92*(EXP(-($G$10*(W92+0.9)))))/10</f>
        <v>69203.557259304667</v>
      </c>
      <c r="Z92" s="2">
        <v>63</v>
      </c>
      <c r="AA92" s="57">
        <f t="shared" si="89"/>
        <v>238727</v>
      </c>
      <c r="AB92" s="62">
        <f t="shared" si="90"/>
        <v>75465.907642747727</v>
      </c>
      <c r="AC92" s="2">
        <v>62</v>
      </c>
      <c r="AD92" s="57">
        <f t="shared" si="93"/>
        <v>250122</v>
      </c>
      <c r="AE92" s="62">
        <f t="shared" si="94"/>
        <v>82294.901786247283</v>
      </c>
      <c r="AF92" s="2">
        <v>61</v>
      </c>
      <c r="AG92" s="57">
        <f t="shared" si="100"/>
        <v>262060</v>
      </c>
      <c r="AH92" s="62">
        <f t="shared" si="101"/>
        <v>89741.547567054586</v>
      </c>
      <c r="AI92" s="2">
        <v>60</v>
      </c>
      <c r="AJ92" s="57">
        <f t="shared" si="104"/>
        <v>274569</v>
      </c>
      <c r="AK92" s="62">
        <f t="shared" si="105"/>
        <v>97862.453366544665</v>
      </c>
      <c r="AL92" s="2">
        <v>59</v>
      </c>
      <c r="AM92" s="57">
        <f t="shared" si="107"/>
        <v>287675</v>
      </c>
      <c r="AN92" s="62">
        <f t="shared" si="108"/>
        <v>106718.20165224113</v>
      </c>
      <c r="AO92" s="2">
        <v>58</v>
      </c>
      <c r="AP92" s="57">
        <f t="shared" si="111"/>
        <v>301406</v>
      </c>
      <c r="AQ92" s="62">
        <f t="shared" si="112"/>
        <v>116375.0951631736</v>
      </c>
      <c r="AR92" s="2">
        <v>57</v>
      </c>
      <c r="AS92" s="57">
        <f t="shared" si="115"/>
        <v>315793</v>
      </c>
      <c r="AT92" s="62">
        <f t="shared" si="116"/>
        <v>126906.08134076842</v>
      </c>
      <c r="AU92" s="2">
        <v>56</v>
      </c>
      <c r="AV92" s="57">
        <f t="shared" si="119"/>
        <v>330866</v>
      </c>
      <c r="AW92" s="62">
        <f t="shared" si="120"/>
        <v>138389.7278654855</v>
      </c>
      <c r="AX92" s="2">
        <v>55</v>
      </c>
      <c r="AY92" s="57">
        <f t="shared" si="123"/>
        <v>346659</v>
      </c>
      <c r="AZ92" s="62">
        <f t="shared" si="124"/>
        <v>150912.76400818102</v>
      </c>
      <c r="BA92" s="2">
        <v>54</v>
      </c>
      <c r="BB92" s="57">
        <f t="shared" si="127"/>
        <v>363206</v>
      </c>
      <c r="BC92" s="62">
        <f t="shared" si="128"/>
        <v>164569.09734232817</v>
      </c>
      <c r="BD92" s="2">
        <v>53</v>
      </c>
      <c r="BE92" s="57">
        <f t="shared" si="132"/>
        <v>380542</v>
      </c>
      <c r="BF92" s="62">
        <f t="shared" si="133"/>
        <v>179460.82025053125</v>
      </c>
      <c r="BG92" s="2">
        <v>52</v>
      </c>
      <c r="BH92" s="57">
        <f t="shared" si="136"/>
        <v>398706</v>
      </c>
      <c r="BI92" s="62">
        <f t="shared" si="137"/>
        <v>195700.35010998356</v>
      </c>
      <c r="BJ92" s="2">
        <v>51</v>
      </c>
      <c r="BK92" s="57">
        <f t="shared" si="139"/>
        <v>417737</v>
      </c>
      <c r="BL92" s="62">
        <f t="shared" si="140"/>
        <v>213409.40458824579</v>
      </c>
      <c r="BM92" s="2">
        <v>50</v>
      </c>
      <c r="BN92" s="57">
        <f t="shared" si="144"/>
        <v>437677</v>
      </c>
      <c r="BO92" s="62">
        <f t="shared" si="145"/>
        <v>232721.28961062088</v>
      </c>
      <c r="BP92" s="2">
        <v>49</v>
      </c>
      <c r="BQ92" s="57">
        <f t="shared" si="147"/>
        <v>458568</v>
      </c>
      <c r="BR92" s="62">
        <f t="shared" si="148"/>
        <v>253780.3047056137</v>
      </c>
      <c r="BS92" s="2">
        <v>48</v>
      </c>
      <c r="BT92" s="57">
        <f t="shared" si="152"/>
        <v>480456</v>
      </c>
      <c r="BU92" s="62">
        <f t="shared" si="153"/>
        <v>276744.86400489317</v>
      </c>
      <c r="BV92" s="2">
        <v>47</v>
      </c>
      <c r="BW92" s="57">
        <f t="shared" si="155"/>
        <v>503389</v>
      </c>
      <c r="BX92" s="62">
        <f t="shared" si="156"/>
        <v>301787.64001884015</v>
      </c>
      <c r="BY92" s="2">
        <v>46</v>
      </c>
      <c r="BZ92" s="57">
        <f t="shared" si="160"/>
        <v>527417</v>
      </c>
      <c r="CA92" s="62">
        <f t="shared" si="161"/>
        <v>329096.77854811389</v>
      </c>
      <c r="CB92" s="2">
        <v>45</v>
      </c>
      <c r="CC92" s="57">
        <f t="shared" si="163"/>
        <v>552592</v>
      </c>
      <c r="CD92" s="62">
        <f t="shared" si="164"/>
        <v>358877.20965640398</v>
      </c>
      <c r="CE92" s="2">
        <v>44</v>
      </c>
      <c r="CF92" s="57">
        <f t="shared" si="168"/>
        <v>578968</v>
      </c>
      <c r="CG92" s="62">
        <f t="shared" si="169"/>
        <v>391352.06176364073</v>
      </c>
      <c r="CH92" s="2">
        <v>43</v>
      </c>
      <c r="CI92" s="57">
        <f t="shared" si="172"/>
        <v>606603</v>
      </c>
      <c r="CJ92" s="62">
        <f t="shared" si="173"/>
        <v>426765.59347265505</v>
      </c>
      <c r="CK92" s="2">
        <v>42</v>
      </c>
      <c r="CL92" s="57">
        <f t="shared" si="175"/>
        <v>635558</v>
      </c>
      <c r="CM92" s="62">
        <f t="shared" si="176"/>
        <v>465384.39193110075</v>
      </c>
      <c r="CN92" s="2">
        <v>41</v>
      </c>
      <c r="CO92" s="57">
        <f t="shared" si="180"/>
        <v>665894</v>
      </c>
      <c r="CP92" s="62">
        <f t="shared" si="181"/>
        <v>507497.03013352788</v>
      </c>
      <c r="CQ92" s="2">
        <v>40</v>
      </c>
      <c r="CR92" s="57">
        <f t="shared" si="183"/>
        <v>697679</v>
      </c>
      <c r="CS92" s="62">
        <f t="shared" si="184"/>
        <v>553421.25344409118</v>
      </c>
      <c r="CT92" s="2">
        <v>39</v>
      </c>
      <c r="CU92" s="57">
        <f t="shared" si="188"/>
        <v>730980</v>
      </c>
      <c r="CV92" s="62">
        <f t="shared" si="189"/>
        <v>603500.25304029952</v>
      </c>
      <c r="CW92" s="2">
        <v>38</v>
      </c>
      <c r="CX92" s="57">
        <f t="shared" si="191"/>
        <v>765871</v>
      </c>
      <c r="CY92" s="62">
        <f t="shared" si="192"/>
        <v>658111.32798386517</v>
      </c>
      <c r="CZ92" s="2">
        <v>37</v>
      </c>
      <c r="DA92" s="57">
        <f t="shared" si="196"/>
        <v>0</v>
      </c>
      <c r="DB92" s="62">
        <f t="shared" si="197"/>
        <v>0</v>
      </c>
      <c r="DC92" s="2">
        <v>36</v>
      </c>
      <c r="DD92" s="57">
        <f t="shared" si="202"/>
        <v>0</v>
      </c>
      <c r="DE92" s="62">
        <f t="shared" si="203"/>
        <v>0</v>
      </c>
      <c r="DF92" s="2">
        <v>35</v>
      </c>
      <c r="DG92" s="57">
        <f t="shared" si="209"/>
        <v>0</v>
      </c>
      <c r="DH92" s="62">
        <f t="shared" si="210"/>
        <v>0</v>
      </c>
      <c r="DI92" s="2">
        <v>34</v>
      </c>
      <c r="DJ92" s="57">
        <f t="shared" si="215"/>
        <v>0</v>
      </c>
      <c r="DK92" s="62">
        <f t="shared" si="216"/>
        <v>0</v>
      </c>
      <c r="DL92" s="2">
        <v>33</v>
      </c>
      <c r="DM92" s="57">
        <f t="shared" si="222"/>
        <v>0</v>
      </c>
      <c r="DN92" s="62">
        <f t="shared" si="223"/>
        <v>0</v>
      </c>
      <c r="DO92" s="2">
        <v>32</v>
      </c>
      <c r="DP92" s="57">
        <f t="shared" ref="DP92:DP155" si="227">$E$59</f>
        <v>0</v>
      </c>
      <c r="DQ92" s="62">
        <f t="shared" ref="DQ92:DQ123" si="228">SUM($G$10*$G$11*DP92*(EXP(-($G$10*DO92))),$G$10*$G$11*DP92*(EXP(-($G$10*(DO92+0.1)))),$G$10*$G$11*DP92*(EXP(-($G$10*(DO92+0.2)))),$G$10*$G$11*DP92*(EXP(-($G$10*(DO92+0.3)))),$G$10*$G$11*DP92*(EXP(-($G$10*(DO92+0.4)))),$G$10*$G$11*DP92*(EXP(-($G$10*(DO92+0.5)))),$G$10*$G$11*DP92*(EXP(-($G$10*(DO92+0.6)))),$G$10*$G$11*DP92*(EXP(-($G$10*(DO92+0.7)))),$G$10*$G$11*DP92*(EXP(-($G$10*(DO92+0.8)))),$G$10*$G$11*DP92*(EXP(-($G$10*(DO92+0.9)))))/10</f>
        <v>0</v>
      </c>
      <c r="DR92" s="2">
        <v>31</v>
      </c>
      <c r="DS92" s="57">
        <f t="shared" si="91"/>
        <v>0</v>
      </c>
      <c r="DT92" s="62">
        <f t="shared" si="92"/>
        <v>0</v>
      </c>
      <c r="DU92" s="2">
        <v>30</v>
      </c>
      <c r="DV92" s="57">
        <f t="shared" si="95"/>
        <v>0</v>
      </c>
      <c r="DW92" s="62">
        <f t="shared" si="96"/>
        <v>0</v>
      </c>
      <c r="DX92" s="2">
        <v>29</v>
      </c>
      <c r="DY92" s="57">
        <f t="shared" si="102"/>
        <v>0</v>
      </c>
      <c r="DZ92" s="62">
        <f t="shared" si="103"/>
        <v>0</v>
      </c>
      <c r="EA92" s="2">
        <v>28</v>
      </c>
      <c r="EB92" s="57">
        <f t="shared" si="109"/>
        <v>0</v>
      </c>
      <c r="EC92" s="62">
        <f t="shared" si="106"/>
        <v>0</v>
      </c>
      <c r="ED92" s="2">
        <v>27</v>
      </c>
      <c r="EE92" s="57">
        <f t="shared" si="113"/>
        <v>0</v>
      </c>
      <c r="EF92" s="62">
        <f t="shared" si="110"/>
        <v>0</v>
      </c>
      <c r="EG92" s="2">
        <v>26</v>
      </c>
      <c r="EH92" s="57">
        <f t="shared" si="117"/>
        <v>0</v>
      </c>
      <c r="EI92" s="62">
        <f t="shared" si="114"/>
        <v>0</v>
      </c>
      <c r="EJ92" s="2">
        <v>25</v>
      </c>
      <c r="EK92" s="57">
        <f t="shared" si="121"/>
        <v>0</v>
      </c>
      <c r="EL92" s="62">
        <f t="shared" si="118"/>
        <v>0</v>
      </c>
      <c r="EM92" s="2">
        <v>24</v>
      </c>
      <c r="EN92" s="57">
        <f t="shared" si="125"/>
        <v>0</v>
      </c>
      <c r="EO92" s="62">
        <f t="shared" si="122"/>
        <v>0</v>
      </c>
      <c r="EP92" s="2">
        <v>23</v>
      </c>
      <c r="EQ92" s="57">
        <f t="shared" si="129"/>
        <v>0</v>
      </c>
      <c r="ER92" s="62">
        <f t="shared" si="126"/>
        <v>0</v>
      </c>
      <c r="ES92" s="2">
        <v>22</v>
      </c>
      <c r="ET92" s="57">
        <f t="shared" si="130"/>
        <v>0</v>
      </c>
      <c r="EU92" s="62">
        <f t="shared" si="131"/>
        <v>0</v>
      </c>
      <c r="EV92" s="2">
        <v>21</v>
      </c>
      <c r="EW92" s="57">
        <f t="shared" si="134"/>
        <v>0</v>
      </c>
      <c r="EX92" s="62">
        <f t="shared" si="135"/>
        <v>0</v>
      </c>
      <c r="EY92" s="2">
        <v>20</v>
      </c>
      <c r="EZ92" s="57">
        <f t="shared" si="141"/>
        <v>0</v>
      </c>
      <c r="FA92" s="62">
        <f t="shared" si="138"/>
        <v>0</v>
      </c>
      <c r="FB92" s="2">
        <v>19</v>
      </c>
      <c r="FC92" s="57">
        <f t="shared" si="142"/>
        <v>0</v>
      </c>
      <c r="FD92" s="62">
        <f t="shared" si="143"/>
        <v>0</v>
      </c>
      <c r="FE92" s="2">
        <v>18</v>
      </c>
      <c r="FF92" s="57">
        <f t="shared" si="149"/>
        <v>0</v>
      </c>
      <c r="FG92" s="62">
        <f t="shared" si="146"/>
        <v>0</v>
      </c>
      <c r="FH92" s="2">
        <v>17</v>
      </c>
      <c r="FI92" s="57">
        <f t="shared" si="150"/>
        <v>0</v>
      </c>
      <c r="FJ92" s="62">
        <f t="shared" si="151"/>
        <v>0</v>
      </c>
      <c r="FK92" s="2">
        <v>16</v>
      </c>
      <c r="FL92" s="57">
        <f t="shared" si="157"/>
        <v>0</v>
      </c>
      <c r="FM92" s="62">
        <f t="shared" si="154"/>
        <v>0</v>
      </c>
      <c r="FN92" s="2">
        <v>15</v>
      </c>
      <c r="FO92" s="57">
        <f t="shared" si="158"/>
        <v>0</v>
      </c>
      <c r="FP92" s="62">
        <f t="shared" si="159"/>
        <v>0</v>
      </c>
      <c r="FQ92" s="2">
        <v>14</v>
      </c>
      <c r="FR92" s="57">
        <f t="shared" si="165"/>
        <v>0</v>
      </c>
      <c r="FS92" s="62">
        <f t="shared" si="162"/>
        <v>0</v>
      </c>
      <c r="FT92" s="2">
        <v>13</v>
      </c>
      <c r="FU92" s="57">
        <f t="shared" si="166"/>
        <v>0</v>
      </c>
      <c r="FV92" s="62">
        <f t="shared" si="167"/>
        <v>0</v>
      </c>
      <c r="FW92" s="2">
        <v>12</v>
      </c>
      <c r="FX92" s="57">
        <f t="shared" si="170"/>
        <v>0</v>
      </c>
      <c r="FY92" s="62">
        <f t="shared" si="171"/>
        <v>0</v>
      </c>
      <c r="FZ92" s="2">
        <v>11</v>
      </c>
      <c r="GA92" s="57">
        <f t="shared" si="177"/>
        <v>0</v>
      </c>
      <c r="GB92" s="62">
        <f t="shared" si="174"/>
        <v>0</v>
      </c>
      <c r="GC92" s="2">
        <v>10</v>
      </c>
      <c r="GD92" s="57">
        <f t="shared" si="178"/>
        <v>0</v>
      </c>
      <c r="GE92" s="62">
        <f t="shared" si="179"/>
        <v>0</v>
      </c>
      <c r="GF92" s="2">
        <v>9</v>
      </c>
      <c r="GG92" s="57">
        <f t="shared" si="185"/>
        <v>0</v>
      </c>
      <c r="GH92" s="62">
        <f t="shared" si="182"/>
        <v>0</v>
      </c>
      <c r="GI92" s="2">
        <v>8</v>
      </c>
      <c r="GJ92" s="57">
        <f t="shared" si="186"/>
        <v>0</v>
      </c>
      <c r="GK92" s="62">
        <f t="shared" si="187"/>
        <v>0</v>
      </c>
      <c r="GL92" s="2">
        <v>7</v>
      </c>
      <c r="GM92" s="57">
        <f t="shared" si="193"/>
        <v>0</v>
      </c>
      <c r="GN92" s="62">
        <f t="shared" si="190"/>
        <v>0</v>
      </c>
      <c r="GO92" s="2">
        <v>6</v>
      </c>
      <c r="GP92" s="57">
        <f t="shared" si="194"/>
        <v>0</v>
      </c>
      <c r="GQ92" s="62">
        <f t="shared" si="195"/>
        <v>0</v>
      </c>
      <c r="GR92" s="2">
        <v>5</v>
      </c>
      <c r="GS92" s="57">
        <f t="shared" si="204"/>
        <v>0</v>
      </c>
      <c r="GT92" s="62">
        <f t="shared" si="198"/>
        <v>0</v>
      </c>
      <c r="GU92" s="2">
        <v>4</v>
      </c>
      <c r="GV92" s="57">
        <f t="shared" si="205"/>
        <v>0</v>
      </c>
      <c r="GW92" s="62">
        <f t="shared" si="206"/>
        <v>0</v>
      </c>
      <c r="GX92" s="2">
        <v>3</v>
      </c>
      <c r="GY92" s="57">
        <f t="shared" si="217"/>
        <v>0</v>
      </c>
      <c r="GZ92" s="62">
        <f t="shared" si="211"/>
        <v>0</v>
      </c>
      <c r="HA92" s="2">
        <v>2</v>
      </c>
      <c r="HB92" s="57">
        <f t="shared" si="218"/>
        <v>0</v>
      </c>
      <c r="HC92" s="62">
        <f t="shared" si="219"/>
        <v>0</v>
      </c>
      <c r="HD92" s="2">
        <v>1</v>
      </c>
      <c r="HE92" s="57">
        <f t="shared" ref="HE92:HE155" si="229">$E$90</f>
        <v>0</v>
      </c>
      <c r="HF92" s="62">
        <f t="shared" si="224"/>
        <v>0</v>
      </c>
      <c r="HG92" s="2">
        <v>0</v>
      </c>
      <c r="HH92" s="57">
        <f t="shared" ref="HH92:HH155" si="230">$E$91</f>
        <v>0</v>
      </c>
      <c r="HI92" s="62">
        <f t="shared" ref="HI92:HI123" si="231">SUM($G$10*$G$11*HH92*(EXP(-($G$10*HG92))),$G$10*$G$11*HH92*(EXP(-($G$10*(HG92+0.1)))),$G$10*$G$11*HH92*(EXP(-($G$10*(HG92+0.2)))),$G$10*$G$11*HH92*(EXP(-($G$10*(HG92+0.3)))),$G$10*$G$11*HH92*(EXP(-($G$10*(HG92+0.4)))),$G$10*$G$11*HH92*(EXP(-($G$10*(HG92+0.5)))),$G$10*$G$11*HH92*(EXP(-($G$10*(HG92+0.6)))),$G$10*$G$11*HH92*(EXP(-($G$10*(HG92+0.7)))),$G$10*$G$11*HH92*(EXP(-($G$10*(HG92+0.8)))),$G$10*$G$11*HH92*(EXP(-($G$10*(HG92+0.9)))))/10</f>
        <v>0</v>
      </c>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row>
    <row r="93" spans="2:250">
      <c r="B93" s="56">
        <f>'USER INPUTS'!J78</f>
        <v>2088</v>
      </c>
      <c r="C93" s="420">
        <f>IF(OR(AND(ClosureCalcYes=TRUE,WasteCapacity=""),AND(ClosureCalcYes=FALSE,ClosureYear="")),0,IF('USER INPUTS'!K78&gt;0,IF('USER INPUTS'!$K$4="Mg/year",'USER INPUTS'!K78,'USER INPUTS'!L78),0))</f>
        <v>0</v>
      </c>
      <c r="D93" s="420">
        <f t="shared" si="97"/>
        <v>12946986</v>
      </c>
      <c r="E93" s="420">
        <f>IF(ClosureCalcYes=FALSE,IF(AND(B93&lt;ClosureYear,C93=0,SUM(C93:$C$102)=0),$D$13,IF(B93&lt;=ClosureYear,C93,0)),IF(B93=$D$16,($D$14-F93),IF(B93&lt;$D$16,IF(SUM(C93:$C$102)=0,$D$13,C93),0)))</f>
        <v>0</v>
      </c>
      <c r="F93" s="66">
        <f t="shared" si="98"/>
        <v>12946986</v>
      </c>
      <c r="G93" s="284">
        <f>IF(SUM(C94:$C$101)=0,C93,0)</f>
        <v>0</v>
      </c>
      <c r="H93" s="284">
        <f t="shared" si="99"/>
        <v>0</v>
      </c>
      <c r="I93" s="2">
        <f t="shared" si="212"/>
        <v>2088</v>
      </c>
      <c r="J93" s="379">
        <f t="shared" si="199"/>
        <v>7124601.0796832666</v>
      </c>
      <c r="K93" s="2">
        <v>69</v>
      </c>
      <c r="L93" s="57">
        <f t="shared" si="200"/>
        <v>189082</v>
      </c>
      <c r="M93" s="62">
        <f t="shared" si="201"/>
        <v>47018.500110448731</v>
      </c>
      <c r="N93" s="2">
        <v>68</v>
      </c>
      <c r="O93" s="57">
        <f t="shared" si="207"/>
        <v>293489</v>
      </c>
      <c r="P93" s="62">
        <f t="shared" si="208"/>
        <v>75959.516451387288</v>
      </c>
      <c r="Q93" s="2">
        <v>67</v>
      </c>
      <c r="R93" s="57">
        <f t="shared" si="213"/>
        <v>283523</v>
      </c>
      <c r="S93" s="62">
        <f t="shared" si="214"/>
        <v>76374.861865565486</v>
      </c>
      <c r="T93" s="2">
        <v>66</v>
      </c>
      <c r="U93" s="57">
        <f t="shared" si="220"/>
        <v>143321</v>
      </c>
      <c r="V93" s="62">
        <f t="shared" si="221"/>
        <v>40183.128964541938</v>
      </c>
      <c r="W93" s="2">
        <v>65</v>
      </c>
      <c r="X93" s="57">
        <f t="shared" si="225"/>
        <v>227851</v>
      </c>
      <c r="Y93" s="62">
        <f t="shared" si="226"/>
        <v>66490.046966513022</v>
      </c>
      <c r="Z93" s="2">
        <v>64</v>
      </c>
      <c r="AA93" s="57">
        <f t="shared" ref="AA93:AA156" si="232">$E$28</f>
        <v>238727</v>
      </c>
      <c r="AB93" s="62">
        <f t="shared" ref="AB93:AB124" si="233">SUM($G$10*$G$11*AA93*(EXP(-($G$10*Z93))),$G$10*$G$11*AA93*(EXP(-($G$10*(Z93+0.1)))),$G$10*$G$11*AA93*(EXP(-($G$10*(Z93+0.2)))),$G$10*$G$11*AA93*(EXP(-($G$10*(Z93+0.3)))),$G$10*$G$11*AA93*(EXP(-($G$10*(Z93+0.4)))),$G$10*$G$11*AA93*(EXP(-($G$10*(Z93+0.5)))),$G$10*$G$11*AA93*(EXP(-($G$10*(Z93+0.6)))),$G$10*$G$11*AA93*(EXP(-($G$10*(Z93+0.7)))),$G$10*$G$11*AA93*(EXP(-($G$10*(Z93+0.8)))),$G$10*$G$11*AA93*(EXP(-($G$10*(Z93+0.9)))))/10</f>
        <v>72506.847079196625</v>
      </c>
      <c r="AC93" s="2">
        <v>63</v>
      </c>
      <c r="AD93" s="57">
        <f t="shared" si="93"/>
        <v>250122</v>
      </c>
      <c r="AE93" s="62">
        <f t="shared" si="94"/>
        <v>79068.072532304053</v>
      </c>
      <c r="AF93" s="2">
        <v>62</v>
      </c>
      <c r="AG93" s="57">
        <f t="shared" si="100"/>
        <v>262060</v>
      </c>
      <c r="AH93" s="62">
        <f t="shared" si="101"/>
        <v>86222.731155611909</v>
      </c>
      <c r="AI93" s="2">
        <v>61</v>
      </c>
      <c r="AJ93" s="57">
        <f t="shared" si="104"/>
        <v>274569</v>
      </c>
      <c r="AK93" s="62">
        <f t="shared" si="105"/>
        <v>94025.211684112845</v>
      </c>
      <c r="AL93" s="2">
        <v>60</v>
      </c>
      <c r="AM93" s="57">
        <f t="shared" si="107"/>
        <v>287675</v>
      </c>
      <c r="AN93" s="62">
        <f t="shared" si="108"/>
        <v>102533.72111280129</v>
      </c>
      <c r="AO93" s="2">
        <v>59</v>
      </c>
      <c r="AP93" s="57">
        <f t="shared" si="111"/>
        <v>301406</v>
      </c>
      <c r="AQ93" s="62">
        <f t="shared" si="112"/>
        <v>111811.96241312381</v>
      </c>
      <c r="AR93" s="2">
        <v>58</v>
      </c>
      <c r="AS93" s="57">
        <f t="shared" si="115"/>
        <v>315793</v>
      </c>
      <c r="AT93" s="62">
        <f t="shared" si="116"/>
        <v>121930.022716416</v>
      </c>
      <c r="AU93" s="2">
        <v>57</v>
      </c>
      <c r="AV93" s="57">
        <f t="shared" si="119"/>
        <v>330866</v>
      </c>
      <c r="AW93" s="62">
        <f t="shared" si="120"/>
        <v>132963.38902032241</v>
      </c>
      <c r="AX93" s="2">
        <v>56</v>
      </c>
      <c r="AY93" s="57">
        <f t="shared" si="123"/>
        <v>346659</v>
      </c>
      <c r="AZ93" s="62">
        <f t="shared" si="124"/>
        <v>144995.38989234716</v>
      </c>
      <c r="BA93" s="2">
        <v>55</v>
      </c>
      <c r="BB93" s="57">
        <f t="shared" si="127"/>
        <v>363206</v>
      </c>
      <c r="BC93" s="62">
        <f t="shared" si="128"/>
        <v>158116.25073733955</v>
      </c>
      <c r="BD93" s="2">
        <v>54</v>
      </c>
      <c r="BE93" s="57">
        <f t="shared" si="132"/>
        <v>380542</v>
      </c>
      <c r="BF93" s="62">
        <f t="shared" si="133"/>
        <v>172424.06083832384</v>
      </c>
      <c r="BG93" s="2">
        <v>53</v>
      </c>
      <c r="BH93" s="57">
        <f t="shared" si="136"/>
        <v>398706</v>
      </c>
      <c r="BI93" s="62">
        <f t="shared" si="137"/>
        <v>188026.82962408438</v>
      </c>
      <c r="BJ93" s="2">
        <v>52</v>
      </c>
      <c r="BK93" s="57">
        <f t="shared" si="139"/>
        <v>417737</v>
      </c>
      <c r="BL93" s="62">
        <f t="shared" si="140"/>
        <v>205041.50214417189</v>
      </c>
      <c r="BM93" s="2">
        <v>51</v>
      </c>
      <c r="BN93" s="57">
        <f t="shared" si="144"/>
        <v>437677</v>
      </c>
      <c r="BO93" s="62">
        <f t="shared" si="145"/>
        <v>223596.1573237938</v>
      </c>
      <c r="BP93" s="2">
        <v>50</v>
      </c>
      <c r="BQ93" s="57">
        <f t="shared" si="147"/>
        <v>458568</v>
      </c>
      <c r="BR93" s="62">
        <f t="shared" si="148"/>
        <v>243829.43662601235</v>
      </c>
      <c r="BS93" s="2">
        <v>49</v>
      </c>
      <c r="BT93" s="57">
        <f t="shared" si="152"/>
        <v>480456</v>
      </c>
      <c r="BU93" s="62">
        <f t="shared" si="153"/>
        <v>265893.54267554724</v>
      </c>
      <c r="BV93" s="2">
        <v>48</v>
      </c>
      <c r="BW93" s="57">
        <f t="shared" si="155"/>
        <v>503389</v>
      </c>
      <c r="BX93" s="62">
        <f t="shared" si="156"/>
        <v>289954.37739680463</v>
      </c>
      <c r="BY93" s="2">
        <v>47</v>
      </c>
      <c r="BZ93" s="57">
        <f t="shared" si="160"/>
        <v>527417</v>
      </c>
      <c r="CA93" s="62">
        <f t="shared" si="161"/>
        <v>316192.70928807865</v>
      </c>
      <c r="CB93" s="2">
        <v>46</v>
      </c>
      <c r="CC93" s="57">
        <f t="shared" si="163"/>
        <v>552592</v>
      </c>
      <c r="CD93" s="62">
        <f t="shared" si="164"/>
        <v>344805.43299032707</v>
      </c>
      <c r="CE93" s="2">
        <v>45</v>
      </c>
      <c r="CF93" s="57">
        <f t="shared" si="168"/>
        <v>578968</v>
      </c>
      <c r="CG93" s="62">
        <f t="shared" si="169"/>
        <v>376006.92793299374</v>
      </c>
      <c r="CH93" s="2">
        <v>44</v>
      </c>
      <c r="CI93" s="57">
        <f t="shared" si="172"/>
        <v>606603</v>
      </c>
      <c r="CJ93" s="62">
        <f t="shared" si="173"/>
        <v>410031.87520210061</v>
      </c>
      <c r="CK93" s="2">
        <v>43</v>
      </c>
      <c r="CL93" s="57">
        <f t="shared" si="175"/>
        <v>635558</v>
      </c>
      <c r="CM93" s="62">
        <f t="shared" si="176"/>
        <v>447136.40891372721</v>
      </c>
      <c r="CN93" s="2">
        <v>42</v>
      </c>
      <c r="CO93" s="57">
        <f t="shared" si="180"/>
        <v>665894</v>
      </c>
      <c r="CP93" s="62">
        <f t="shared" si="181"/>
        <v>487597.78695346194</v>
      </c>
      <c r="CQ93" s="2">
        <v>41</v>
      </c>
      <c r="CR93" s="57">
        <f t="shared" si="183"/>
        <v>697679</v>
      </c>
      <c r="CS93" s="62">
        <f t="shared" si="184"/>
        <v>531721.29571152409</v>
      </c>
      <c r="CT93" s="2">
        <v>40</v>
      </c>
      <c r="CU93" s="57">
        <f t="shared" si="188"/>
        <v>730980</v>
      </c>
      <c r="CV93" s="62">
        <f t="shared" si="189"/>
        <v>579836.66964687454</v>
      </c>
      <c r="CW93" s="2">
        <v>39</v>
      </c>
      <c r="CX93" s="57">
        <f t="shared" si="191"/>
        <v>765871</v>
      </c>
      <c r="CY93" s="62">
        <f t="shared" si="192"/>
        <v>632306.4137134084</v>
      </c>
      <c r="CZ93" s="2">
        <v>38</v>
      </c>
      <c r="DA93" s="57">
        <f t="shared" si="196"/>
        <v>0</v>
      </c>
      <c r="DB93" s="62">
        <f t="shared" si="197"/>
        <v>0</v>
      </c>
      <c r="DC93" s="2">
        <v>37</v>
      </c>
      <c r="DD93" s="57">
        <f t="shared" si="202"/>
        <v>0</v>
      </c>
      <c r="DE93" s="62">
        <f t="shared" si="203"/>
        <v>0</v>
      </c>
      <c r="DF93" s="2">
        <v>36</v>
      </c>
      <c r="DG93" s="57">
        <f t="shared" si="209"/>
        <v>0</v>
      </c>
      <c r="DH93" s="62">
        <f t="shared" si="210"/>
        <v>0</v>
      </c>
      <c r="DI93" s="2">
        <v>35</v>
      </c>
      <c r="DJ93" s="57">
        <f t="shared" si="215"/>
        <v>0</v>
      </c>
      <c r="DK93" s="62">
        <f t="shared" si="216"/>
        <v>0</v>
      </c>
      <c r="DL93" s="2">
        <v>34</v>
      </c>
      <c r="DM93" s="57">
        <f t="shared" si="222"/>
        <v>0</v>
      </c>
      <c r="DN93" s="62">
        <f t="shared" si="223"/>
        <v>0</v>
      </c>
      <c r="DO93" s="2">
        <v>33</v>
      </c>
      <c r="DP93" s="57">
        <f t="shared" si="227"/>
        <v>0</v>
      </c>
      <c r="DQ93" s="62">
        <f t="shared" si="228"/>
        <v>0</v>
      </c>
      <c r="DR93" s="2">
        <v>32</v>
      </c>
      <c r="DS93" s="57">
        <f t="shared" ref="DS93:DS156" si="234">$E$60</f>
        <v>0</v>
      </c>
      <c r="DT93" s="62">
        <f t="shared" ref="DT93:DT124" si="235">SUM($G$10*$G$11*DS93*(EXP(-($G$10*DR93))),$G$10*$G$11*DS93*(EXP(-($G$10*(DR93+0.1)))),$G$10*$G$11*DS93*(EXP(-($G$10*(DR93+0.2)))),$G$10*$G$11*DS93*(EXP(-($G$10*(DR93+0.3)))),$G$10*$G$11*DS93*(EXP(-($G$10*(DR93+0.4)))),$G$10*$G$11*DS93*(EXP(-($G$10*(DR93+0.5)))),$G$10*$G$11*DS93*(EXP(-($G$10*(DR93+0.6)))),$G$10*$G$11*DS93*(EXP(-($G$10*(DR93+0.7)))),$G$10*$G$11*DS93*(EXP(-($G$10*(DR93+0.8)))),$G$10*$G$11*DS93*(EXP(-($G$10*(DR93+0.9)))))/10</f>
        <v>0</v>
      </c>
      <c r="DU93" s="2">
        <v>31</v>
      </c>
      <c r="DV93" s="57">
        <f t="shared" si="95"/>
        <v>0</v>
      </c>
      <c r="DW93" s="62">
        <f t="shared" si="96"/>
        <v>0</v>
      </c>
      <c r="DX93" s="2">
        <v>30</v>
      </c>
      <c r="DY93" s="57">
        <f t="shared" si="102"/>
        <v>0</v>
      </c>
      <c r="DZ93" s="62">
        <f t="shared" si="103"/>
        <v>0</v>
      </c>
      <c r="EA93" s="2">
        <v>29</v>
      </c>
      <c r="EB93" s="57">
        <f t="shared" si="109"/>
        <v>0</v>
      </c>
      <c r="EC93" s="62">
        <f t="shared" si="106"/>
        <v>0</v>
      </c>
      <c r="ED93" s="2">
        <v>28</v>
      </c>
      <c r="EE93" s="57">
        <f t="shared" si="113"/>
        <v>0</v>
      </c>
      <c r="EF93" s="62">
        <f t="shared" si="110"/>
        <v>0</v>
      </c>
      <c r="EG93" s="2">
        <v>27</v>
      </c>
      <c r="EH93" s="57">
        <f t="shared" si="117"/>
        <v>0</v>
      </c>
      <c r="EI93" s="62">
        <f t="shared" si="114"/>
        <v>0</v>
      </c>
      <c r="EJ93" s="2">
        <v>26</v>
      </c>
      <c r="EK93" s="57">
        <f t="shared" si="121"/>
        <v>0</v>
      </c>
      <c r="EL93" s="62">
        <f t="shared" si="118"/>
        <v>0</v>
      </c>
      <c r="EM93" s="2">
        <v>25</v>
      </c>
      <c r="EN93" s="57">
        <f t="shared" si="125"/>
        <v>0</v>
      </c>
      <c r="EO93" s="62">
        <f t="shared" si="122"/>
        <v>0</v>
      </c>
      <c r="EP93" s="2">
        <v>24</v>
      </c>
      <c r="EQ93" s="57">
        <f t="shared" si="129"/>
        <v>0</v>
      </c>
      <c r="ER93" s="62">
        <f t="shared" si="126"/>
        <v>0</v>
      </c>
      <c r="ES93" s="2">
        <v>23</v>
      </c>
      <c r="ET93" s="57">
        <f t="shared" si="130"/>
        <v>0</v>
      </c>
      <c r="EU93" s="62">
        <f t="shared" si="131"/>
        <v>0</v>
      </c>
      <c r="EV93" s="2">
        <v>22</v>
      </c>
      <c r="EW93" s="57">
        <f t="shared" si="134"/>
        <v>0</v>
      </c>
      <c r="EX93" s="62">
        <f t="shared" si="135"/>
        <v>0</v>
      </c>
      <c r="EY93" s="2">
        <v>21</v>
      </c>
      <c r="EZ93" s="57">
        <f t="shared" si="141"/>
        <v>0</v>
      </c>
      <c r="FA93" s="62">
        <f t="shared" si="138"/>
        <v>0</v>
      </c>
      <c r="FB93" s="2">
        <v>20</v>
      </c>
      <c r="FC93" s="57">
        <f t="shared" si="142"/>
        <v>0</v>
      </c>
      <c r="FD93" s="62">
        <f t="shared" si="143"/>
        <v>0</v>
      </c>
      <c r="FE93" s="2">
        <v>19</v>
      </c>
      <c r="FF93" s="57">
        <f t="shared" si="149"/>
        <v>0</v>
      </c>
      <c r="FG93" s="62">
        <f t="shared" si="146"/>
        <v>0</v>
      </c>
      <c r="FH93" s="2">
        <v>18</v>
      </c>
      <c r="FI93" s="57">
        <f t="shared" si="150"/>
        <v>0</v>
      </c>
      <c r="FJ93" s="62">
        <f t="shared" si="151"/>
        <v>0</v>
      </c>
      <c r="FK93" s="2">
        <v>17</v>
      </c>
      <c r="FL93" s="57">
        <f t="shared" si="157"/>
        <v>0</v>
      </c>
      <c r="FM93" s="62">
        <f t="shared" si="154"/>
        <v>0</v>
      </c>
      <c r="FN93" s="2">
        <v>16</v>
      </c>
      <c r="FO93" s="57">
        <f t="shared" si="158"/>
        <v>0</v>
      </c>
      <c r="FP93" s="62">
        <f t="shared" si="159"/>
        <v>0</v>
      </c>
      <c r="FQ93" s="2">
        <v>15</v>
      </c>
      <c r="FR93" s="57">
        <f t="shared" si="165"/>
        <v>0</v>
      </c>
      <c r="FS93" s="62">
        <f t="shared" si="162"/>
        <v>0</v>
      </c>
      <c r="FT93" s="2">
        <v>14</v>
      </c>
      <c r="FU93" s="57">
        <f t="shared" si="166"/>
        <v>0</v>
      </c>
      <c r="FV93" s="62">
        <f t="shared" si="167"/>
        <v>0</v>
      </c>
      <c r="FW93" s="2">
        <v>13</v>
      </c>
      <c r="FX93" s="57">
        <f t="shared" si="170"/>
        <v>0</v>
      </c>
      <c r="FY93" s="62">
        <f t="shared" si="171"/>
        <v>0</v>
      </c>
      <c r="FZ93" s="2">
        <v>12</v>
      </c>
      <c r="GA93" s="57">
        <f t="shared" si="177"/>
        <v>0</v>
      </c>
      <c r="GB93" s="62">
        <f t="shared" si="174"/>
        <v>0</v>
      </c>
      <c r="GC93" s="2">
        <v>11</v>
      </c>
      <c r="GD93" s="57">
        <f t="shared" si="178"/>
        <v>0</v>
      </c>
      <c r="GE93" s="62">
        <f t="shared" si="179"/>
        <v>0</v>
      </c>
      <c r="GF93" s="2">
        <v>10</v>
      </c>
      <c r="GG93" s="57">
        <f t="shared" si="185"/>
        <v>0</v>
      </c>
      <c r="GH93" s="62">
        <f t="shared" si="182"/>
        <v>0</v>
      </c>
      <c r="GI93" s="2">
        <v>9</v>
      </c>
      <c r="GJ93" s="57">
        <f t="shared" si="186"/>
        <v>0</v>
      </c>
      <c r="GK93" s="62">
        <f t="shared" si="187"/>
        <v>0</v>
      </c>
      <c r="GL93" s="2">
        <v>8</v>
      </c>
      <c r="GM93" s="57">
        <f t="shared" si="193"/>
        <v>0</v>
      </c>
      <c r="GN93" s="62">
        <f t="shared" si="190"/>
        <v>0</v>
      </c>
      <c r="GO93" s="2">
        <v>7</v>
      </c>
      <c r="GP93" s="57">
        <f t="shared" si="194"/>
        <v>0</v>
      </c>
      <c r="GQ93" s="62">
        <f t="shared" si="195"/>
        <v>0</v>
      </c>
      <c r="GR93" s="2">
        <v>6</v>
      </c>
      <c r="GS93" s="57">
        <f t="shared" si="204"/>
        <v>0</v>
      </c>
      <c r="GT93" s="62">
        <f t="shared" si="198"/>
        <v>0</v>
      </c>
      <c r="GU93" s="2">
        <v>5</v>
      </c>
      <c r="GV93" s="57">
        <f t="shared" si="205"/>
        <v>0</v>
      </c>
      <c r="GW93" s="62">
        <f t="shared" si="206"/>
        <v>0</v>
      </c>
      <c r="GX93" s="2">
        <v>4</v>
      </c>
      <c r="GY93" s="57">
        <f t="shared" si="217"/>
        <v>0</v>
      </c>
      <c r="GZ93" s="62">
        <f t="shared" si="211"/>
        <v>0</v>
      </c>
      <c r="HA93" s="2">
        <v>3</v>
      </c>
      <c r="HB93" s="57">
        <f t="shared" si="218"/>
        <v>0</v>
      </c>
      <c r="HC93" s="62">
        <f t="shared" si="219"/>
        <v>0</v>
      </c>
      <c r="HD93" s="2">
        <v>2</v>
      </c>
      <c r="HE93" s="57">
        <f t="shared" si="229"/>
        <v>0</v>
      </c>
      <c r="HF93" s="62">
        <f t="shared" si="224"/>
        <v>0</v>
      </c>
      <c r="HG93" s="2">
        <v>1</v>
      </c>
      <c r="HH93" s="57">
        <f t="shared" si="230"/>
        <v>0</v>
      </c>
      <c r="HI93" s="62">
        <f t="shared" si="231"/>
        <v>0</v>
      </c>
      <c r="HJ93" s="2">
        <v>0</v>
      </c>
      <c r="HK93" s="57">
        <f>$E$92</f>
        <v>0</v>
      </c>
      <c r="HL93" s="62">
        <f t="shared" ref="HL93:HL124" si="236">SUM($G$10*$G$11*HK93*(EXP(-($G$10*HJ93))),$G$10*$G$11*HK93*(EXP(-($G$10*(HJ93+0.1)))),$G$10*$G$11*HK93*(EXP(-($G$10*(HJ93+0.2)))),$G$10*$G$11*HK93*(EXP(-($G$10*(HJ93+0.3)))),$G$10*$G$11*HK93*(EXP(-($G$10*(HJ93+0.4)))),$G$10*$G$11*HK93*(EXP(-($G$10*(HJ93+0.5)))),$G$10*$G$11*HK93*(EXP(-($G$10*(HJ93+0.6)))),$G$10*$G$11*HK93*(EXP(-($G$10*(HJ93+0.7)))),$G$10*$G$11*HK93*(EXP(-($G$10*(HJ93+0.8)))),$G$10*$G$11*HK93*(EXP(-($G$10*(HJ93+0.9)))))/10</f>
        <v>0</v>
      </c>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row>
    <row r="94" spans="2:250">
      <c r="B94" s="56">
        <f>'USER INPUTS'!J79</f>
        <v>2089</v>
      </c>
      <c r="C94" s="420">
        <f>IF(OR(AND(ClosureCalcYes=TRUE,WasteCapacity=""),AND(ClosureCalcYes=FALSE,ClosureYear="")),0,IF('USER INPUTS'!K79&gt;0,IF('USER INPUTS'!$K$4="Mg/year",'USER INPUTS'!K79,'USER INPUTS'!L79),0))</f>
        <v>0</v>
      </c>
      <c r="D94" s="420">
        <f t="shared" si="97"/>
        <v>12946986</v>
      </c>
      <c r="E94" s="420">
        <f>IF(ClosureCalcYes=FALSE,IF(AND(B94&lt;ClosureYear,C94=0,SUM(C94:$C$102)=0),$D$13,IF(B94&lt;=ClosureYear,C94,0)),IF(B94=$D$16,($D$14-F94),IF(B94&lt;$D$16,IF(SUM(C94:$C$102)=0,$D$13,C94),0)))</f>
        <v>0</v>
      </c>
      <c r="F94" s="66">
        <f t="shared" si="98"/>
        <v>12946986</v>
      </c>
      <c r="G94" s="284">
        <f>IF(SUM(C95:$C$101)=0,C94,0)</f>
        <v>0</v>
      </c>
      <c r="H94" s="284">
        <f t="shared" si="99"/>
        <v>0</v>
      </c>
      <c r="I94" s="2">
        <f t="shared" si="212"/>
        <v>2089</v>
      </c>
      <c r="J94" s="379">
        <f t="shared" si="199"/>
        <v>6845241.475532921</v>
      </c>
      <c r="K94" s="2">
        <v>70</v>
      </c>
      <c r="L94" s="57">
        <f t="shared" si="200"/>
        <v>189082</v>
      </c>
      <c r="M94" s="62">
        <f t="shared" si="201"/>
        <v>45174.87835090149</v>
      </c>
      <c r="N94" s="2">
        <v>69</v>
      </c>
      <c r="O94" s="57">
        <f t="shared" si="207"/>
        <v>293489</v>
      </c>
      <c r="P94" s="62">
        <f t="shared" si="208"/>
        <v>72981.10120961006</v>
      </c>
      <c r="Q94" s="2">
        <v>68</v>
      </c>
      <c r="R94" s="57">
        <f t="shared" si="213"/>
        <v>283523</v>
      </c>
      <c r="S94" s="62">
        <f t="shared" si="214"/>
        <v>73380.160697152794</v>
      </c>
      <c r="T94" s="2">
        <v>67</v>
      </c>
      <c r="U94" s="57">
        <f t="shared" si="220"/>
        <v>143321</v>
      </c>
      <c r="V94" s="62">
        <f t="shared" si="221"/>
        <v>38607.525941227723</v>
      </c>
      <c r="W94" s="2">
        <v>66</v>
      </c>
      <c r="X94" s="57">
        <f t="shared" si="225"/>
        <v>227851</v>
      </c>
      <c r="Y94" s="62">
        <f t="shared" si="226"/>
        <v>63882.934934167679</v>
      </c>
      <c r="Z94" s="2">
        <v>65</v>
      </c>
      <c r="AA94" s="57">
        <f t="shared" si="232"/>
        <v>238727</v>
      </c>
      <c r="AB94" s="62">
        <f t="shared" si="233"/>
        <v>69663.812939924566</v>
      </c>
      <c r="AC94" s="2">
        <v>64</v>
      </c>
      <c r="AD94" s="57">
        <f t="shared" ref="AD94:AD157" si="237">$E$29</f>
        <v>250122</v>
      </c>
      <c r="AE94" s="62">
        <f t="shared" ref="AE94:AE125" si="238">SUM($G$10*$G$11*AD94*(EXP(-($G$10*AC94))),$G$10*$G$11*AD94*(EXP(-($G$10*(AC94+0.1)))),$G$10*$G$11*AD94*(EXP(-($G$10*(AC94+0.2)))),$G$10*$G$11*AD94*(EXP(-($G$10*(AC94+0.3)))),$G$10*$G$11*AD94*(EXP(-($G$10*(AC94+0.4)))),$G$10*$G$11*AD94*(EXP(-($G$10*(AC94+0.5)))),$G$10*$G$11*AD94*(EXP(-($G$10*(AC94+0.6)))),$G$10*$G$11*AD94*(EXP(-($G$10*(AC94+0.7)))),$G$10*$G$11*AD94*(EXP(-($G$10*(AC94+0.8)))),$G$10*$G$11*AD94*(EXP(-($G$10*(AC94+0.9)))))/10</f>
        <v>75967.769063167623</v>
      </c>
      <c r="AF94" s="2">
        <v>63</v>
      </c>
      <c r="AG94" s="57">
        <f t="shared" si="100"/>
        <v>262060</v>
      </c>
      <c r="AH94" s="62">
        <f t="shared" si="101"/>
        <v>82841.889509181914</v>
      </c>
      <c r="AI94" s="2">
        <v>62</v>
      </c>
      <c r="AJ94" s="57">
        <f t="shared" si="104"/>
        <v>274569</v>
      </c>
      <c r="AK94" s="62">
        <f t="shared" si="105"/>
        <v>90338.43040015726</v>
      </c>
      <c r="AL94" s="2">
        <v>61</v>
      </c>
      <c r="AM94" s="57">
        <f t="shared" si="107"/>
        <v>287675</v>
      </c>
      <c r="AN94" s="62">
        <f t="shared" si="108"/>
        <v>98513.31640216909</v>
      </c>
      <c r="AO94" s="2">
        <v>60</v>
      </c>
      <c r="AP94" s="57">
        <f t="shared" si="111"/>
        <v>301406</v>
      </c>
      <c r="AQ94" s="62">
        <f t="shared" si="112"/>
        <v>107427.75265742587</v>
      </c>
      <c r="AR94" s="2">
        <v>59</v>
      </c>
      <c r="AS94" s="57">
        <f t="shared" si="115"/>
        <v>315793</v>
      </c>
      <c r="AT94" s="62">
        <f t="shared" si="116"/>
        <v>117149.07814153536</v>
      </c>
      <c r="AU94" s="2">
        <v>58</v>
      </c>
      <c r="AV94" s="57">
        <f t="shared" si="119"/>
        <v>330866</v>
      </c>
      <c r="AW94" s="62">
        <f t="shared" si="120"/>
        <v>127749.81996462776</v>
      </c>
      <c r="AX94" s="2">
        <v>57</v>
      </c>
      <c r="AY94" s="57">
        <f t="shared" si="123"/>
        <v>346659</v>
      </c>
      <c r="AZ94" s="62">
        <f t="shared" si="124"/>
        <v>139310.03933434066</v>
      </c>
      <c r="BA94" s="2">
        <v>56</v>
      </c>
      <c r="BB94" s="57">
        <f t="shared" si="127"/>
        <v>363206</v>
      </c>
      <c r="BC94" s="62">
        <f t="shared" si="128"/>
        <v>151916.4238667966</v>
      </c>
      <c r="BD94" s="2">
        <v>55</v>
      </c>
      <c r="BE94" s="57">
        <f t="shared" si="132"/>
        <v>380542</v>
      </c>
      <c r="BF94" s="62">
        <f t="shared" si="133"/>
        <v>165663.21670921921</v>
      </c>
      <c r="BG94" s="2">
        <v>54</v>
      </c>
      <c r="BH94" s="57">
        <f t="shared" si="136"/>
        <v>398706</v>
      </c>
      <c r="BI94" s="62">
        <f t="shared" si="137"/>
        <v>180654.19218011349</v>
      </c>
      <c r="BJ94" s="2">
        <v>53</v>
      </c>
      <c r="BK94" s="57">
        <f t="shared" si="139"/>
        <v>417737</v>
      </c>
      <c r="BL94" s="62">
        <f t="shared" si="140"/>
        <v>197001.70984804878</v>
      </c>
      <c r="BM94" s="2">
        <v>52</v>
      </c>
      <c r="BN94" s="57">
        <f t="shared" si="144"/>
        <v>437677</v>
      </c>
      <c r="BO94" s="62">
        <f t="shared" si="145"/>
        <v>214828.82659174246</v>
      </c>
      <c r="BP94" s="2">
        <v>51</v>
      </c>
      <c r="BQ94" s="57">
        <f t="shared" si="147"/>
        <v>458568</v>
      </c>
      <c r="BR94" s="62">
        <f t="shared" si="148"/>
        <v>234268.74766473324</v>
      </c>
      <c r="BS94" s="2">
        <v>50</v>
      </c>
      <c r="BT94" s="57">
        <f t="shared" si="152"/>
        <v>480456</v>
      </c>
      <c r="BU94" s="62">
        <f t="shared" si="153"/>
        <v>255467.70774146338</v>
      </c>
      <c r="BV94" s="2">
        <v>49</v>
      </c>
      <c r="BW94" s="57">
        <f t="shared" si="155"/>
        <v>503389</v>
      </c>
      <c r="BX94" s="62">
        <f t="shared" si="156"/>
        <v>278585.103638837</v>
      </c>
      <c r="BY94" s="2">
        <v>48</v>
      </c>
      <c r="BZ94" s="57">
        <f t="shared" si="160"/>
        <v>527417</v>
      </c>
      <c r="CA94" s="62">
        <f t="shared" si="161"/>
        <v>303794.61582094658</v>
      </c>
      <c r="CB94" s="2">
        <v>47</v>
      </c>
      <c r="CC94" s="57">
        <f t="shared" si="163"/>
        <v>552592</v>
      </c>
      <c r="CD94" s="62">
        <f t="shared" si="164"/>
        <v>331285.41857945034</v>
      </c>
      <c r="CE94" s="2">
        <v>46</v>
      </c>
      <c r="CF94" s="57">
        <f t="shared" si="168"/>
        <v>578968</v>
      </c>
      <c r="CG94" s="62">
        <f t="shared" si="169"/>
        <v>361263.48540612904</v>
      </c>
      <c r="CH94" s="2">
        <v>45</v>
      </c>
      <c r="CI94" s="57">
        <f t="shared" si="172"/>
        <v>606603</v>
      </c>
      <c r="CJ94" s="62">
        <f t="shared" si="173"/>
        <v>393954.29541000159</v>
      </c>
      <c r="CK94" s="2">
        <v>44</v>
      </c>
      <c r="CL94" s="57">
        <f t="shared" si="175"/>
        <v>635558</v>
      </c>
      <c r="CM94" s="62">
        <f t="shared" si="176"/>
        <v>429603.93954480381</v>
      </c>
      <c r="CN94" s="2">
        <v>43</v>
      </c>
      <c r="CO94" s="57">
        <f t="shared" si="180"/>
        <v>665894</v>
      </c>
      <c r="CP94" s="62">
        <f t="shared" si="181"/>
        <v>468478.80425893079</v>
      </c>
      <c r="CQ94" s="2">
        <v>42</v>
      </c>
      <c r="CR94" s="57">
        <f t="shared" si="183"/>
        <v>697679</v>
      </c>
      <c r="CS94" s="62">
        <f t="shared" si="184"/>
        <v>510872.20549202187</v>
      </c>
      <c r="CT94" s="2">
        <v>41</v>
      </c>
      <c r="CU94" s="57">
        <f t="shared" si="188"/>
        <v>730980</v>
      </c>
      <c r="CV94" s="62">
        <f t="shared" si="189"/>
        <v>557100.94862997148</v>
      </c>
      <c r="CW94" s="2">
        <v>40</v>
      </c>
      <c r="CX94" s="57">
        <f t="shared" si="191"/>
        <v>765871</v>
      </c>
      <c r="CY94" s="62">
        <f t="shared" si="192"/>
        <v>607513.32460412243</v>
      </c>
      <c r="CZ94" s="2">
        <v>39</v>
      </c>
      <c r="DA94" s="57">
        <f t="shared" si="196"/>
        <v>0</v>
      </c>
      <c r="DB94" s="62">
        <f t="shared" si="197"/>
        <v>0</v>
      </c>
      <c r="DC94" s="2">
        <v>38</v>
      </c>
      <c r="DD94" s="57">
        <f t="shared" si="202"/>
        <v>0</v>
      </c>
      <c r="DE94" s="62">
        <f t="shared" si="203"/>
        <v>0</v>
      </c>
      <c r="DF94" s="2">
        <v>37</v>
      </c>
      <c r="DG94" s="57">
        <f t="shared" si="209"/>
        <v>0</v>
      </c>
      <c r="DH94" s="62">
        <f t="shared" si="210"/>
        <v>0</v>
      </c>
      <c r="DI94" s="2">
        <v>36</v>
      </c>
      <c r="DJ94" s="57">
        <f t="shared" si="215"/>
        <v>0</v>
      </c>
      <c r="DK94" s="62">
        <f t="shared" si="216"/>
        <v>0</v>
      </c>
      <c r="DL94" s="2">
        <v>35</v>
      </c>
      <c r="DM94" s="57">
        <f t="shared" si="222"/>
        <v>0</v>
      </c>
      <c r="DN94" s="62">
        <f t="shared" si="223"/>
        <v>0</v>
      </c>
      <c r="DO94" s="2">
        <v>34</v>
      </c>
      <c r="DP94" s="57">
        <f t="shared" si="227"/>
        <v>0</v>
      </c>
      <c r="DQ94" s="62">
        <f t="shared" si="228"/>
        <v>0</v>
      </c>
      <c r="DR94" s="2">
        <v>33</v>
      </c>
      <c r="DS94" s="57">
        <f t="shared" si="234"/>
        <v>0</v>
      </c>
      <c r="DT94" s="62">
        <f t="shared" si="235"/>
        <v>0</v>
      </c>
      <c r="DU94" s="2">
        <v>32</v>
      </c>
      <c r="DV94" s="57">
        <f t="shared" ref="DV94:DV157" si="239">$E$61</f>
        <v>0</v>
      </c>
      <c r="DW94" s="62">
        <f t="shared" ref="DW94:DW125" si="240">SUM($G$10*$G$11*DV94*(EXP(-($G$10*DU94))),$G$10*$G$11*DV94*(EXP(-($G$10*(DU94+0.1)))),$G$10*$G$11*DV94*(EXP(-($G$10*(DU94+0.2)))),$G$10*$G$11*DV94*(EXP(-($G$10*(DU94+0.3)))),$G$10*$G$11*DV94*(EXP(-($G$10*(DU94+0.4)))),$G$10*$G$11*DV94*(EXP(-($G$10*(DU94+0.5)))),$G$10*$G$11*DV94*(EXP(-($G$10*(DU94+0.6)))),$G$10*$G$11*DV94*(EXP(-($G$10*(DU94+0.7)))),$G$10*$G$11*DV94*(EXP(-($G$10*(DU94+0.8)))),$G$10*$G$11*DV94*(EXP(-($G$10*(DU94+0.9)))))/10</f>
        <v>0</v>
      </c>
      <c r="DX94" s="2">
        <v>31</v>
      </c>
      <c r="DY94" s="57">
        <f t="shared" si="102"/>
        <v>0</v>
      </c>
      <c r="DZ94" s="62">
        <f t="shared" si="103"/>
        <v>0</v>
      </c>
      <c r="EA94" s="2">
        <v>30</v>
      </c>
      <c r="EB94" s="57">
        <f t="shared" si="109"/>
        <v>0</v>
      </c>
      <c r="EC94" s="62">
        <f t="shared" si="106"/>
        <v>0</v>
      </c>
      <c r="ED94" s="2">
        <v>29</v>
      </c>
      <c r="EE94" s="57">
        <f t="shared" si="113"/>
        <v>0</v>
      </c>
      <c r="EF94" s="62">
        <f t="shared" si="110"/>
        <v>0</v>
      </c>
      <c r="EG94" s="2">
        <v>28</v>
      </c>
      <c r="EH94" s="57">
        <f t="shared" si="117"/>
        <v>0</v>
      </c>
      <c r="EI94" s="62">
        <f t="shared" si="114"/>
        <v>0</v>
      </c>
      <c r="EJ94" s="2">
        <v>27</v>
      </c>
      <c r="EK94" s="57">
        <f t="shared" si="121"/>
        <v>0</v>
      </c>
      <c r="EL94" s="62">
        <f t="shared" si="118"/>
        <v>0</v>
      </c>
      <c r="EM94" s="2">
        <v>26</v>
      </c>
      <c r="EN94" s="57">
        <f t="shared" si="125"/>
        <v>0</v>
      </c>
      <c r="EO94" s="62">
        <f t="shared" si="122"/>
        <v>0</v>
      </c>
      <c r="EP94" s="2">
        <v>25</v>
      </c>
      <c r="EQ94" s="57">
        <f t="shared" si="129"/>
        <v>0</v>
      </c>
      <c r="ER94" s="62">
        <f t="shared" si="126"/>
        <v>0</v>
      </c>
      <c r="ES94" s="2">
        <v>24</v>
      </c>
      <c r="ET94" s="57">
        <f t="shared" si="130"/>
        <v>0</v>
      </c>
      <c r="EU94" s="62">
        <f t="shared" si="131"/>
        <v>0</v>
      </c>
      <c r="EV94" s="2">
        <v>23</v>
      </c>
      <c r="EW94" s="57">
        <f t="shared" si="134"/>
        <v>0</v>
      </c>
      <c r="EX94" s="62">
        <f t="shared" si="135"/>
        <v>0</v>
      </c>
      <c r="EY94" s="2">
        <v>22</v>
      </c>
      <c r="EZ94" s="57">
        <f t="shared" si="141"/>
        <v>0</v>
      </c>
      <c r="FA94" s="62">
        <f t="shared" si="138"/>
        <v>0</v>
      </c>
      <c r="FB94" s="2">
        <v>21</v>
      </c>
      <c r="FC94" s="57">
        <f t="shared" si="142"/>
        <v>0</v>
      </c>
      <c r="FD94" s="62">
        <f t="shared" si="143"/>
        <v>0</v>
      </c>
      <c r="FE94" s="2">
        <v>20</v>
      </c>
      <c r="FF94" s="57">
        <f t="shared" si="149"/>
        <v>0</v>
      </c>
      <c r="FG94" s="62">
        <f t="shared" si="146"/>
        <v>0</v>
      </c>
      <c r="FH94" s="2">
        <v>19</v>
      </c>
      <c r="FI94" s="57">
        <f t="shared" si="150"/>
        <v>0</v>
      </c>
      <c r="FJ94" s="62">
        <f t="shared" si="151"/>
        <v>0</v>
      </c>
      <c r="FK94" s="2">
        <v>18</v>
      </c>
      <c r="FL94" s="57">
        <f t="shared" si="157"/>
        <v>0</v>
      </c>
      <c r="FM94" s="62">
        <f t="shared" si="154"/>
        <v>0</v>
      </c>
      <c r="FN94" s="2">
        <v>17</v>
      </c>
      <c r="FO94" s="57">
        <f t="shared" si="158"/>
        <v>0</v>
      </c>
      <c r="FP94" s="62">
        <f t="shared" si="159"/>
        <v>0</v>
      </c>
      <c r="FQ94" s="2">
        <v>16</v>
      </c>
      <c r="FR94" s="57">
        <f t="shared" si="165"/>
        <v>0</v>
      </c>
      <c r="FS94" s="62">
        <f t="shared" si="162"/>
        <v>0</v>
      </c>
      <c r="FT94" s="2">
        <v>15</v>
      </c>
      <c r="FU94" s="57">
        <f t="shared" si="166"/>
        <v>0</v>
      </c>
      <c r="FV94" s="62">
        <f t="shared" si="167"/>
        <v>0</v>
      </c>
      <c r="FW94" s="2">
        <v>14</v>
      </c>
      <c r="FX94" s="57">
        <f t="shared" si="170"/>
        <v>0</v>
      </c>
      <c r="FY94" s="62">
        <f t="shared" si="171"/>
        <v>0</v>
      </c>
      <c r="FZ94" s="2">
        <v>13</v>
      </c>
      <c r="GA94" s="57">
        <f t="shared" si="177"/>
        <v>0</v>
      </c>
      <c r="GB94" s="62">
        <f t="shared" si="174"/>
        <v>0</v>
      </c>
      <c r="GC94" s="2">
        <v>12</v>
      </c>
      <c r="GD94" s="57">
        <f t="shared" si="178"/>
        <v>0</v>
      </c>
      <c r="GE94" s="62">
        <f t="shared" si="179"/>
        <v>0</v>
      </c>
      <c r="GF94" s="2">
        <v>11</v>
      </c>
      <c r="GG94" s="57">
        <f t="shared" si="185"/>
        <v>0</v>
      </c>
      <c r="GH94" s="62">
        <f t="shared" si="182"/>
        <v>0</v>
      </c>
      <c r="GI94" s="2">
        <v>10</v>
      </c>
      <c r="GJ94" s="57">
        <f t="shared" si="186"/>
        <v>0</v>
      </c>
      <c r="GK94" s="62">
        <f t="shared" si="187"/>
        <v>0</v>
      </c>
      <c r="GL94" s="2">
        <v>9</v>
      </c>
      <c r="GM94" s="57">
        <f t="shared" si="193"/>
        <v>0</v>
      </c>
      <c r="GN94" s="62">
        <f t="shared" si="190"/>
        <v>0</v>
      </c>
      <c r="GO94" s="2">
        <v>8</v>
      </c>
      <c r="GP94" s="57">
        <f t="shared" si="194"/>
        <v>0</v>
      </c>
      <c r="GQ94" s="62">
        <f t="shared" si="195"/>
        <v>0</v>
      </c>
      <c r="GR94" s="2">
        <v>7</v>
      </c>
      <c r="GS94" s="57">
        <f t="shared" si="204"/>
        <v>0</v>
      </c>
      <c r="GT94" s="62">
        <f t="shared" si="198"/>
        <v>0</v>
      </c>
      <c r="GU94" s="2">
        <v>6</v>
      </c>
      <c r="GV94" s="57">
        <f t="shared" si="205"/>
        <v>0</v>
      </c>
      <c r="GW94" s="62">
        <f t="shared" si="206"/>
        <v>0</v>
      </c>
      <c r="GX94" s="2">
        <v>5</v>
      </c>
      <c r="GY94" s="57">
        <f t="shared" si="217"/>
        <v>0</v>
      </c>
      <c r="GZ94" s="62">
        <f t="shared" si="211"/>
        <v>0</v>
      </c>
      <c r="HA94" s="2">
        <v>4</v>
      </c>
      <c r="HB94" s="57">
        <f t="shared" si="218"/>
        <v>0</v>
      </c>
      <c r="HC94" s="62">
        <f t="shared" si="219"/>
        <v>0</v>
      </c>
      <c r="HD94" s="2">
        <v>3</v>
      </c>
      <c r="HE94" s="57">
        <f t="shared" si="229"/>
        <v>0</v>
      </c>
      <c r="HF94" s="62">
        <f t="shared" si="224"/>
        <v>0</v>
      </c>
      <c r="HG94" s="2">
        <v>2</v>
      </c>
      <c r="HH94" s="57">
        <f t="shared" si="230"/>
        <v>0</v>
      </c>
      <c r="HI94" s="62">
        <f t="shared" si="231"/>
        <v>0</v>
      </c>
      <c r="HJ94" s="2">
        <v>1</v>
      </c>
      <c r="HK94" s="57">
        <f t="shared" ref="HK94:HK157" si="241">$E$92</f>
        <v>0</v>
      </c>
      <c r="HL94" s="62">
        <f t="shared" si="236"/>
        <v>0</v>
      </c>
      <c r="HM94" s="2">
        <v>0</v>
      </c>
      <c r="HN94" s="57">
        <f>$E$93</f>
        <v>0</v>
      </c>
      <c r="HO94" s="62">
        <f t="shared" ref="HO94:HO125" si="242">SUM($G$10*$G$11*HN94*(EXP(-($G$10*HM94))),$G$10*$G$11*HN94*(EXP(-($G$10*(HM94+0.1)))),$G$10*$G$11*HN94*(EXP(-($G$10*(HM94+0.2)))),$G$10*$G$11*HN94*(EXP(-($G$10*(HM94+0.3)))),$G$10*$G$11*HN94*(EXP(-($G$10*(HM94+0.4)))),$G$10*$G$11*HN94*(EXP(-($G$10*(HM94+0.5)))),$G$10*$G$11*HN94*(EXP(-($G$10*(HM94+0.6)))),$G$10*$G$11*HN94*(EXP(-($G$10*(HM94+0.7)))),$G$10*$G$11*HN94*(EXP(-($G$10*(HM94+0.8)))),$G$10*$G$11*HN94*(EXP(-($G$10*(HM94+0.9)))))/10</f>
        <v>0</v>
      </c>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row>
    <row r="95" spans="2:250">
      <c r="B95" s="56">
        <f>'USER INPUTS'!J80</f>
        <v>2090</v>
      </c>
      <c r="C95" s="420">
        <f>IF(OR(AND(ClosureCalcYes=TRUE,WasteCapacity=""),AND(ClosureCalcYes=FALSE,ClosureYear="")),0,IF('USER INPUTS'!K80&gt;0,IF('USER INPUTS'!$K$4="Mg/year",'USER INPUTS'!K80,'USER INPUTS'!L80),0))</f>
        <v>0</v>
      </c>
      <c r="D95" s="420">
        <f t="shared" si="97"/>
        <v>12946986</v>
      </c>
      <c r="E95" s="420">
        <f>IF(ClosureCalcYes=FALSE,IF(AND(B95&lt;ClosureYear,C95=0,SUM(C95:$C$102)=0),$D$13,IF(B95&lt;=ClosureYear,C95,0)),IF(B95=$D$16,($D$14-F95),IF(B95&lt;$D$16,IF(SUM(C95:$C$102)=0,$D$13,C95),0)))</f>
        <v>0</v>
      </c>
      <c r="F95" s="66">
        <f t="shared" si="98"/>
        <v>12946986</v>
      </c>
      <c r="G95" s="284">
        <f>IF(SUM(C96:$C$101)=0,C95,0)</f>
        <v>0</v>
      </c>
      <c r="H95" s="284">
        <f t="shared" si="99"/>
        <v>0</v>
      </c>
      <c r="I95" s="2">
        <f t="shared" si="212"/>
        <v>2090</v>
      </c>
      <c r="J95" s="379">
        <f t="shared" si="199"/>
        <v>6576835.7181394976</v>
      </c>
      <c r="K95" s="2">
        <v>71</v>
      </c>
      <c r="L95" s="57">
        <f t="shared" si="200"/>
        <v>189082</v>
      </c>
      <c r="M95" s="62">
        <f t="shared" si="201"/>
        <v>43403.546034537067</v>
      </c>
      <c r="N95" s="2">
        <v>70</v>
      </c>
      <c r="O95" s="57">
        <f t="shared" si="207"/>
        <v>293489</v>
      </c>
      <c r="P95" s="62">
        <f t="shared" si="208"/>
        <v>70119.471299900179</v>
      </c>
      <c r="Q95" s="2">
        <v>69</v>
      </c>
      <c r="R95" s="57">
        <f t="shared" si="213"/>
        <v>283523</v>
      </c>
      <c r="S95" s="62">
        <f t="shared" si="214"/>
        <v>70502.883441124795</v>
      </c>
      <c r="T95" s="2">
        <v>68</v>
      </c>
      <c r="U95" s="57">
        <f t="shared" si="220"/>
        <v>143321</v>
      </c>
      <c r="V95" s="62">
        <f t="shared" si="221"/>
        <v>37093.703196130955</v>
      </c>
      <c r="W95" s="2">
        <v>67</v>
      </c>
      <c r="X95" s="57">
        <f t="shared" si="225"/>
        <v>227851</v>
      </c>
      <c r="Y95" s="62">
        <f t="shared" si="226"/>
        <v>61378.049226803319</v>
      </c>
      <c r="Z95" s="2">
        <v>66</v>
      </c>
      <c r="AA95" s="57">
        <f t="shared" si="232"/>
        <v>238727</v>
      </c>
      <c r="AB95" s="62">
        <f t="shared" si="233"/>
        <v>66932.255763762485</v>
      </c>
      <c r="AC95" s="2">
        <v>65</v>
      </c>
      <c r="AD95" s="57">
        <f t="shared" si="237"/>
        <v>250122</v>
      </c>
      <c r="AE95" s="62">
        <f t="shared" si="238"/>
        <v>72989.030231854034</v>
      </c>
      <c r="AF95" s="2">
        <v>64</v>
      </c>
      <c r="AG95" s="57">
        <f t="shared" ref="AG95:AG158" si="243">$E$30</f>
        <v>262060</v>
      </c>
      <c r="AH95" s="62">
        <f t="shared" ref="AH95:AH126" si="244">SUM($G$10*$G$11*AG95*(EXP(-($G$10*AF95))),$G$10*$G$11*AG95*(EXP(-($G$10*(AF95+0.1)))),$G$10*$G$11*AG95*(EXP(-($G$10*(AF95+0.2)))),$G$10*$G$11*AG95*(EXP(-($G$10*(AF95+0.3)))),$G$10*$G$11*AG95*(EXP(-($G$10*(AF95+0.4)))),$G$10*$G$11*AG95*(EXP(-($G$10*(AF95+0.5)))),$G$10*$G$11*AG95*(EXP(-($G$10*(AF95+0.6)))),$G$10*$G$11*AG95*(EXP(-($G$10*(AF95+0.7)))),$G$10*$G$11*AG95*(EXP(-($G$10*(AF95+0.8)))),$G$10*$G$11*AG95*(EXP(-($G$10*(AF95+0.9)))))/10</f>
        <v>79593.612559845627</v>
      </c>
      <c r="AI95" s="2">
        <v>63</v>
      </c>
      <c r="AJ95" s="57">
        <f t="shared" si="104"/>
        <v>274569</v>
      </c>
      <c r="AK95" s="62">
        <f t="shared" si="105"/>
        <v>86796.209878068272</v>
      </c>
      <c r="AL95" s="2">
        <v>62</v>
      </c>
      <c r="AM95" s="57">
        <f t="shared" si="107"/>
        <v>287675</v>
      </c>
      <c r="AN95" s="62">
        <f t="shared" si="108"/>
        <v>94650.55401507538</v>
      </c>
      <c r="AO95" s="2">
        <v>61</v>
      </c>
      <c r="AP95" s="57">
        <f t="shared" si="111"/>
        <v>301406</v>
      </c>
      <c r="AQ95" s="62">
        <f t="shared" si="112"/>
        <v>103215.45022512271</v>
      </c>
      <c r="AR95" s="2">
        <v>60</v>
      </c>
      <c r="AS95" s="57">
        <f t="shared" si="115"/>
        <v>315793</v>
      </c>
      <c r="AT95" s="62">
        <f t="shared" si="116"/>
        <v>112555.59708481745</v>
      </c>
      <c r="AU95" s="2">
        <v>59</v>
      </c>
      <c r="AV95" s="57">
        <f t="shared" si="119"/>
        <v>330866</v>
      </c>
      <c r="AW95" s="62">
        <f t="shared" si="120"/>
        <v>122740.67787562497</v>
      </c>
      <c r="AX95" s="2">
        <v>58</v>
      </c>
      <c r="AY95" s="57">
        <f t="shared" si="123"/>
        <v>346659</v>
      </c>
      <c r="AZ95" s="62">
        <f t="shared" si="124"/>
        <v>133847.61456032924</v>
      </c>
      <c r="BA95" s="2">
        <v>57</v>
      </c>
      <c r="BB95" s="57">
        <f t="shared" si="127"/>
        <v>363206</v>
      </c>
      <c r="BC95" s="62">
        <f t="shared" si="128"/>
        <v>145959.6956850061</v>
      </c>
      <c r="BD95" s="2">
        <v>56</v>
      </c>
      <c r="BE95" s="57">
        <f t="shared" si="132"/>
        <v>380542</v>
      </c>
      <c r="BF95" s="62">
        <f t="shared" si="133"/>
        <v>159167.46907022051</v>
      </c>
      <c r="BG95" s="2">
        <v>55</v>
      </c>
      <c r="BH95" s="57">
        <f t="shared" si="136"/>
        <v>398706</v>
      </c>
      <c r="BI95" s="62">
        <f t="shared" si="137"/>
        <v>173570.63998524722</v>
      </c>
      <c r="BJ95" s="2">
        <v>54</v>
      </c>
      <c r="BK95" s="57">
        <f t="shared" si="139"/>
        <v>417737</v>
      </c>
      <c r="BL95" s="62">
        <f t="shared" si="140"/>
        <v>189277.16231695554</v>
      </c>
      <c r="BM95" s="2">
        <v>53</v>
      </c>
      <c r="BN95" s="57">
        <f t="shared" si="144"/>
        <v>437677</v>
      </c>
      <c r="BO95" s="62">
        <f t="shared" si="145"/>
        <v>206405.26781483195</v>
      </c>
      <c r="BP95" s="2">
        <v>52</v>
      </c>
      <c r="BQ95" s="57">
        <f t="shared" si="147"/>
        <v>458568</v>
      </c>
      <c r="BR95" s="62">
        <f t="shared" si="148"/>
        <v>225082.93867971623</v>
      </c>
      <c r="BS95" s="2">
        <v>51</v>
      </c>
      <c r="BT95" s="57">
        <f t="shared" si="152"/>
        <v>480456</v>
      </c>
      <c r="BU95" s="62">
        <f t="shared" si="153"/>
        <v>245450.67564245025</v>
      </c>
      <c r="BV95" s="2">
        <v>50</v>
      </c>
      <c r="BW95" s="57">
        <f t="shared" si="155"/>
        <v>503389</v>
      </c>
      <c r="BX95" s="62">
        <f t="shared" si="156"/>
        <v>267661.62548135</v>
      </c>
      <c r="BY95" s="2">
        <v>49</v>
      </c>
      <c r="BZ95" s="57">
        <f t="shared" si="160"/>
        <v>527417</v>
      </c>
      <c r="CA95" s="62">
        <f t="shared" si="161"/>
        <v>291882.65855210286</v>
      </c>
      <c r="CB95" s="2">
        <v>48</v>
      </c>
      <c r="CC95" s="57">
        <f t="shared" si="163"/>
        <v>552592</v>
      </c>
      <c r="CD95" s="62">
        <f t="shared" si="164"/>
        <v>318295.53151629266</v>
      </c>
      <c r="CE95" s="2">
        <v>47</v>
      </c>
      <c r="CF95" s="57">
        <f t="shared" si="168"/>
        <v>578968</v>
      </c>
      <c r="CG95" s="62">
        <f t="shared" si="169"/>
        <v>347098.1415295683</v>
      </c>
      <c r="CH95" s="2">
        <v>46</v>
      </c>
      <c r="CI95" s="57">
        <f t="shared" si="172"/>
        <v>606603</v>
      </c>
      <c r="CJ95" s="62">
        <f t="shared" si="173"/>
        <v>378507.12653862417</v>
      </c>
      <c r="CK95" s="2">
        <v>45</v>
      </c>
      <c r="CL95" s="57">
        <f t="shared" si="175"/>
        <v>635558</v>
      </c>
      <c r="CM95" s="62">
        <f t="shared" si="176"/>
        <v>412758.92813288065</v>
      </c>
      <c r="CN95" s="2">
        <v>44</v>
      </c>
      <c r="CO95" s="57">
        <f t="shared" si="180"/>
        <v>665894</v>
      </c>
      <c r="CP95" s="62">
        <f t="shared" si="181"/>
        <v>450109.4875986891</v>
      </c>
      <c r="CQ95" s="2">
        <v>43</v>
      </c>
      <c r="CR95" s="57">
        <f t="shared" si="183"/>
        <v>697679</v>
      </c>
      <c r="CS95" s="62">
        <f t="shared" si="184"/>
        <v>490840.61979319004</v>
      </c>
      <c r="CT95" s="2">
        <v>42</v>
      </c>
      <c r="CU95" s="57">
        <f t="shared" si="188"/>
        <v>730980</v>
      </c>
      <c r="CV95" s="62">
        <f t="shared" si="189"/>
        <v>535256.70798541745</v>
      </c>
      <c r="CW95" s="2">
        <v>41</v>
      </c>
      <c r="CX95" s="57">
        <f t="shared" si="191"/>
        <v>765871</v>
      </c>
      <c r="CY95" s="62">
        <f t="shared" si="192"/>
        <v>583692.38642395823</v>
      </c>
      <c r="CZ95" s="2">
        <v>40</v>
      </c>
      <c r="DA95" s="57">
        <f t="shared" si="196"/>
        <v>0</v>
      </c>
      <c r="DB95" s="62">
        <f t="shared" si="197"/>
        <v>0</v>
      </c>
      <c r="DC95" s="2">
        <v>39</v>
      </c>
      <c r="DD95" s="57">
        <f t="shared" si="202"/>
        <v>0</v>
      </c>
      <c r="DE95" s="62">
        <f t="shared" si="203"/>
        <v>0</v>
      </c>
      <c r="DF95" s="2">
        <v>38</v>
      </c>
      <c r="DG95" s="57">
        <f t="shared" si="209"/>
        <v>0</v>
      </c>
      <c r="DH95" s="62">
        <f t="shared" si="210"/>
        <v>0</v>
      </c>
      <c r="DI95" s="2">
        <v>37</v>
      </c>
      <c r="DJ95" s="57">
        <f t="shared" si="215"/>
        <v>0</v>
      </c>
      <c r="DK95" s="62">
        <f t="shared" si="216"/>
        <v>0</v>
      </c>
      <c r="DL95" s="2">
        <v>36</v>
      </c>
      <c r="DM95" s="57">
        <f t="shared" si="222"/>
        <v>0</v>
      </c>
      <c r="DN95" s="62">
        <f t="shared" si="223"/>
        <v>0</v>
      </c>
      <c r="DO95" s="2">
        <v>35</v>
      </c>
      <c r="DP95" s="57">
        <f t="shared" si="227"/>
        <v>0</v>
      </c>
      <c r="DQ95" s="62">
        <f t="shared" si="228"/>
        <v>0</v>
      </c>
      <c r="DR95" s="2">
        <v>34</v>
      </c>
      <c r="DS95" s="57">
        <f t="shared" si="234"/>
        <v>0</v>
      </c>
      <c r="DT95" s="62">
        <f t="shared" si="235"/>
        <v>0</v>
      </c>
      <c r="DU95" s="2">
        <v>33</v>
      </c>
      <c r="DV95" s="57">
        <f t="shared" si="239"/>
        <v>0</v>
      </c>
      <c r="DW95" s="62">
        <f t="shared" si="240"/>
        <v>0</v>
      </c>
      <c r="DX95" s="2">
        <v>32</v>
      </c>
      <c r="DY95" s="57">
        <f t="shared" ref="DY95:DY158" si="245">$E$62</f>
        <v>0</v>
      </c>
      <c r="DZ95" s="62">
        <f t="shared" ref="DZ95:DZ126" si="246">SUM($G$10*$G$11*DY95*(EXP(-($G$10*DX95))),$G$10*$G$11*DY95*(EXP(-($G$10*(DX95+0.1)))),$G$10*$G$11*DY95*(EXP(-($G$10*(DX95+0.2)))),$G$10*$G$11*DY95*(EXP(-($G$10*(DX95+0.3)))),$G$10*$G$11*DY95*(EXP(-($G$10*(DX95+0.4)))),$G$10*$G$11*DY95*(EXP(-($G$10*(DX95+0.5)))),$G$10*$G$11*DY95*(EXP(-($G$10*(DX95+0.6)))),$G$10*$G$11*DY95*(EXP(-($G$10*(DX95+0.7)))),$G$10*$G$11*DY95*(EXP(-($G$10*(DX95+0.8)))),$G$10*$G$11*DY95*(EXP(-($G$10*(DX95+0.9)))))/10</f>
        <v>0</v>
      </c>
      <c r="EA95" s="2">
        <v>31</v>
      </c>
      <c r="EB95" s="57">
        <f t="shared" si="109"/>
        <v>0</v>
      </c>
      <c r="EC95" s="62">
        <f t="shared" si="106"/>
        <v>0</v>
      </c>
      <c r="ED95" s="2">
        <v>30</v>
      </c>
      <c r="EE95" s="57">
        <f t="shared" si="113"/>
        <v>0</v>
      </c>
      <c r="EF95" s="62">
        <f t="shared" si="110"/>
        <v>0</v>
      </c>
      <c r="EG95" s="2">
        <v>29</v>
      </c>
      <c r="EH95" s="57">
        <f t="shared" si="117"/>
        <v>0</v>
      </c>
      <c r="EI95" s="62">
        <f t="shared" si="114"/>
        <v>0</v>
      </c>
      <c r="EJ95" s="2">
        <v>28</v>
      </c>
      <c r="EK95" s="57">
        <f t="shared" si="121"/>
        <v>0</v>
      </c>
      <c r="EL95" s="62">
        <f t="shared" si="118"/>
        <v>0</v>
      </c>
      <c r="EM95" s="2">
        <v>27</v>
      </c>
      <c r="EN95" s="57">
        <f t="shared" si="125"/>
        <v>0</v>
      </c>
      <c r="EO95" s="62">
        <f t="shared" si="122"/>
        <v>0</v>
      </c>
      <c r="EP95" s="2">
        <v>26</v>
      </c>
      <c r="EQ95" s="57">
        <f t="shared" si="129"/>
        <v>0</v>
      </c>
      <c r="ER95" s="62">
        <f t="shared" si="126"/>
        <v>0</v>
      </c>
      <c r="ES95" s="2">
        <v>25</v>
      </c>
      <c r="ET95" s="57">
        <f t="shared" si="130"/>
        <v>0</v>
      </c>
      <c r="EU95" s="62">
        <f t="shared" si="131"/>
        <v>0</v>
      </c>
      <c r="EV95" s="2">
        <v>24</v>
      </c>
      <c r="EW95" s="57">
        <f t="shared" si="134"/>
        <v>0</v>
      </c>
      <c r="EX95" s="62">
        <f t="shared" si="135"/>
        <v>0</v>
      </c>
      <c r="EY95" s="2">
        <v>23</v>
      </c>
      <c r="EZ95" s="57">
        <f t="shared" si="141"/>
        <v>0</v>
      </c>
      <c r="FA95" s="62">
        <f t="shared" si="138"/>
        <v>0</v>
      </c>
      <c r="FB95" s="2">
        <v>22</v>
      </c>
      <c r="FC95" s="57">
        <f t="shared" si="142"/>
        <v>0</v>
      </c>
      <c r="FD95" s="62">
        <f t="shared" si="143"/>
        <v>0</v>
      </c>
      <c r="FE95" s="2">
        <v>21</v>
      </c>
      <c r="FF95" s="57">
        <f t="shared" si="149"/>
        <v>0</v>
      </c>
      <c r="FG95" s="62">
        <f t="shared" si="146"/>
        <v>0</v>
      </c>
      <c r="FH95" s="2">
        <v>20</v>
      </c>
      <c r="FI95" s="57">
        <f t="shared" si="150"/>
        <v>0</v>
      </c>
      <c r="FJ95" s="62">
        <f t="shared" si="151"/>
        <v>0</v>
      </c>
      <c r="FK95" s="2">
        <v>19</v>
      </c>
      <c r="FL95" s="57">
        <f t="shared" si="157"/>
        <v>0</v>
      </c>
      <c r="FM95" s="62">
        <f t="shared" si="154"/>
        <v>0</v>
      </c>
      <c r="FN95" s="2">
        <v>18</v>
      </c>
      <c r="FO95" s="57">
        <f t="shared" si="158"/>
        <v>0</v>
      </c>
      <c r="FP95" s="62">
        <f t="shared" si="159"/>
        <v>0</v>
      </c>
      <c r="FQ95" s="2">
        <v>17</v>
      </c>
      <c r="FR95" s="57">
        <f t="shared" si="165"/>
        <v>0</v>
      </c>
      <c r="FS95" s="62">
        <f t="shared" si="162"/>
        <v>0</v>
      </c>
      <c r="FT95" s="2">
        <v>16</v>
      </c>
      <c r="FU95" s="57">
        <f t="shared" si="166"/>
        <v>0</v>
      </c>
      <c r="FV95" s="62">
        <f t="shared" si="167"/>
        <v>0</v>
      </c>
      <c r="FW95" s="2">
        <v>15</v>
      </c>
      <c r="FX95" s="57">
        <f t="shared" si="170"/>
        <v>0</v>
      </c>
      <c r="FY95" s="62">
        <f t="shared" si="171"/>
        <v>0</v>
      </c>
      <c r="FZ95" s="2">
        <v>14</v>
      </c>
      <c r="GA95" s="57">
        <f t="shared" si="177"/>
        <v>0</v>
      </c>
      <c r="GB95" s="62">
        <f t="shared" si="174"/>
        <v>0</v>
      </c>
      <c r="GC95" s="2">
        <v>13</v>
      </c>
      <c r="GD95" s="57">
        <f t="shared" si="178"/>
        <v>0</v>
      </c>
      <c r="GE95" s="62">
        <f t="shared" si="179"/>
        <v>0</v>
      </c>
      <c r="GF95" s="2">
        <v>12</v>
      </c>
      <c r="GG95" s="57">
        <f t="shared" si="185"/>
        <v>0</v>
      </c>
      <c r="GH95" s="62">
        <f t="shared" si="182"/>
        <v>0</v>
      </c>
      <c r="GI95" s="2">
        <v>11</v>
      </c>
      <c r="GJ95" s="57">
        <f t="shared" si="186"/>
        <v>0</v>
      </c>
      <c r="GK95" s="62">
        <f t="shared" si="187"/>
        <v>0</v>
      </c>
      <c r="GL95" s="2">
        <v>10</v>
      </c>
      <c r="GM95" s="57">
        <f t="shared" si="193"/>
        <v>0</v>
      </c>
      <c r="GN95" s="62">
        <f t="shared" si="190"/>
        <v>0</v>
      </c>
      <c r="GO95" s="2">
        <v>9</v>
      </c>
      <c r="GP95" s="57">
        <f t="shared" si="194"/>
        <v>0</v>
      </c>
      <c r="GQ95" s="62">
        <f t="shared" si="195"/>
        <v>0</v>
      </c>
      <c r="GR95" s="2">
        <v>8</v>
      </c>
      <c r="GS95" s="57">
        <f t="shared" si="204"/>
        <v>0</v>
      </c>
      <c r="GT95" s="62">
        <f t="shared" si="198"/>
        <v>0</v>
      </c>
      <c r="GU95" s="2">
        <v>7</v>
      </c>
      <c r="GV95" s="57">
        <f t="shared" si="205"/>
        <v>0</v>
      </c>
      <c r="GW95" s="62">
        <f t="shared" si="206"/>
        <v>0</v>
      </c>
      <c r="GX95" s="2">
        <v>6</v>
      </c>
      <c r="GY95" s="57">
        <f t="shared" si="217"/>
        <v>0</v>
      </c>
      <c r="GZ95" s="62">
        <f t="shared" si="211"/>
        <v>0</v>
      </c>
      <c r="HA95" s="2">
        <v>5</v>
      </c>
      <c r="HB95" s="57">
        <f t="shared" si="218"/>
        <v>0</v>
      </c>
      <c r="HC95" s="62">
        <f t="shared" si="219"/>
        <v>0</v>
      </c>
      <c r="HD95" s="2">
        <v>4</v>
      </c>
      <c r="HE95" s="57">
        <f t="shared" si="229"/>
        <v>0</v>
      </c>
      <c r="HF95" s="62">
        <f t="shared" si="224"/>
        <v>0</v>
      </c>
      <c r="HG95" s="2">
        <v>3</v>
      </c>
      <c r="HH95" s="57">
        <f t="shared" si="230"/>
        <v>0</v>
      </c>
      <c r="HI95" s="62">
        <f t="shared" si="231"/>
        <v>0</v>
      </c>
      <c r="HJ95" s="2">
        <v>2</v>
      </c>
      <c r="HK95" s="57">
        <f t="shared" si="241"/>
        <v>0</v>
      </c>
      <c r="HL95" s="62">
        <f t="shared" si="236"/>
        <v>0</v>
      </c>
      <c r="HM95" s="2">
        <v>1</v>
      </c>
      <c r="HN95" s="57">
        <f t="shared" ref="HN95:HN158" si="247">$E$93</f>
        <v>0</v>
      </c>
      <c r="HO95" s="62">
        <f t="shared" si="242"/>
        <v>0</v>
      </c>
      <c r="HP95" s="2">
        <v>0</v>
      </c>
      <c r="HQ95" s="57">
        <f t="shared" ref="HQ95:HQ158" si="248">$E$94</f>
        <v>0</v>
      </c>
      <c r="HR95" s="62">
        <f t="shared" ref="HR95:HR126" si="249">SUM($G$10*$G$11*HQ95*(EXP(-($G$10*HP95))),$G$10*$G$11*HQ95*(EXP(-($G$10*(HP95+0.1)))),$G$10*$G$11*HQ95*(EXP(-($G$10*(HP95+0.2)))),$G$10*$G$11*HQ95*(EXP(-($G$10*(HP95+0.3)))),$G$10*$G$11*HQ95*(EXP(-($G$10*(HP95+0.4)))),$G$10*$G$11*HQ95*(EXP(-($G$10*(HP95+0.5)))),$G$10*$G$11*HQ95*(EXP(-($G$10*(HP95+0.6)))),$G$10*$G$11*HQ95*(EXP(-($G$10*(HP95+0.7)))),$G$10*$G$11*HQ95*(EXP(-($G$10*(HP95+0.8)))),$G$10*$G$11*HQ95*(EXP(-($G$10*(HP95+0.9)))))/10</f>
        <v>0</v>
      </c>
      <c r="HS95" s="1"/>
      <c r="HT95" s="1"/>
      <c r="HU95" s="1"/>
      <c r="HV95" s="1"/>
      <c r="HW95" s="1"/>
      <c r="HX95" s="1"/>
      <c r="HY95" s="1"/>
      <c r="HZ95" s="1"/>
      <c r="IA95" s="1"/>
      <c r="IB95" s="1"/>
      <c r="IC95" s="1"/>
      <c r="ID95" s="1"/>
      <c r="IE95" s="1"/>
      <c r="IF95" s="1"/>
      <c r="IG95" s="1"/>
      <c r="IH95" s="1"/>
      <c r="II95" s="1"/>
      <c r="IJ95" s="1"/>
      <c r="IK95" s="1"/>
      <c r="IL95" s="1"/>
      <c r="IM95" s="1"/>
      <c r="IN95" s="1"/>
      <c r="IO95" s="1"/>
      <c r="IP95" s="1"/>
    </row>
    <row r="96" spans="2:250">
      <c r="B96" s="56">
        <f>'USER INPUTS'!J81</f>
        <v>2091</v>
      </c>
      <c r="C96" s="420">
        <f>IF(OR(AND(ClosureCalcYes=TRUE,WasteCapacity=""),AND(ClosureCalcYes=FALSE,ClosureYear="")),0,IF('USER INPUTS'!K81&gt;0,IF('USER INPUTS'!$K$4="Mg/year",'USER INPUTS'!K81,'USER INPUTS'!L81),0))</f>
        <v>0</v>
      </c>
      <c r="D96" s="420">
        <f t="shared" si="97"/>
        <v>12946986</v>
      </c>
      <c r="E96" s="420">
        <f>IF(ClosureCalcYes=FALSE,IF(AND(B96&lt;ClosureYear,C96=0,SUM(C96:$C$102)=0),$D$13,IF(B96&lt;=ClosureYear,C96,0)),IF(B96=$D$16,($D$14-F96),IF(B96&lt;$D$16,IF(SUM(C96:$C$102)=0,$D$13,C96),0)))</f>
        <v>0</v>
      </c>
      <c r="F96" s="66">
        <f t="shared" si="98"/>
        <v>12946986</v>
      </c>
      <c r="G96" s="284">
        <f>IF(SUM(C97:$C$101)=0,C96,0)</f>
        <v>0</v>
      </c>
      <c r="H96" s="284">
        <f t="shared" si="99"/>
        <v>0</v>
      </c>
      <c r="I96" s="2">
        <f t="shared" si="212"/>
        <v>2091</v>
      </c>
      <c r="J96" s="379">
        <f t="shared" si="199"/>
        <v>6318954.3010282153</v>
      </c>
      <c r="K96" s="2">
        <v>72</v>
      </c>
      <c r="L96" s="57">
        <f t="shared" si="200"/>
        <v>189082</v>
      </c>
      <c r="M96" s="62">
        <f t="shared" si="201"/>
        <v>41701.668651744912</v>
      </c>
      <c r="N96" s="2">
        <v>71</v>
      </c>
      <c r="O96" s="57">
        <f t="shared" si="207"/>
        <v>293489</v>
      </c>
      <c r="P96" s="62">
        <f t="shared" si="208"/>
        <v>67370.04750388852</v>
      </c>
      <c r="Q96" s="2">
        <v>70</v>
      </c>
      <c r="R96" s="57">
        <f t="shared" si="213"/>
        <v>283523</v>
      </c>
      <c r="S96" s="62">
        <f t="shared" si="214"/>
        <v>67738.425840019903</v>
      </c>
      <c r="T96" s="2">
        <v>69</v>
      </c>
      <c r="U96" s="57">
        <f t="shared" si="220"/>
        <v>143321</v>
      </c>
      <c r="V96" s="62">
        <f t="shared" si="221"/>
        <v>35639.238289893401</v>
      </c>
      <c r="W96" s="2">
        <v>68</v>
      </c>
      <c r="X96" s="57">
        <f t="shared" si="225"/>
        <v>227851</v>
      </c>
      <c r="Y96" s="62">
        <f t="shared" si="226"/>
        <v>58971.381492884051</v>
      </c>
      <c r="Z96" s="2">
        <v>67</v>
      </c>
      <c r="AA96" s="57">
        <f t="shared" si="232"/>
        <v>238727</v>
      </c>
      <c r="AB96" s="62">
        <f t="shared" si="233"/>
        <v>64307.80447646523</v>
      </c>
      <c r="AC96" s="2">
        <v>66</v>
      </c>
      <c r="AD96" s="57">
        <f t="shared" si="237"/>
        <v>250122</v>
      </c>
      <c r="AE96" s="62">
        <f t="shared" si="238"/>
        <v>70127.089420734992</v>
      </c>
      <c r="AF96" s="2">
        <v>65</v>
      </c>
      <c r="AG96" s="57">
        <f t="shared" si="243"/>
        <v>262060</v>
      </c>
      <c r="AH96" s="62">
        <f t="shared" si="244"/>
        <v>76472.702371481384</v>
      </c>
      <c r="AI96" s="2">
        <v>64</v>
      </c>
      <c r="AJ96" s="57">
        <f t="shared" ref="AJ96:AJ159" si="250">$E$31</f>
        <v>274569</v>
      </c>
      <c r="AK96" s="62">
        <f t="shared" ref="AK96:AK127" si="251">SUM($G$10*$G$11*AJ96*(EXP(-($G$10*AI96))),$G$10*$G$11*AJ96*(EXP(-($G$10*(AI96+0.1)))),$G$10*$G$11*AJ96*(EXP(-($G$10*(AI96+0.2)))),$G$10*$G$11*AJ96*(EXP(-($G$10*(AI96+0.3)))),$G$10*$G$11*AJ96*(EXP(-($G$10*(AI96+0.4)))),$G$10*$G$11*AJ96*(EXP(-($G$10*(AI96+0.5)))),$G$10*$G$11*AJ96*(EXP(-($G$10*(AI96+0.6)))),$G$10*$G$11*AJ96*(EXP(-($G$10*(AI96+0.7)))),$G$10*$G$11*AJ96*(EXP(-($G$10*(AI96+0.8)))),$G$10*$G$11*AJ96*(EXP(-($G$10*(AI96+0.9)))))/10</f>
        <v>83392.881809296538</v>
      </c>
      <c r="AL96" s="2">
        <v>63</v>
      </c>
      <c r="AM96" s="57">
        <f t="shared" si="107"/>
        <v>287675</v>
      </c>
      <c r="AN96" s="62">
        <f t="shared" si="108"/>
        <v>90939.252707600943</v>
      </c>
      <c r="AO96" s="2">
        <v>62</v>
      </c>
      <c r="AP96" s="57">
        <f t="shared" si="111"/>
        <v>301406</v>
      </c>
      <c r="AQ96" s="62">
        <f t="shared" si="112"/>
        <v>99168.314533650177</v>
      </c>
      <c r="AR96" s="2">
        <v>61</v>
      </c>
      <c r="AS96" s="57">
        <f t="shared" si="115"/>
        <v>315793</v>
      </c>
      <c r="AT96" s="62">
        <f t="shared" si="116"/>
        <v>108142.22899657662</v>
      </c>
      <c r="AU96" s="2">
        <v>60</v>
      </c>
      <c r="AV96" s="57">
        <f t="shared" si="119"/>
        <v>330866</v>
      </c>
      <c r="AW96" s="62">
        <f t="shared" si="120"/>
        <v>117927.94705729769</v>
      </c>
      <c r="AX96" s="2">
        <v>59</v>
      </c>
      <c r="AY96" s="57">
        <f t="shared" si="123"/>
        <v>346659</v>
      </c>
      <c r="AZ96" s="62">
        <f t="shared" si="124"/>
        <v>128599.37452529508</v>
      </c>
      <c r="BA96" s="2">
        <v>58</v>
      </c>
      <c r="BB96" s="57">
        <f t="shared" si="127"/>
        <v>363206</v>
      </c>
      <c r="BC96" s="62">
        <f t="shared" si="128"/>
        <v>140236.53415604081</v>
      </c>
      <c r="BD96" s="2">
        <v>57</v>
      </c>
      <c r="BE96" s="57">
        <f t="shared" si="132"/>
        <v>380542</v>
      </c>
      <c r="BF96" s="62">
        <f t="shared" si="133"/>
        <v>152926.42333927189</v>
      </c>
      <c r="BG96" s="2">
        <v>56</v>
      </c>
      <c r="BH96" s="57">
        <f t="shared" si="136"/>
        <v>398706</v>
      </c>
      <c r="BI96" s="62">
        <f t="shared" si="137"/>
        <v>166764.83784473551</v>
      </c>
      <c r="BJ96" s="2">
        <v>55</v>
      </c>
      <c r="BK96" s="57">
        <f t="shared" si="139"/>
        <v>417737</v>
      </c>
      <c r="BL96" s="62">
        <f t="shared" si="140"/>
        <v>181855.49862685092</v>
      </c>
      <c r="BM96" s="2">
        <v>54</v>
      </c>
      <c r="BN96" s="57">
        <f t="shared" si="144"/>
        <v>437677</v>
      </c>
      <c r="BO96" s="62">
        <f t="shared" si="145"/>
        <v>198312.00150189744</v>
      </c>
      <c r="BP96" s="2">
        <v>53</v>
      </c>
      <c r="BQ96" s="57">
        <f t="shared" si="147"/>
        <v>458568</v>
      </c>
      <c r="BR96" s="62">
        <f t="shared" si="148"/>
        <v>216257.31041684133</v>
      </c>
      <c r="BS96" s="2">
        <v>52</v>
      </c>
      <c r="BT96" s="57">
        <f t="shared" si="152"/>
        <v>480456</v>
      </c>
      <c r="BU96" s="62">
        <f t="shared" si="153"/>
        <v>235826.41699006857</v>
      </c>
      <c r="BV96" s="2">
        <v>51</v>
      </c>
      <c r="BW96" s="57">
        <f t="shared" si="155"/>
        <v>503389</v>
      </c>
      <c r="BX96" s="62">
        <f t="shared" si="156"/>
        <v>257166.46302882544</v>
      </c>
      <c r="BY96" s="2">
        <v>50</v>
      </c>
      <c r="BZ96" s="57">
        <f t="shared" si="160"/>
        <v>527417</v>
      </c>
      <c r="CA96" s="62">
        <f t="shared" si="161"/>
        <v>280437.77580856392</v>
      </c>
      <c r="CB96" s="2">
        <v>49</v>
      </c>
      <c r="CC96" s="57">
        <f t="shared" si="163"/>
        <v>552592</v>
      </c>
      <c r="CD96" s="62">
        <f t="shared" si="164"/>
        <v>305814.98521022941</v>
      </c>
      <c r="CE96" s="2">
        <v>48</v>
      </c>
      <c r="CF96" s="57">
        <f t="shared" si="168"/>
        <v>578968</v>
      </c>
      <c r="CG96" s="62">
        <f t="shared" si="169"/>
        <v>333488.22873100755</v>
      </c>
      <c r="CH96" s="2">
        <v>47</v>
      </c>
      <c r="CI96" s="57">
        <f t="shared" si="172"/>
        <v>606603</v>
      </c>
      <c r="CJ96" s="62">
        <f t="shared" si="173"/>
        <v>363665.64982220199</v>
      </c>
      <c r="CK96" s="2">
        <v>46</v>
      </c>
      <c r="CL96" s="57">
        <f t="shared" si="175"/>
        <v>635558</v>
      </c>
      <c r="CM96" s="62">
        <f t="shared" si="176"/>
        <v>396574.41906590445</v>
      </c>
      <c r="CN96" s="2">
        <v>45</v>
      </c>
      <c r="CO96" s="57">
        <f t="shared" si="180"/>
        <v>665894</v>
      </c>
      <c r="CP96" s="62">
        <f t="shared" si="181"/>
        <v>432460.44214708405</v>
      </c>
      <c r="CQ96" s="2">
        <v>44</v>
      </c>
      <c r="CR96" s="57">
        <f t="shared" si="183"/>
        <v>697679</v>
      </c>
      <c r="CS96" s="62">
        <f t="shared" si="184"/>
        <v>471594.48380427778</v>
      </c>
      <c r="CT96" s="2">
        <v>43</v>
      </c>
      <c r="CU96" s="57">
        <f t="shared" si="188"/>
        <v>730980</v>
      </c>
      <c r="CV96" s="62">
        <f t="shared" si="189"/>
        <v>514268.99226782809</v>
      </c>
      <c r="CW96" s="2">
        <v>42</v>
      </c>
      <c r="CX96" s="57">
        <f t="shared" si="191"/>
        <v>765871</v>
      </c>
      <c r="CY96" s="62">
        <f t="shared" si="192"/>
        <v>560805.48058975581</v>
      </c>
      <c r="CZ96" s="2">
        <v>41</v>
      </c>
      <c r="DA96" s="57">
        <f t="shared" si="196"/>
        <v>0</v>
      </c>
      <c r="DB96" s="62">
        <f t="shared" si="197"/>
        <v>0</v>
      </c>
      <c r="DC96" s="2">
        <v>40</v>
      </c>
      <c r="DD96" s="57">
        <f t="shared" si="202"/>
        <v>0</v>
      </c>
      <c r="DE96" s="62">
        <f t="shared" si="203"/>
        <v>0</v>
      </c>
      <c r="DF96" s="2">
        <v>39</v>
      </c>
      <c r="DG96" s="57">
        <f t="shared" si="209"/>
        <v>0</v>
      </c>
      <c r="DH96" s="62">
        <f t="shared" si="210"/>
        <v>0</v>
      </c>
      <c r="DI96" s="2">
        <v>38</v>
      </c>
      <c r="DJ96" s="57">
        <f t="shared" si="215"/>
        <v>0</v>
      </c>
      <c r="DK96" s="62">
        <f t="shared" si="216"/>
        <v>0</v>
      </c>
      <c r="DL96" s="2">
        <v>37</v>
      </c>
      <c r="DM96" s="57">
        <f t="shared" si="222"/>
        <v>0</v>
      </c>
      <c r="DN96" s="62">
        <f t="shared" si="223"/>
        <v>0</v>
      </c>
      <c r="DO96" s="2">
        <v>36</v>
      </c>
      <c r="DP96" s="57">
        <f t="shared" si="227"/>
        <v>0</v>
      </c>
      <c r="DQ96" s="62">
        <f t="shared" si="228"/>
        <v>0</v>
      </c>
      <c r="DR96" s="2">
        <v>35</v>
      </c>
      <c r="DS96" s="57">
        <f t="shared" si="234"/>
        <v>0</v>
      </c>
      <c r="DT96" s="62">
        <f t="shared" si="235"/>
        <v>0</v>
      </c>
      <c r="DU96" s="2">
        <v>34</v>
      </c>
      <c r="DV96" s="57">
        <f t="shared" si="239"/>
        <v>0</v>
      </c>
      <c r="DW96" s="62">
        <f t="shared" si="240"/>
        <v>0</v>
      </c>
      <c r="DX96" s="2">
        <v>33</v>
      </c>
      <c r="DY96" s="57">
        <f t="shared" si="245"/>
        <v>0</v>
      </c>
      <c r="DZ96" s="62">
        <f t="shared" si="246"/>
        <v>0</v>
      </c>
      <c r="EA96" s="2">
        <v>32</v>
      </c>
      <c r="EB96" s="57">
        <f t="shared" si="109"/>
        <v>0</v>
      </c>
      <c r="EC96" s="62">
        <f t="shared" ref="EC96:EC127" si="252">SUM($G$10*$G$11*EB96*(EXP(-($G$10*EA96))),$G$10*$G$11*EB96*(EXP(-($G$10*(EA96+0.1)))),$G$10*$G$11*EB96*(EXP(-($G$10*(EA96+0.2)))),$G$10*$G$11*EB96*(EXP(-($G$10*(EA96+0.3)))),$G$10*$G$11*EB96*(EXP(-($G$10*(EA96+0.4)))),$G$10*$G$11*EB96*(EXP(-($G$10*(EA96+0.5)))),$G$10*$G$11*EB96*(EXP(-($G$10*(EA96+0.6)))),$G$10*$G$11*EB96*(EXP(-($G$10*(EA96+0.7)))),$G$10*$G$11*EB96*(EXP(-($G$10*(EA96+0.8)))),$G$10*$G$11*EB96*(EXP(-($G$10*(EA96+0.9)))))/10</f>
        <v>0</v>
      </c>
      <c r="ED96" s="2">
        <v>31</v>
      </c>
      <c r="EE96" s="57">
        <f t="shared" si="113"/>
        <v>0</v>
      </c>
      <c r="EF96" s="62">
        <f t="shared" si="110"/>
        <v>0</v>
      </c>
      <c r="EG96" s="2">
        <v>30</v>
      </c>
      <c r="EH96" s="57">
        <f t="shared" si="117"/>
        <v>0</v>
      </c>
      <c r="EI96" s="62">
        <f t="shared" si="114"/>
        <v>0</v>
      </c>
      <c r="EJ96" s="2">
        <v>29</v>
      </c>
      <c r="EK96" s="57">
        <f t="shared" si="121"/>
        <v>0</v>
      </c>
      <c r="EL96" s="62">
        <f t="shared" si="118"/>
        <v>0</v>
      </c>
      <c r="EM96" s="2">
        <v>28</v>
      </c>
      <c r="EN96" s="57">
        <f t="shared" si="125"/>
        <v>0</v>
      </c>
      <c r="EO96" s="62">
        <f t="shared" si="122"/>
        <v>0</v>
      </c>
      <c r="EP96" s="2">
        <v>27</v>
      </c>
      <c r="EQ96" s="57">
        <f t="shared" si="129"/>
        <v>0</v>
      </c>
      <c r="ER96" s="62">
        <f t="shared" si="126"/>
        <v>0</v>
      </c>
      <c r="ES96" s="2">
        <v>26</v>
      </c>
      <c r="ET96" s="57">
        <f t="shared" si="130"/>
        <v>0</v>
      </c>
      <c r="EU96" s="62">
        <f t="shared" si="131"/>
        <v>0</v>
      </c>
      <c r="EV96" s="2">
        <v>25</v>
      </c>
      <c r="EW96" s="57">
        <f t="shared" si="134"/>
        <v>0</v>
      </c>
      <c r="EX96" s="62">
        <f t="shared" si="135"/>
        <v>0</v>
      </c>
      <c r="EY96" s="2">
        <v>24</v>
      </c>
      <c r="EZ96" s="57">
        <f t="shared" si="141"/>
        <v>0</v>
      </c>
      <c r="FA96" s="62">
        <f t="shared" si="138"/>
        <v>0</v>
      </c>
      <c r="FB96" s="2">
        <v>23</v>
      </c>
      <c r="FC96" s="57">
        <f t="shared" si="142"/>
        <v>0</v>
      </c>
      <c r="FD96" s="62">
        <f t="shared" si="143"/>
        <v>0</v>
      </c>
      <c r="FE96" s="2">
        <v>22</v>
      </c>
      <c r="FF96" s="57">
        <f t="shared" si="149"/>
        <v>0</v>
      </c>
      <c r="FG96" s="62">
        <f t="shared" si="146"/>
        <v>0</v>
      </c>
      <c r="FH96" s="2">
        <v>21</v>
      </c>
      <c r="FI96" s="57">
        <f t="shared" si="150"/>
        <v>0</v>
      </c>
      <c r="FJ96" s="62">
        <f t="shared" si="151"/>
        <v>0</v>
      </c>
      <c r="FK96" s="2">
        <v>20</v>
      </c>
      <c r="FL96" s="57">
        <f t="shared" si="157"/>
        <v>0</v>
      </c>
      <c r="FM96" s="62">
        <f t="shared" si="154"/>
        <v>0</v>
      </c>
      <c r="FN96" s="2">
        <v>19</v>
      </c>
      <c r="FO96" s="57">
        <f t="shared" si="158"/>
        <v>0</v>
      </c>
      <c r="FP96" s="62">
        <f t="shared" si="159"/>
        <v>0</v>
      </c>
      <c r="FQ96" s="2">
        <v>18</v>
      </c>
      <c r="FR96" s="57">
        <f t="shared" si="165"/>
        <v>0</v>
      </c>
      <c r="FS96" s="62">
        <f t="shared" si="162"/>
        <v>0</v>
      </c>
      <c r="FT96" s="2">
        <v>17</v>
      </c>
      <c r="FU96" s="57">
        <f t="shared" si="166"/>
        <v>0</v>
      </c>
      <c r="FV96" s="62">
        <f t="shared" si="167"/>
        <v>0</v>
      </c>
      <c r="FW96" s="2">
        <v>16</v>
      </c>
      <c r="FX96" s="57">
        <f t="shared" si="170"/>
        <v>0</v>
      </c>
      <c r="FY96" s="62">
        <f t="shared" si="171"/>
        <v>0</v>
      </c>
      <c r="FZ96" s="2">
        <v>15</v>
      </c>
      <c r="GA96" s="57">
        <f t="shared" si="177"/>
        <v>0</v>
      </c>
      <c r="GB96" s="62">
        <f t="shared" si="174"/>
        <v>0</v>
      </c>
      <c r="GC96" s="2">
        <v>14</v>
      </c>
      <c r="GD96" s="57">
        <f t="shared" si="178"/>
        <v>0</v>
      </c>
      <c r="GE96" s="62">
        <f t="shared" si="179"/>
        <v>0</v>
      </c>
      <c r="GF96" s="2">
        <v>13</v>
      </c>
      <c r="GG96" s="57">
        <f t="shared" si="185"/>
        <v>0</v>
      </c>
      <c r="GH96" s="62">
        <f t="shared" si="182"/>
        <v>0</v>
      </c>
      <c r="GI96" s="2">
        <v>12</v>
      </c>
      <c r="GJ96" s="57">
        <f t="shared" si="186"/>
        <v>0</v>
      </c>
      <c r="GK96" s="62">
        <f t="shared" si="187"/>
        <v>0</v>
      </c>
      <c r="GL96" s="2">
        <v>11</v>
      </c>
      <c r="GM96" s="57">
        <f t="shared" si="193"/>
        <v>0</v>
      </c>
      <c r="GN96" s="62">
        <f t="shared" si="190"/>
        <v>0</v>
      </c>
      <c r="GO96" s="2">
        <v>10</v>
      </c>
      <c r="GP96" s="57">
        <f t="shared" si="194"/>
        <v>0</v>
      </c>
      <c r="GQ96" s="62">
        <f t="shared" si="195"/>
        <v>0</v>
      </c>
      <c r="GR96" s="2">
        <v>9</v>
      </c>
      <c r="GS96" s="57">
        <f t="shared" si="204"/>
        <v>0</v>
      </c>
      <c r="GT96" s="62">
        <f t="shared" si="198"/>
        <v>0</v>
      </c>
      <c r="GU96" s="2">
        <v>8</v>
      </c>
      <c r="GV96" s="57">
        <f t="shared" si="205"/>
        <v>0</v>
      </c>
      <c r="GW96" s="62">
        <f t="shared" si="206"/>
        <v>0</v>
      </c>
      <c r="GX96" s="2">
        <v>7</v>
      </c>
      <c r="GY96" s="57">
        <f t="shared" si="217"/>
        <v>0</v>
      </c>
      <c r="GZ96" s="62">
        <f t="shared" si="211"/>
        <v>0</v>
      </c>
      <c r="HA96" s="2">
        <v>6</v>
      </c>
      <c r="HB96" s="57">
        <f t="shared" si="218"/>
        <v>0</v>
      </c>
      <c r="HC96" s="62">
        <f t="shared" si="219"/>
        <v>0</v>
      </c>
      <c r="HD96" s="2">
        <v>5</v>
      </c>
      <c r="HE96" s="57">
        <f t="shared" si="229"/>
        <v>0</v>
      </c>
      <c r="HF96" s="62">
        <f t="shared" si="224"/>
        <v>0</v>
      </c>
      <c r="HG96" s="2">
        <v>4</v>
      </c>
      <c r="HH96" s="57">
        <f t="shared" si="230"/>
        <v>0</v>
      </c>
      <c r="HI96" s="62">
        <f t="shared" si="231"/>
        <v>0</v>
      </c>
      <c r="HJ96" s="2">
        <v>3</v>
      </c>
      <c r="HK96" s="57">
        <f t="shared" si="241"/>
        <v>0</v>
      </c>
      <c r="HL96" s="62">
        <f t="shared" si="236"/>
        <v>0</v>
      </c>
      <c r="HM96" s="2">
        <v>2</v>
      </c>
      <c r="HN96" s="57">
        <f t="shared" si="247"/>
        <v>0</v>
      </c>
      <c r="HO96" s="62">
        <f t="shared" si="242"/>
        <v>0</v>
      </c>
      <c r="HP96" s="2">
        <v>1</v>
      </c>
      <c r="HQ96" s="57">
        <f t="shared" si="248"/>
        <v>0</v>
      </c>
      <c r="HR96" s="62">
        <f t="shared" si="249"/>
        <v>0</v>
      </c>
      <c r="HS96" s="2">
        <v>0</v>
      </c>
      <c r="HT96" s="57">
        <f>$E$95</f>
        <v>0</v>
      </c>
      <c r="HU96" s="62">
        <f t="shared" ref="HU96:HU127" si="253">SUM($G$10*$G$11*HT96*(EXP(-($G$10*HS96))),$G$10*$G$11*HT96*(EXP(-($G$10*(HS96+0.1)))),$G$10*$G$11*HT96*(EXP(-($G$10*(HS96+0.2)))),$G$10*$G$11*HT96*(EXP(-($G$10*(HS96+0.3)))),$G$10*$G$11*HT96*(EXP(-($G$10*(HS96+0.4)))),$G$10*$G$11*HT96*(EXP(-($G$10*(HS96+0.5)))),$G$10*$G$11*HT96*(EXP(-($G$10*(HS96+0.6)))),$G$10*$G$11*HT96*(EXP(-($G$10*(HS96+0.7)))),$G$10*$G$11*HT96*(EXP(-($G$10*(HS96+0.8)))),$G$10*$G$11*HT96*(EXP(-($G$10*(HS96+0.9)))))/10</f>
        <v>0</v>
      </c>
      <c r="HV96" s="1"/>
      <c r="HW96" s="1"/>
      <c r="HX96" s="1"/>
      <c r="HY96" s="1"/>
      <c r="HZ96" s="1"/>
      <c r="IA96" s="1"/>
      <c r="IB96" s="1"/>
      <c r="IC96" s="1"/>
      <c r="ID96" s="1"/>
      <c r="IE96" s="1"/>
      <c r="IF96" s="1"/>
      <c r="IG96" s="1"/>
      <c r="IH96" s="1"/>
      <c r="II96" s="1"/>
      <c r="IJ96" s="1"/>
      <c r="IK96" s="1"/>
      <c r="IL96" s="1"/>
      <c r="IM96" s="1"/>
      <c r="IN96" s="1"/>
      <c r="IO96" s="1"/>
      <c r="IP96" s="1"/>
    </row>
    <row r="97" spans="2:250">
      <c r="B97" s="56">
        <f>'USER INPUTS'!J82</f>
        <v>2092</v>
      </c>
      <c r="C97" s="420">
        <f>IF(OR(AND(ClosureCalcYes=TRUE,WasteCapacity=""),AND(ClosureCalcYes=FALSE,ClosureYear="")),0,IF('USER INPUTS'!K82&gt;0,IF('USER INPUTS'!$K$4="Mg/year",'USER INPUTS'!K82,'USER INPUTS'!L82),0))</f>
        <v>0</v>
      </c>
      <c r="D97" s="420">
        <f t="shared" si="97"/>
        <v>12946986</v>
      </c>
      <c r="E97" s="420">
        <f>IF(ClosureCalcYes=FALSE,IF(AND(B97&lt;ClosureYear,C97=0,SUM(C97:$C$102)=0),$D$13,IF(B97&lt;=ClosureYear,C97,0)),IF(B97=$D$16,($D$14-F97),IF(B97&lt;$D$16,IF(SUM(C97:$C$102)=0,$D$13,C97),0)))</f>
        <v>0</v>
      </c>
      <c r="F97" s="66">
        <f t="shared" si="98"/>
        <v>12946986</v>
      </c>
      <c r="G97" s="284">
        <f>IF(SUM(C98:$C$101)=0,C97,0)</f>
        <v>0</v>
      </c>
      <c r="H97" s="284">
        <f t="shared" si="99"/>
        <v>0</v>
      </c>
      <c r="I97" s="2">
        <f t="shared" si="212"/>
        <v>2092</v>
      </c>
      <c r="J97" s="379">
        <f t="shared" si="199"/>
        <v>6071184.5589140588</v>
      </c>
      <c r="K97" s="2">
        <v>73</v>
      </c>
      <c r="L97" s="57">
        <f t="shared" si="200"/>
        <v>189082</v>
      </c>
      <c r="M97" s="62">
        <f t="shared" si="201"/>
        <v>40066.52283562602</v>
      </c>
      <c r="N97" s="2">
        <v>72</v>
      </c>
      <c r="O97" s="57">
        <f t="shared" si="207"/>
        <v>293489</v>
      </c>
      <c r="P97" s="62">
        <f t="shared" si="208"/>
        <v>64728.430156926435</v>
      </c>
      <c r="Q97" s="2">
        <v>71</v>
      </c>
      <c r="R97" s="57">
        <f t="shared" si="213"/>
        <v>283523</v>
      </c>
      <c r="S97" s="62">
        <f t="shared" si="214"/>
        <v>65082.364171893954</v>
      </c>
      <c r="T97" s="2">
        <v>70</v>
      </c>
      <c r="U97" s="57">
        <f t="shared" si="220"/>
        <v>143321</v>
      </c>
      <c r="V97" s="62">
        <f t="shared" si="221"/>
        <v>34241.803768362683</v>
      </c>
      <c r="W97" s="2">
        <v>69</v>
      </c>
      <c r="X97" s="57">
        <f t="shared" si="225"/>
        <v>227851</v>
      </c>
      <c r="Y97" s="62">
        <f t="shared" si="226"/>
        <v>56659.080550585757</v>
      </c>
      <c r="Z97" s="2">
        <v>68</v>
      </c>
      <c r="AA97" s="57">
        <f t="shared" si="232"/>
        <v>238727</v>
      </c>
      <c r="AB97" s="62">
        <f t="shared" si="233"/>
        <v>61786.259396060268</v>
      </c>
      <c r="AC97" s="2">
        <v>67</v>
      </c>
      <c r="AD97" s="57">
        <f t="shared" si="237"/>
        <v>250122</v>
      </c>
      <c r="AE97" s="62">
        <f t="shared" si="238"/>
        <v>67377.366913932783</v>
      </c>
      <c r="AF97" s="2">
        <v>66</v>
      </c>
      <c r="AG97" s="57">
        <f t="shared" si="243"/>
        <v>262060</v>
      </c>
      <c r="AH97" s="62">
        <f t="shared" si="244"/>
        <v>73474.164821958126</v>
      </c>
      <c r="AI97" s="2">
        <v>65</v>
      </c>
      <c r="AJ97" s="57">
        <f t="shared" si="250"/>
        <v>274569</v>
      </c>
      <c r="AK97" s="62">
        <f t="shared" si="251"/>
        <v>80123.000142850011</v>
      </c>
      <c r="AL97" s="2">
        <v>64</v>
      </c>
      <c r="AM97" s="57">
        <f t="shared" ref="AM97:AM160" si="254">$E$32</f>
        <v>287675</v>
      </c>
      <c r="AN97" s="62">
        <f t="shared" ref="AN97:AN128" si="255">SUM($G$10*$G$11*AM97*(EXP(-($G$10*AL97))),$G$10*$G$11*AM97*(EXP(-($G$10*(AL97+0.1)))),$G$10*$G$11*AM97*(EXP(-($G$10*(AL97+0.2)))),$G$10*$G$11*AM97*(EXP(-($G$10*(AL97+0.3)))),$G$10*$G$11*AM97*(EXP(-($G$10*(AL97+0.4)))),$G$10*$G$11*AM97*(EXP(-($G$10*(AL97+0.5)))),$G$10*$G$11*AM97*(EXP(-($G$10*(AL97+0.6)))),$G$10*$G$11*AM97*(EXP(-($G$10*(AL97+0.7)))),$G$10*$G$11*AM97*(EXP(-($G$10*(AL97+0.8)))),$G$10*$G$11*AM97*(EXP(-($G$10*(AL97+0.9)))))/10</f>
        <v>87373.47360586733</v>
      </c>
      <c r="AO97" s="2">
        <v>63</v>
      </c>
      <c r="AP97" s="57">
        <f t="shared" si="111"/>
        <v>301406</v>
      </c>
      <c r="AQ97" s="62">
        <f t="shared" si="112"/>
        <v>95279.869302466919</v>
      </c>
      <c r="AR97" s="2">
        <v>62</v>
      </c>
      <c r="AS97" s="57">
        <f t="shared" si="115"/>
        <v>315793</v>
      </c>
      <c r="AT97" s="62">
        <f t="shared" si="116"/>
        <v>103901.91154630296</v>
      </c>
      <c r="AU97" s="2">
        <v>61</v>
      </c>
      <c r="AV97" s="57">
        <f t="shared" si="119"/>
        <v>330866</v>
      </c>
      <c r="AW97" s="62">
        <f t="shared" si="120"/>
        <v>113303.92611356589</v>
      </c>
      <c r="AX97" s="2">
        <v>60</v>
      </c>
      <c r="AY97" s="57">
        <f t="shared" si="123"/>
        <v>346659</v>
      </c>
      <c r="AZ97" s="62">
        <f t="shared" si="124"/>
        <v>123556.92092549782</v>
      </c>
      <c r="BA97" s="2">
        <v>59</v>
      </c>
      <c r="BB97" s="57">
        <f t="shared" si="127"/>
        <v>363206</v>
      </c>
      <c r="BC97" s="62">
        <f t="shared" si="128"/>
        <v>134737.78100044807</v>
      </c>
      <c r="BD97" s="2">
        <v>58</v>
      </c>
      <c r="BE97" s="57">
        <f t="shared" si="132"/>
        <v>380542</v>
      </c>
      <c r="BF97" s="62">
        <f t="shared" si="133"/>
        <v>146930.09251170984</v>
      </c>
      <c r="BG97" s="2">
        <v>57</v>
      </c>
      <c r="BH97" s="57">
        <f t="shared" si="136"/>
        <v>398706</v>
      </c>
      <c r="BI97" s="62">
        <f t="shared" si="137"/>
        <v>160225.89502317153</v>
      </c>
      <c r="BJ97" s="2">
        <v>56</v>
      </c>
      <c r="BK97" s="57">
        <f t="shared" si="139"/>
        <v>417737</v>
      </c>
      <c r="BL97" s="62">
        <f t="shared" si="140"/>
        <v>174724.84253245819</v>
      </c>
      <c r="BM97" s="2">
        <v>55</v>
      </c>
      <c r="BN97" s="57">
        <f t="shared" si="144"/>
        <v>437677</v>
      </c>
      <c r="BO97" s="62">
        <f t="shared" si="145"/>
        <v>190536.07670018272</v>
      </c>
      <c r="BP97" s="2">
        <v>54</v>
      </c>
      <c r="BQ97" s="57">
        <f t="shared" si="147"/>
        <v>458568</v>
      </c>
      <c r="BR97" s="62">
        <f t="shared" si="148"/>
        <v>207777.73998798683</v>
      </c>
      <c r="BS97" s="2">
        <v>53</v>
      </c>
      <c r="BT97" s="57">
        <f t="shared" si="152"/>
        <v>480456</v>
      </c>
      <c r="BU97" s="62">
        <f t="shared" si="153"/>
        <v>226579.53091718984</v>
      </c>
      <c r="BV97" s="2">
        <v>52</v>
      </c>
      <c r="BW97" s="57">
        <f t="shared" si="155"/>
        <v>503389</v>
      </c>
      <c r="BX97" s="62">
        <f t="shared" si="156"/>
        <v>247082.82178225188</v>
      </c>
      <c r="BY97" s="2">
        <v>51</v>
      </c>
      <c r="BZ97" s="57">
        <f t="shared" si="160"/>
        <v>527417</v>
      </c>
      <c r="CA97" s="62">
        <f t="shared" si="161"/>
        <v>269441.65333623509</v>
      </c>
      <c r="CB97" s="2">
        <v>50</v>
      </c>
      <c r="CC97" s="57">
        <f t="shared" si="163"/>
        <v>552592</v>
      </c>
      <c r="CD97" s="62">
        <f t="shared" si="164"/>
        <v>293823.80812451238</v>
      </c>
      <c r="CE97" s="2">
        <v>49</v>
      </c>
      <c r="CF97" s="57">
        <f t="shared" si="168"/>
        <v>578968</v>
      </c>
      <c r="CG97" s="62">
        <f t="shared" si="169"/>
        <v>320411.96824636648</v>
      </c>
      <c r="CH97" s="2">
        <v>48</v>
      </c>
      <c r="CI97" s="57">
        <f t="shared" si="172"/>
        <v>606603</v>
      </c>
      <c r="CJ97" s="62">
        <f t="shared" si="173"/>
        <v>349406.11573163874</v>
      </c>
      <c r="CK97" s="2">
        <v>47</v>
      </c>
      <c r="CL97" s="57">
        <f t="shared" si="175"/>
        <v>635558</v>
      </c>
      <c r="CM97" s="62">
        <f t="shared" si="176"/>
        <v>381024.51367648877</v>
      </c>
      <c r="CN97" s="2">
        <v>46</v>
      </c>
      <c r="CO97" s="57">
        <f t="shared" si="180"/>
        <v>665894</v>
      </c>
      <c r="CP97" s="62">
        <f t="shared" si="181"/>
        <v>415503.42566606263</v>
      </c>
      <c r="CQ97" s="2">
        <v>45</v>
      </c>
      <c r="CR97" s="57">
        <f t="shared" si="183"/>
        <v>697679</v>
      </c>
      <c r="CS97" s="62">
        <f t="shared" si="184"/>
        <v>453102.99960164138</v>
      </c>
      <c r="CT97" s="2">
        <v>44</v>
      </c>
      <c r="CU97" s="57">
        <f t="shared" si="188"/>
        <v>730980</v>
      </c>
      <c r="CV97" s="62">
        <f t="shared" si="189"/>
        <v>494104.21665443701</v>
      </c>
      <c r="CW97" s="2">
        <v>43</v>
      </c>
      <c r="CX97" s="57">
        <f t="shared" si="191"/>
        <v>765871</v>
      </c>
      <c r="CY97" s="62">
        <f t="shared" si="192"/>
        <v>538815.98316938046</v>
      </c>
      <c r="CZ97" s="2">
        <v>42</v>
      </c>
      <c r="DA97" s="57">
        <f t="shared" si="196"/>
        <v>0</v>
      </c>
      <c r="DB97" s="62">
        <f t="shared" si="197"/>
        <v>0</v>
      </c>
      <c r="DC97" s="2">
        <v>41</v>
      </c>
      <c r="DD97" s="57">
        <f t="shared" si="202"/>
        <v>0</v>
      </c>
      <c r="DE97" s="62">
        <f t="shared" si="203"/>
        <v>0</v>
      </c>
      <c r="DF97" s="2">
        <v>40</v>
      </c>
      <c r="DG97" s="57">
        <f t="shared" si="209"/>
        <v>0</v>
      </c>
      <c r="DH97" s="62">
        <f t="shared" si="210"/>
        <v>0</v>
      </c>
      <c r="DI97" s="2">
        <v>39</v>
      </c>
      <c r="DJ97" s="57">
        <f t="shared" si="215"/>
        <v>0</v>
      </c>
      <c r="DK97" s="62">
        <f t="shared" si="216"/>
        <v>0</v>
      </c>
      <c r="DL97" s="2">
        <v>38</v>
      </c>
      <c r="DM97" s="57">
        <f t="shared" si="222"/>
        <v>0</v>
      </c>
      <c r="DN97" s="62">
        <f t="shared" si="223"/>
        <v>0</v>
      </c>
      <c r="DO97" s="2">
        <v>37</v>
      </c>
      <c r="DP97" s="57">
        <f t="shared" si="227"/>
        <v>0</v>
      </c>
      <c r="DQ97" s="62">
        <f t="shared" si="228"/>
        <v>0</v>
      </c>
      <c r="DR97" s="2">
        <v>36</v>
      </c>
      <c r="DS97" s="57">
        <f t="shared" si="234"/>
        <v>0</v>
      </c>
      <c r="DT97" s="62">
        <f t="shared" si="235"/>
        <v>0</v>
      </c>
      <c r="DU97" s="2">
        <v>35</v>
      </c>
      <c r="DV97" s="57">
        <f t="shared" si="239"/>
        <v>0</v>
      </c>
      <c r="DW97" s="62">
        <f t="shared" si="240"/>
        <v>0</v>
      </c>
      <c r="DX97" s="2">
        <v>34</v>
      </c>
      <c r="DY97" s="57">
        <f t="shared" si="245"/>
        <v>0</v>
      </c>
      <c r="DZ97" s="62">
        <f t="shared" si="246"/>
        <v>0</v>
      </c>
      <c r="EA97" s="2">
        <v>33</v>
      </c>
      <c r="EB97" s="57">
        <f t="shared" si="109"/>
        <v>0</v>
      </c>
      <c r="EC97" s="62">
        <f t="shared" si="252"/>
        <v>0</v>
      </c>
      <c r="ED97" s="2">
        <v>32</v>
      </c>
      <c r="EE97" s="57">
        <f t="shared" si="113"/>
        <v>0</v>
      </c>
      <c r="EF97" s="62">
        <f t="shared" ref="EF97:EF128" si="256">SUM($G$10*$G$11*EE97*(EXP(-($G$10*ED97))),$G$10*$G$11*EE97*(EXP(-($G$10*(ED97+0.1)))),$G$10*$G$11*EE97*(EXP(-($G$10*(ED97+0.2)))),$G$10*$G$11*EE97*(EXP(-($G$10*(ED97+0.3)))),$G$10*$G$11*EE97*(EXP(-($G$10*(ED97+0.4)))),$G$10*$G$11*EE97*(EXP(-($G$10*(ED97+0.5)))),$G$10*$G$11*EE97*(EXP(-($G$10*(ED97+0.6)))),$G$10*$G$11*EE97*(EXP(-($G$10*(ED97+0.7)))),$G$10*$G$11*EE97*(EXP(-($G$10*(ED97+0.8)))),$G$10*$G$11*EE97*(EXP(-($G$10*(ED97+0.9)))))/10</f>
        <v>0</v>
      </c>
      <c r="EG97" s="2">
        <v>31</v>
      </c>
      <c r="EH97" s="57">
        <f t="shared" si="117"/>
        <v>0</v>
      </c>
      <c r="EI97" s="62">
        <f t="shared" si="114"/>
        <v>0</v>
      </c>
      <c r="EJ97" s="2">
        <v>30</v>
      </c>
      <c r="EK97" s="57">
        <f t="shared" si="121"/>
        <v>0</v>
      </c>
      <c r="EL97" s="62">
        <f t="shared" si="118"/>
        <v>0</v>
      </c>
      <c r="EM97" s="2">
        <v>29</v>
      </c>
      <c r="EN97" s="57">
        <f t="shared" si="125"/>
        <v>0</v>
      </c>
      <c r="EO97" s="62">
        <f t="shared" si="122"/>
        <v>0</v>
      </c>
      <c r="EP97" s="2">
        <v>28</v>
      </c>
      <c r="EQ97" s="57">
        <f t="shared" si="129"/>
        <v>0</v>
      </c>
      <c r="ER97" s="62">
        <f t="shared" si="126"/>
        <v>0</v>
      </c>
      <c r="ES97" s="2">
        <v>27</v>
      </c>
      <c r="ET97" s="57">
        <f t="shared" si="130"/>
        <v>0</v>
      </c>
      <c r="EU97" s="62">
        <f t="shared" si="131"/>
        <v>0</v>
      </c>
      <c r="EV97" s="2">
        <v>26</v>
      </c>
      <c r="EW97" s="57">
        <f t="shared" si="134"/>
        <v>0</v>
      </c>
      <c r="EX97" s="62">
        <f t="shared" si="135"/>
        <v>0</v>
      </c>
      <c r="EY97" s="2">
        <v>25</v>
      </c>
      <c r="EZ97" s="57">
        <f t="shared" si="141"/>
        <v>0</v>
      </c>
      <c r="FA97" s="62">
        <f t="shared" si="138"/>
        <v>0</v>
      </c>
      <c r="FB97" s="2">
        <v>24</v>
      </c>
      <c r="FC97" s="57">
        <f t="shared" si="142"/>
        <v>0</v>
      </c>
      <c r="FD97" s="62">
        <f t="shared" si="143"/>
        <v>0</v>
      </c>
      <c r="FE97" s="2">
        <v>23</v>
      </c>
      <c r="FF97" s="57">
        <f t="shared" si="149"/>
        <v>0</v>
      </c>
      <c r="FG97" s="62">
        <f t="shared" si="146"/>
        <v>0</v>
      </c>
      <c r="FH97" s="2">
        <v>22</v>
      </c>
      <c r="FI97" s="57">
        <f t="shared" si="150"/>
        <v>0</v>
      </c>
      <c r="FJ97" s="62">
        <f t="shared" si="151"/>
        <v>0</v>
      </c>
      <c r="FK97" s="2">
        <v>21</v>
      </c>
      <c r="FL97" s="57">
        <f t="shared" si="157"/>
        <v>0</v>
      </c>
      <c r="FM97" s="62">
        <f t="shared" si="154"/>
        <v>0</v>
      </c>
      <c r="FN97" s="2">
        <v>20</v>
      </c>
      <c r="FO97" s="57">
        <f t="shared" si="158"/>
        <v>0</v>
      </c>
      <c r="FP97" s="62">
        <f t="shared" si="159"/>
        <v>0</v>
      </c>
      <c r="FQ97" s="2">
        <v>19</v>
      </c>
      <c r="FR97" s="57">
        <f t="shared" si="165"/>
        <v>0</v>
      </c>
      <c r="FS97" s="62">
        <f t="shared" si="162"/>
        <v>0</v>
      </c>
      <c r="FT97" s="2">
        <v>18</v>
      </c>
      <c r="FU97" s="57">
        <f t="shared" si="166"/>
        <v>0</v>
      </c>
      <c r="FV97" s="62">
        <f t="shared" si="167"/>
        <v>0</v>
      </c>
      <c r="FW97" s="2">
        <v>17</v>
      </c>
      <c r="FX97" s="57">
        <f t="shared" si="170"/>
        <v>0</v>
      </c>
      <c r="FY97" s="62">
        <f t="shared" si="171"/>
        <v>0</v>
      </c>
      <c r="FZ97" s="2">
        <v>16</v>
      </c>
      <c r="GA97" s="57">
        <f t="shared" si="177"/>
        <v>0</v>
      </c>
      <c r="GB97" s="62">
        <f t="shared" si="174"/>
        <v>0</v>
      </c>
      <c r="GC97" s="2">
        <v>15</v>
      </c>
      <c r="GD97" s="57">
        <f t="shared" si="178"/>
        <v>0</v>
      </c>
      <c r="GE97" s="62">
        <f t="shared" si="179"/>
        <v>0</v>
      </c>
      <c r="GF97" s="2">
        <v>14</v>
      </c>
      <c r="GG97" s="57">
        <f t="shared" si="185"/>
        <v>0</v>
      </c>
      <c r="GH97" s="62">
        <f t="shared" si="182"/>
        <v>0</v>
      </c>
      <c r="GI97" s="2">
        <v>13</v>
      </c>
      <c r="GJ97" s="57">
        <f t="shared" si="186"/>
        <v>0</v>
      </c>
      <c r="GK97" s="62">
        <f t="shared" si="187"/>
        <v>0</v>
      </c>
      <c r="GL97" s="2">
        <v>12</v>
      </c>
      <c r="GM97" s="57">
        <f t="shared" si="193"/>
        <v>0</v>
      </c>
      <c r="GN97" s="62">
        <f t="shared" si="190"/>
        <v>0</v>
      </c>
      <c r="GO97" s="2">
        <v>11</v>
      </c>
      <c r="GP97" s="57">
        <f t="shared" si="194"/>
        <v>0</v>
      </c>
      <c r="GQ97" s="62">
        <f t="shared" si="195"/>
        <v>0</v>
      </c>
      <c r="GR97" s="2">
        <v>10</v>
      </c>
      <c r="GS97" s="57">
        <f t="shared" si="204"/>
        <v>0</v>
      </c>
      <c r="GT97" s="62">
        <f t="shared" si="198"/>
        <v>0</v>
      </c>
      <c r="GU97" s="2">
        <v>9</v>
      </c>
      <c r="GV97" s="57">
        <f t="shared" si="205"/>
        <v>0</v>
      </c>
      <c r="GW97" s="62">
        <f t="shared" si="206"/>
        <v>0</v>
      </c>
      <c r="GX97" s="2">
        <v>8</v>
      </c>
      <c r="GY97" s="57">
        <f t="shared" si="217"/>
        <v>0</v>
      </c>
      <c r="GZ97" s="62">
        <f t="shared" si="211"/>
        <v>0</v>
      </c>
      <c r="HA97" s="2">
        <v>7</v>
      </c>
      <c r="HB97" s="57">
        <f t="shared" si="218"/>
        <v>0</v>
      </c>
      <c r="HC97" s="62">
        <f t="shared" si="219"/>
        <v>0</v>
      </c>
      <c r="HD97" s="2">
        <v>6</v>
      </c>
      <c r="HE97" s="57">
        <f t="shared" si="229"/>
        <v>0</v>
      </c>
      <c r="HF97" s="62">
        <f t="shared" si="224"/>
        <v>0</v>
      </c>
      <c r="HG97" s="2">
        <v>5</v>
      </c>
      <c r="HH97" s="57">
        <f t="shared" si="230"/>
        <v>0</v>
      </c>
      <c r="HI97" s="62">
        <f t="shared" si="231"/>
        <v>0</v>
      </c>
      <c r="HJ97" s="2">
        <v>4</v>
      </c>
      <c r="HK97" s="57">
        <f t="shared" si="241"/>
        <v>0</v>
      </c>
      <c r="HL97" s="62">
        <f t="shared" si="236"/>
        <v>0</v>
      </c>
      <c r="HM97" s="2">
        <v>3</v>
      </c>
      <c r="HN97" s="57">
        <f t="shared" si="247"/>
        <v>0</v>
      </c>
      <c r="HO97" s="62">
        <f t="shared" si="242"/>
        <v>0</v>
      </c>
      <c r="HP97" s="2">
        <v>2</v>
      </c>
      <c r="HQ97" s="57">
        <f t="shared" si="248"/>
        <v>0</v>
      </c>
      <c r="HR97" s="62">
        <f t="shared" si="249"/>
        <v>0</v>
      </c>
      <c r="HS97" s="2">
        <v>1</v>
      </c>
      <c r="HT97" s="57">
        <f t="shared" ref="HT97:HT160" si="257">$E$95</f>
        <v>0</v>
      </c>
      <c r="HU97" s="62">
        <f t="shared" si="253"/>
        <v>0</v>
      </c>
      <c r="HV97" s="2">
        <v>0</v>
      </c>
      <c r="HW97" s="57">
        <f t="shared" ref="HW97:HW160" si="258">$E$96</f>
        <v>0</v>
      </c>
      <c r="HX97" s="62">
        <f t="shared" ref="HX97:HX128" si="259">SUM($G$10*$G$11*HW97*(EXP(-($G$10*HV97))),$G$10*$G$11*HW97*(EXP(-($G$10*(HV97+0.1)))),$G$10*$G$11*HW97*(EXP(-($G$10*(HV97+0.2)))),$G$10*$G$11*HW97*(EXP(-($G$10*(HV97+0.3)))),$G$10*$G$11*HW97*(EXP(-($G$10*(HV97+0.4)))),$G$10*$G$11*HW97*(EXP(-($G$10*(HV97+0.5)))),$G$10*$G$11*HW97*(EXP(-($G$10*(HV97+0.6)))),$G$10*$G$11*HW97*(EXP(-($G$10*(HV97+0.7)))),$G$10*$G$11*HW97*(EXP(-($G$10*(HV97+0.8)))),$G$10*$G$11*HW97*(EXP(-($G$10*(HV97+0.9)))))/10</f>
        <v>0</v>
      </c>
      <c r="HY97" s="1"/>
      <c r="HZ97" s="1"/>
      <c r="IA97" s="1"/>
      <c r="IB97" s="1"/>
      <c r="IC97" s="1"/>
      <c r="ID97" s="1"/>
      <c r="IE97" s="1"/>
      <c r="IF97" s="1"/>
      <c r="IG97" s="1"/>
      <c r="IH97" s="1"/>
      <c r="II97" s="1"/>
      <c r="IJ97" s="1"/>
      <c r="IK97" s="1"/>
      <c r="IL97" s="1"/>
      <c r="IM97" s="1"/>
      <c r="IN97" s="1"/>
      <c r="IO97" s="1"/>
      <c r="IP97" s="1"/>
    </row>
    <row r="98" spans="2:250">
      <c r="B98" s="56">
        <f>'USER INPUTS'!J83</f>
        <v>2093</v>
      </c>
      <c r="C98" s="420">
        <f>IF(OR(AND(ClosureCalcYes=TRUE,WasteCapacity=""),AND(ClosureCalcYes=FALSE,ClosureYear="")),0,IF('USER INPUTS'!K83&gt;0,IF('USER INPUTS'!$K$4="Mg/year",'USER INPUTS'!K83,'USER INPUTS'!L83),0))</f>
        <v>0</v>
      </c>
      <c r="D98" s="420">
        <f t="shared" si="97"/>
        <v>12946986</v>
      </c>
      <c r="E98" s="420">
        <f>IF(ClosureCalcYes=FALSE,IF(AND(B98&lt;ClosureYear,C98=0,SUM(C98:$C$102)=0),$D$13,IF(B98&lt;=ClosureYear,C98,0)),IF(B98=$D$16,($D$14-F98),IF(B98&lt;$D$16,IF(SUM(C98:$C$102)=0,$D$13,C98),0)))</f>
        <v>0</v>
      </c>
      <c r="F98" s="66">
        <f t="shared" si="98"/>
        <v>12946986</v>
      </c>
      <c r="G98" s="284">
        <f>IF(SUM(C99:$C$101)=0,C98,0)</f>
        <v>0</v>
      </c>
      <c r="H98" s="284">
        <f t="shared" si="99"/>
        <v>0</v>
      </c>
      <c r="I98" s="2">
        <f t="shared" si="212"/>
        <v>2093</v>
      </c>
      <c r="J98" s="379">
        <f t="shared" si="199"/>
        <v>5833130.0073492825</v>
      </c>
      <c r="K98" s="2">
        <v>74</v>
      </c>
      <c r="L98" s="57">
        <f t="shared" si="200"/>
        <v>189082</v>
      </c>
      <c r="M98" s="62">
        <f t="shared" si="201"/>
        <v>38495.492004024869</v>
      </c>
      <c r="N98" s="2">
        <v>73</v>
      </c>
      <c r="O98" s="57">
        <f t="shared" si="207"/>
        <v>293489</v>
      </c>
      <c r="P98" s="62">
        <f t="shared" si="208"/>
        <v>62190.392107683663</v>
      </c>
      <c r="Q98" s="2">
        <v>72</v>
      </c>
      <c r="R98" s="57">
        <f t="shared" si="213"/>
        <v>283523</v>
      </c>
      <c r="S98" s="62">
        <f t="shared" si="214"/>
        <v>62530.448171421231</v>
      </c>
      <c r="T98" s="2">
        <v>71</v>
      </c>
      <c r="U98" s="57">
        <f t="shared" si="220"/>
        <v>143321</v>
      </c>
      <c r="V98" s="62">
        <f t="shared" si="221"/>
        <v>32899.163438169082</v>
      </c>
      <c r="W98" s="2">
        <v>70</v>
      </c>
      <c r="X98" s="57">
        <f t="shared" si="225"/>
        <v>227851</v>
      </c>
      <c r="Y98" s="62">
        <f t="shared" si="226"/>
        <v>54437.446225083593</v>
      </c>
      <c r="Z98" s="2">
        <v>69</v>
      </c>
      <c r="AA98" s="57">
        <f t="shared" si="232"/>
        <v>238727</v>
      </c>
      <c r="AB98" s="62">
        <f t="shared" si="233"/>
        <v>59363.585512460719</v>
      </c>
      <c r="AC98" s="2">
        <v>68</v>
      </c>
      <c r="AD98" s="57">
        <f t="shared" si="237"/>
        <v>250122</v>
      </c>
      <c r="AE98" s="62">
        <f t="shared" si="238"/>
        <v>64735.462568797775</v>
      </c>
      <c r="AF98" s="2">
        <v>67</v>
      </c>
      <c r="AG98" s="57">
        <f t="shared" si="243"/>
        <v>262060</v>
      </c>
      <c r="AH98" s="62">
        <f t="shared" si="244"/>
        <v>70593.201611474506</v>
      </c>
      <c r="AI98" s="2">
        <v>66</v>
      </c>
      <c r="AJ98" s="57">
        <f t="shared" si="250"/>
        <v>274569</v>
      </c>
      <c r="AK98" s="62">
        <f t="shared" si="251"/>
        <v>76981.332370450371</v>
      </c>
      <c r="AL98" s="2">
        <v>65</v>
      </c>
      <c r="AM98" s="57">
        <f t="shared" si="254"/>
        <v>287675</v>
      </c>
      <c r="AN98" s="62">
        <f t="shared" si="255"/>
        <v>83947.51070257157</v>
      </c>
      <c r="AO98" s="2">
        <v>64</v>
      </c>
      <c r="AP98" s="57">
        <f t="shared" ref="AP98:AP161" si="260">$E$33</f>
        <v>301406</v>
      </c>
      <c r="AQ98" s="62">
        <f t="shared" ref="AQ98:AQ129" si="261">SUM($G$10*$G$11*AP98*(EXP(-($G$10*AO98))),$G$10*$G$11*AP98*(EXP(-($G$10*(AO98+0.1)))),$G$10*$G$11*AP98*(EXP(-($G$10*(AO98+0.2)))),$G$10*$G$11*AP98*(EXP(-($G$10*(AO98+0.3)))),$G$10*$G$11*AP98*(EXP(-($G$10*(AO98+0.4)))),$G$10*$G$11*AP98*(EXP(-($G$10*(AO98+0.5)))),$G$10*$G$11*AP98*(EXP(-($G$10*(AO98+0.6)))),$G$10*$G$11*AP98*(EXP(-($G$10*(AO98+0.7)))),$G$10*$G$11*AP98*(EXP(-($G$10*(AO98+0.8)))),$G$10*$G$11*AP98*(EXP(-($G$10*(AO98+0.9)))))/10</f>
        <v>91543.892189623846</v>
      </c>
      <c r="AR98" s="2">
        <v>63</v>
      </c>
      <c r="AS98" s="57">
        <f t="shared" si="115"/>
        <v>315793</v>
      </c>
      <c r="AT98" s="62">
        <f t="shared" si="116"/>
        <v>99827.859321426702</v>
      </c>
      <c r="AU98" s="2">
        <v>62</v>
      </c>
      <c r="AV98" s="57">
        <f t="shared" si="119"/>
        <v>330866</v>
      </c>
      <c r="AW98" s="62">
        <f t="shared" si="120"/>
        <v>108861.21562440926</v>
      </c>
      <c r="AX98" s="2">
        <v>61</v>
      </c>
      <c r="AY98" s="57">
        <f t="shared" si="123"/>
        <v>346659</v>
      </c>
      <c r="AZ98" s="62">
        <f t="shared" si="124"/>
        <v>118712.18475939699</v>
      </c>
      <c r="BA98" s="2">
        <v>60</v>
      </c>
      <c r="BB98" s="57">
        <f t="shared" si="127"/>
        <v>363206</v>
      </c>
      <c r="BC98" s="62">
        <f t="shared" si="128"/>
        <v>129454.63704004904</v>
      </c>
      <c r="BD98" s="2">
        <v>59</v>
      </c>
      <c r="BE98" s="57">
        <f t="shared" si="132"/>
        <v>380542</v>
      </c>
      <c r="BF98" s="62">
        <f t="shared" si="133"/>
        <v>141168.88117892464</v>
      </c>
      <c r="BG98" s="2">
        <v>58</v>
      </c>
      <c r="BH98" s="57">
        <f t="shared" si="136"/>
        <v>398706</v>
      </c>
      <c r="BI98" s="62">
        <f t="shared" si="137"/>
        <v>153943.34781699203</v>
      </c>
      <c r="BJ98" s="2">
        <v>57</v>
      </c>
      <c r="BK98" s="57">
        <f t="shared" si="139"/>
        <v>417737</v>
      </c>
      <c r="BL98" s="62">
        <f t="shared" si="140"/>
        <v>167873.78346273847</v>
      </c>
      <c r="BM98" s="2">
        <v>56</v>
      </c>
      <c r="BN98" s="57">
        <f t="shared" si="144"/>
        <v>437677</v>
      </c>
      <c r="BO98" s="62">
        <f t="shared" si="145"/>
        <v>183065.05027105261</v>
      </c>
      <c r="BP98" s="2">
        <v>55</v>
      </c>
      <c r="BQ98" s="57">
        <f t="shared" si="147"/>
        <v>458568</v>
      </c>
      <c r="BR98" s="62">
        <f t="shared" si="148"/>
        <v>199630.65827139508</v>
      </c>
      <c r="BS98" s="2">
        <v>54</v>
      </c>
      <c r="BT98" s="57">
        <f t="shared" si="152"/>
        <v>480456</v>
      </c>
      <c r="BU98" s="62">
        <f t="shared" si="153"/>
        <v>217695.22043332327</v>
      </c>
      <c r="BV98" s="2">
        <v>53</v>
      </c>
      <c r="BW98" s="57">
        <f t="shared" si="155"/>
        <v>503389</v>
      </c>
      <c r="BX98" s="62">
        <f t="shared" si="156"/>
        <v>237394.56576434319</v>
      </c>
      <c r="BY98" s="2">
        <v>52</v>
      </c>
      <c r="BZ98" s="57">
        <f t="shared" si="160"/>
        <v>527417</v>
      </c>
      <c r="CA98" s="62">
        <f t="shared" si="161"/>
        <v>258876.69499319597</v>
      </c>
      <c r="CB98" s="2">
        <v>51</v>
      </c>
      <c r="CC98" s="57">
        <f t="shared" si="163"/>
        <v>552592</v>
      </c>
      <c r="CD98" s="62">
        <f t="shared" si="164"/>
        <v>282302.81181755004</v>
      </c>
      <c r="CE98" s="2">
        <v>50</v>
      </c>
      <c r="CF98" s="57">
        <f t="shared" si="168"/>
        <v>578968</v>
      </c>
      <c r="CG98" s="62">
        <f t="shared" si="169"/>
        <v>307848.4352691184</v>
      </c>
      <c r="CH98" s="2">
        <v>49</v>
      </c>
      <c r="CI98" s="57">
        <f t="shared" si="172"/>
        <v>606603</v>
      </c>
      <c r="CJ98" s="62">
        <f t="shared" si="173"/>
        <v>335705.70597019285</v>
      </c>
      <c r="CK98" s="2">
        <v>48</v>
      </c>
      <c r="CL98" s="57">
        <f t="shared" si="175"/>
        <v>635558</v>
      </c>
      <c r="CM98" s="62">
        <f t="shared" si="176"/>
        <v>366084.32879852026</v>
      </c>
      <c r="CN98" s="2">
        <v>47</v>
      </c>
      <c r="CO98" s="57">
        <f t="shared" si="180"/>
        <v>665894</v>
      </c>
      <c r="CP98" s="62">
        <f t="shared" si="181"/>
        <v>399211.30331156525</v>
      </c>
      <c r="CQ98" s="2">
        <v>46</v>
      </c>
      <c r="CR98" s="57">
        <f t="shared" si="183"/>
        <v>697679</v>
      </c>
      <c r="CS98" s="62">
        <f t="shared" si="184"/>
        <v>435336.57686549646</v>
      </c>
      <c r="CT98" s="2">
        <v>45</v>
      </c>
      <c r="CU98" s="57">
        <f t="shared" si="188"/>
        <v>730980</v>
      </c>
      <c r="CV98" s="62">
        <f t="shared" si="189"/>
        <v>474730.11320221453</v>
      </c>
      <c r="CW98" s="2">
        <v>44</v>
      </c>
      <c r="CX98" s="57">
        <f t="shared" si="191"/>
        <v>765871</v>
      </c>
      <c r="CY98" s="62">
        <f t="shared" si="192"/>
        <v>517688.70627561677</v>
      </c>
      <c r="CZ98" s="2">
        <v>43</v>
      </c>
      <c r="DA98" s="57">
        <f t="shared" si="196"/>
        <v>0</v>
      </c>
      <c r="DB98" s="62">
        <f t="shared" si="197"/>
        <v>0</v>
      </c>
      <c r="DC98" s="2">
        <v>42</v>
      </c>
      <c r="DD98" s="57">
        <f t="shared" si="202"/>
        <v>0</v>
      </c>
      <c r="DE98" s="62">
        <f t="shared" si="203"/>
        <v>0</v>
      </c>
      <c r="DF98" s="2">
        <v>41</v>
      </c>
      <c r="DG98" s="57">
        <f t="shared" si="209"/>
        <v>0</v>
      </c>
      <c r="DH98" s="62">
        <f t="shared" si="210"/>
        <v>0</v>
      </c>
      <c r="DI98" s="2">
        <v>40</v>
      </c>
      <c r="DJ98" s="57">
        <f t="shared" si="215"/>
        <v>0</v>
      </c>
      <c r="DK98" s="62">
        <f t="shared" si="216"/>
        <v>0</v>
      </c>
      <c r="DL98" s="2">
        <v>39</v>
      </c>
      <c r="DM98" s="57">
        <f t="shared" si="222"/>
        <v>0</v>
      </c>
      <c r="DN98" s="62">
        <f t="shared" si="223"/>
        <v>0</v>
      </c>
      <c r="DO98" s="2">
        <v>38</v>
      </c>
      <c r="DP98" s="57">
        <f t="shared" si="227"/>
        <v>0</v>
      </c>
      <c r="DQ98" s="62">
        <f t="shared" si="228"/>
        <v>0</v>
      </c>
      <c r="DR98" s="2">
        <v>37</v>
      </c>
      <c r="DS98" s="57">
        <f t="shared" si="234"/>
        <v>0</v>
      </c>
      <c r="DT98" s="62">
        <f t="shared" si="235"/>
        <v>0</v>
      </c>
      <c r="DU98" s="2">
        <v>36</v>
      </c>
      <c r="DV98" s="57">
        <f t="shared" si="239"/>
        <v>0</v>
      </c>
      <c r="DW98" s="62">
        <f t="shared" si="240"/>
        <v>0</v>
      </c>
      <c r="DX98" s="2">
        <v>35</v>
      </c>
      <c r="DY98" s="57">
        <f t="shared" si="245"/>
        <v>0</v>
      </c>
      <c r="DZ98" s="62">
        <f t="shared" si="246"/>
        <v>0</v>
      </c>
      <c r="EA98" s="2">
        <v>34</v>
      </c>
      <c r="EB98" s="57">
        <f t="shared" si="109"/>
        <v>0</v>
      </c>
      <c r="EC98" s="62">
        <f t="shared" si="252"/>
        <v>0</v>
      </c>
      <c r="ED98" s="2">
        <v>33</v>
      </c>
      <c r="EE98" s="57">
        <f t="shared" si="113"/>
        <v>0</v>
      </c>
      <c r="EF98" s="62">
        <f t="shared" si="256"/>
        <v>0</v>
      </c>
      <c r="EG98" s="2">
        <v>32</v>
      </c>
      <c r="EH98" s="57">
        <f t="shared" si="117"/>
        <v>0</v>
      </c>
      <c r="EI98" s="62">
        <f t="shared" ref="EI98:EI129" si="262">SUM($G$10*$G$11*EH98*(EXP(-($G$10*EG98))),$G$10*$G$11*EH98*(EXP(-($G$10*(EG98+0.1)))),$G$10*$G$11*EH98*(EXP(-($G$10*(EG98+0.2)))),$G$10*$G$11*EH98*(EXP(-($G$10*(EG98+0.3)))),$G$10*$G$11*EH98*(EXP(-($G$10*(EG98+0.4)))),$G$10*$G$11*EH98*(EXP(-($G$10*(EG98+0.5)))),$G$10*$G$11*EH98*(EXP(-($G$10*(EG98+0.6)))),$G$10*$G$11*EH98*(EXP(-($G$10*(EG98+0.7)))),$G$10*$G$11*EH98*(EXP(-($G$10*(EG98+0.8)))),$G$10*$G$11*EH98*(EXP(-($G$10*(EG98+0.9)))))/10</f>
        <v>0</v>
      </c>
      <c r="EJ98" s="2">
        <v>31</v>
      </c>
      <c r="EK98" s="57">
        <f t="shared" si="121"/>
        <v>0</v>
      </c>
      <c r="EL98" s="62">
        <f t="shared" si="118"/>
        <v>0</v>
      </c>
      <c r="EM98" s="2">
        <v>30</v>
      </c>
      <c r="EN98" s="57">
        <f t="shared" si="125"/>
        <v>0</v>
      </c>
      <c r="EO98" s="62">
        <f t="shared" si="122"/>
        <v>0</v>
      </c>
      <c r="EP98" s="2">
        <v>29</v>
      </c>
      <c r="EQ98" s="57">
        <f t="shared" si="129"/>
        <v>0</v>
      </c>
      <c r="ER98" s="62">
        <f t="shared" si="126"/>
        <v>0</v>
      </c>
      <c r="ES98" s="2">
        <v>28</v>
      </c>
      <c r="ET98" s="57">
        <f t="shared" si="130"/>
        <v>0</v>
      </c>
      <c r="EU98" s="62">
        <f t="shared" si="131"/>
        <v>0</v>
      </c>
      <c r="EV98" s="2">
        <v>27</v>
      </c>
      <c r="EW98" s="57">
        <f t="shared" si="134"/>
        <v>0</v>
      </c>
      <c r="EX98" s="62">
        <f t="shared" si="135"/>
        <v>0</v>
      </c>
      <c r="EY98" s="2">
        <v>26</v>
      </c>
      <c r="EZ98" s="57">
        <f t="shared" si="141"/>
        <v>0</v>
      </c>
      <c r="FA98" s="62">
        <f t="shared" si="138"/>
        <v>0</v>
      </c>
      <c r="FB98" s="2">
        <v>25</v>
      </c>
      <c r="FC98" s="57">
        <f t="shared" si="142"/>
        <v>0</v>
      </c>
      <c r="FD98" s="62">
        <f t="shared" si="143"/>
        <v>0</v>
      </c>
      <c r="FE98" s="2">
        <v>24</v>
      </c>
      <c r="FF98" s="57">
        <f t="shared" si="149"/>
        <v>0</v>
      </c>
      <c r="FG98" s="62">
        <f t="shared" si="146"/>
        <v>0</v>
      </c>
      <c r="FH98" s="2">
        <v>23</v>
      </c>
      <c r="FI98" s="57">
        <f t="shared" si="150"/>
        <v>0</v>
      </c>
      <c r="FJ98" s="62">
        <f t="shared" si="151"/>
        <v>0</v>
      </c>
      <c r="FK98" s="2">
        <v>22</v>
      </c>
      <c r="FL98" s="57">
        <f t="shared" si="157"/>
        <v>0</v>
      </c>
      <c r="FM98" s="62">
        <f t="shared" si="154"/>
        <v>0</v>
      </c>
      <c r="FN98" s="2">
        <v>21</v>
      </c>
      <c r="FO98" s="57">
        <f t="shared" si="158"/>
        <v>0</v>
      </c>
      <c r="FP98" s="62">
        <f t="shared" si="159"/>
        <v>0</v>
      </c>
      <c r="FQ98" s="2">
        <v>20</v>
      </c>
      <c r="FR98" s="57">
        <f t="shared" si="165"/>
        <v>0</v>
      </c>
      <c r="FS98" s="62">
        <f t="shared" si="162"/>
        <v>0</v>
      </c>
      <c r="FT98" s="2">
        <v>19</v>
      </c>
      <c r="FU98" s="57">
        <f t="shared" si="166"/>
        <v>0</v>
      </c>
      <c r="FV98" s="62">
        <f t="shared" si="167"/>
        <v>0</v>
      </c>
      <c r="FW98" s="2">
        <v>18</v>
      </c>
      <c r="FX98" s="57">
        <f t="shared" si="170"/>
        <v>0</v>
      </c>
      <c r="FY98" s="62">
        <f t="shared" si="171"/>
        <v>0</v>
      </c>
      <c r="FZ98" s="2">
        <v>17</v>
      </c>
      <c r="GA98" s="57">
        <f t="shared" si="177"/>
        <v>0</v>
      </c>
      <c r="GB98" s="62">
        <f t="shared" si="174"/>
        <v>0</v>
      </c>
      <c r="GC98" s="2">
        <v>16</v>
      </c>
      <c r="GD98" s="57">
        <f t="shared" si="178"/>
        <v>0</v>
      </c>
      <c r="GE98" s="62">
        <f t="shared" si="179"/>
        <v>0</v>
      </c>
      <c r="GF98" s="2">
        <v>15</v>
      </c>
      <c r="GG98" s="57">
        <f t="shared" si="185"/>
        <v>0</v>
      </c>
      <c r="GH98" s="62">
        <f t="shared" si="182"/>
        <v>0</v>
      </c>
      <c r="GI98" s="2">
        <v>14</v>
      </c>
      <c r="GJ98" s="57">
        <f t="shared" si="186"/>
        <v>0</v>
      </c>
      <c r="GK98" s="62">
        <f t="shared" si="187"/>
        <v>0</v>
      </c>
      <c r="GL98" s="2">
        <v>13</v>
      </c>
      <c r="GM98" s="57">
        <f t="shared" si="193"/>
        <v>0</v>
      </c>
      <c r="GN98" s="62">
        <f t="shared" si="190"/>
        <v>0</v>
      </c>
      <c r="GO98" s="2">
        <v>12</v>
      </c>
      <c r="GP98" s="57">
        <f t="shared" si="194"/>
        <v>0</v>
      </c>
      <c r="GQ98" s="62">
        <f t="shared" si="195"/>
        <v>0</v>
      </c>
      <c r="GR98" s="2">
        <v>11</v>
      </c>
      <c r="GS98" s="57">
        <f t="shared" si="204"/>
        <v>0</v>
      </c>
      <c r="GT98" s="62">
        <f t="shared" si="198"/>
        <v>0</v>
      </c>
      <c r="GU98" s="2">
        <v>10</v>
      </c>
      <c r="GV98" s="57">
        <f t="shared" si="205"/>
        <v>0</v>
      </c>
      <c r="GW98" s="62">
        <f t="shared" si="206"/>
        <v>0</v>
      </c>
      <c r="GX98" s="2">
        <v>9</v>
      </c>
      <c r="GY98" s="57">
        <f t="shared" si="217"/>
        <v>0</v>
      </c>
      <c r="GZ98" s="62">
        <f t="shared" si="211"/>
        <v>0</v>
      </c>
      <c r="HA98" s="2">
        <v>8</v>
      </c>
      <c r="HB98" s="57">
        <f t="shared" si="218"/>
        <v>0</v>
      </c>
      <c r="HC98" s="62">
        <f t="shared" si="219"/>
        <v>0</v>
      </c>
      <c r="HD98" s="2">
        <v>7</v>
      </c>
      <c r="HE98" s="57">
        <f t="shared" si="229"/>
        <v>0</v>
      </c>
      <c r="HF98" s="62">
        <f t="shared" si="224"/>
        <v>0</v>
      </c>
      <c r="HG98" s="2">
        <v>6</v>
      </c>
      <c r="HH98" s="57">
        <f t="shared" si="230"/>
        <v>0</v>
      </c>
      <c r="HI98" s="62">
        <f t="shared" si="231"/>
        <v>0</v>
      </c>
      <c r="HJ98" s="2">
        <v>5</v>
      </c>
      <c r="HK98" s="57">
        <f t="shared" si="241"/>
        <v>0</v>
      </c>
      <c r="HL98" s="62">
        <f t="shared" si="236"/>
        <v>0</v>
      </c>
      <c r="HM98" s="2">
        <v>4</v>
      </c>
      <c r="HN98" s="57">
        <f t="shared" si="247"/>
        <v>0</v>
      </c>
      <c r="HO98" s="62">
        <f t="shared" si="242"/>
        <v>0</v>
      </c>
      <c r="HP98" s="2">
        <v>3</v>
      </c>
      <c r="HQ98" s="57">
        <f t="shared" si="248"/>
        <v>0</v>
      </c>
      <c r="HR98" s="62">
        <f t="shared" si="249"/>
        <v>0</v>
      </c>
      <c r="HS98" s="2">
        <v>2</v>
      </c>
      <c r="HT98" s="57">
        <f t="shared" si="257"/>
        <v>0</v>
      </c>
      <c r="HU98" s="62">
        <f t="shared" si="253"/>
        <v>0</v>
      </c>
      <c r="HV98" s="2">
        <v>1</v>
      </c>
      <c r="HW98" s="57">
        <f t="shared" si="258"/>
        <v>0</v>
      </c>
      <c r="HX98" s="62">
        <f t="shared" si="259"/>
        <v>0</v>
      </c>
      <c r="HY98" s="2">
        <v>0</v>
      </c>
      <c r="HZ98" s="57">
        <f>$E$97</f>
        <v>0</v>
      </c>
      <c r="IA98" s="62">
        <f t="shared" ref="IA98:IA129" si="263">SUM($G$10*$G$11*HZ98*(EXP(-($G$10*HY98))),$G$10*$G$11*HZ98*(EXP(-($G$10*(HY98+0.1)))),$G$10*$G$11*HZ98*(EXP(-($G$10*(HY98+0.2)))),$G$10*$G$11*HZ98*(EXP(-($G$10*(HY98+0.3)))),$G$10*$G$11*HZ98*(EXP(-($G$10*(HY98+0.4)))),$G$10*$G$11*HZ98*(EXP(-($G$10*(HY98+0.5)))),$G$10*$G$11*HZ98*(EXP(-($G$10*(HY98+0.6)))),$G$10*$G$11*HZ98*(EXP(-($G$10*(HY98+0.7)))),$G$10*$G$11*HZ98*(EXP(-($G$10*(HY98+0.8)))),$G$10*$G$11*HZ98*(EXP(-($G$10*(HY98+0.9)))))/10</f>
        <v>0</v>
      </c>
      <c r="IB98" s="1"/>
      <c r="IC98" s="1"/>
      <c r="ID98" s="1"/>
      <c r="IE98" s="1"/>
      <c r="IF98" s="1"/>
      <c r="IG98" s="1"/>
      <c r="IH98" s="1"/>
      <c r="II98" s="1"/>
      <c r="IJ98" s="1"/>
      <c r="IK98" s="1"/>
      <c r="IL98" s="1"/>
      <c r="IM98" s="1"/>
      <c r="IN98" s="1"/>
      <c r="IO98" s="1"/>
      <c r="IP98" s="1"/>
    </row>
    <row r="99" spans="2:250">
      <c r="B99" s="56">
        <f>'USER INPUTS'!J84</f>
        <v>2094</v>
      </c>
      <c r="C99" s="420">
        <f>IF(OR(AND(ClosureCalcYes=TRUE,WasteCapacity=""),AND(ClosureCalcYes=FALSE,ClosureYear="")),0,IF('USER INPUTS'!K84&gt;0,IF('USER INPUTS'!$K$4="Mg/year",'USER INPUTS'!K84,'USER INPUTS'!L84),0))</f>
        <v>0</v>
      </c>
      <c r="D99" s="420">
        <f t="shared" si="97"/>
        <v>12946986</v>
      </c>
      <c r="E99" s="420">
        <f>IF(ClosureCalcYes=FALSE,IF(AND(B99&lt;ClosureYear,C99=0,SUM(C99:$C$102)=0),$D$13,IF(B99&lt;=ClosureYear,C99,0)),IF(B99=$D$16,($D$14-F99),IF(B99&lt;$D$16,IF(SUM(C99:$C$102)=0,$D$13,C99),0)))</f>
        <v>0</v>
      </c>
      <c r="F99" s="66">
        <f t="shared" si="98"/>
        <v>12946986</v>
      </c>
      <c r="G99" s="284">
        <f>IF(SUM(C100:$C$101)=0,C99,0)</f>
        <v>0</v>
      </c>
      <c r="H99" s="284">
        <f t="shared" si="99"/>
        <v>0</v>
      </c>
      <c r="I99" s="2">
        <f t="shared" si="212"/>
        <v>2094</v>
      </c>
      <c r="J99" s="379">
        <f t="shared" ref="J99:J152" si="264">(M99+P99+S99+V99+Y99+AB99+AE99+AH99+AK99+AN99+AQ99+AT99+AW99+AZ99+BC99+BF99+BI99+BL99+BO99+BR99+BU99+BX99+CA99+CD99+CG99+CJ99+CM99+CP99+CS99+CV99+CY99+DB99+DE99+DH99+DK99+DN99+DQ99+DT99+DW99+DZ99+EC99+EF99+EI99+EL99+EO99+ER99+EU99+EX99+FA99+FD99+FG99+FJ99+FM99+FP99+FS99+FV99+FY99+GB99+GE99+GH99+GK99+GN99+GQ99+GT99+GW99+GZ99+HC99+HF99+HI99+HL99+HO99+HR99+HU99+HX99+IA99+ID99+IG99+IJ99+IM99+IP99)</f>
        <v>5604409.7082637055</v>
      </c>
      <c r="K99" s="2">
        <f t="shared" si="212"/>
        <v>75</v>
      </c>
      <c r="L99" s="57">
        <f t="shared" si="200"/>
        <v>189082</v>
      </c>
      <c r="M99" s="62">
        <f t="shared" si="201"/>
        <v>36986.062172439801</v>
      </c>
      <c r="N99" s="2">
        <v>74</v>
      </c>
      <c r="O99" s="57">
        <f t="shared" si="207"/>
        <v>293489</v>
      </c>
      <c r="P99" s="62">
        <f t="shared" si="208"/>
        <v>59751.871953804453</v>
      </c>
      <c r="Q99" s="2">
        <v>73</v>
      </c>
      <c r="R99" s="57">
        <f t="shared" si="213"/>
        <v>283523</v>
      </c>
      <c r="S99" s="62">
        <f t="shared" si="214"/>
        <v>60078.594228563234</v>
      </c>
      <c r="T99" s="2">
        <v>72</v>
      </c>
      <c r="U99" s="57">
        <f t="shared" si="220"/>
        <v>143321</v>
      </c>
      <c r="V99" s="62">
        <f t="shared" si="221"/>
        <v>31609.168788339091</v>
      </c>
      <c r="W99" s="2">
        <v>71</v>
      </c>
      <c r="X99" s="57">
        <f t="shared" si="225"/>
        <v>227851</v>
      </c>
      <c r="Y99" s="62">
        <f t="shared" si="226"/>
        <v>52302.92342748282</v>
      </c>
      <c r="Z99" s="2">
        <v>70</v>
      </c>
      <c r="AA99" s="57">
        <f t="shared" si="232"/>
        <v>238727</v>
      </c>
      <c r="AB99" s="62">
        <f t="shared" si="233"/>
        <v>57035.906030588107</v>
      </c>
      <c r="AC99" s="2">
        <v>69</v>
      </c>
      <c r="AD99" s="57">
        <f t="shared" si="237"/>
        <v>250122</v>
      </c>
      <c r="AE99" s="62">
        <f t="shared" si="238"/>
        <v>62197.148774741436</v>
      </c>
      <c r="AF99" s="2">
        <v>68</v>
      </c>
      <c r="AG99" s="57">
        <f t="shared" si="243"/>
        <v>262060</v>
      </c>
      <c r="AH99" s="62">
        <f t="shared" si="244"/>
        <v>67825.202584255458</v>
      </c>
      <c r="AI99" s="2">
        <v>67</v>
      </c>
      <c r="AJ99" s="57">
        <f t="shared" si="250"/>
        <v>274569</v>
      </c>
      <c r="AK99" s="62">
        <f t="shared" si="251"/>
        <v>73962.851153403579</v>
      </c>
      <c r="AL99" s="2">
        <v>66</v>
      </c>
      <c r="AM99" s="57">
        <f t="shared" si="254"/>
        <v>287675</v>
      </c>
      <c r="AN99" s="62">
        <f t="shared" si="255"/>
        <v>80655.881726157386</v>
      </c>
      <c r="AO99" s="2">
        <v>65</v>
      </c>
      <c r="AP99" s="57">
        <f t="shared" si="260"/>
        <v>301406</v>
      </c>
      <c r="AQ99" s="62">
        <f t="shared" si="261"/>
        <v>87954.404834689456</v>
      </c>
      <c r="AR99" s="2">
        <v>64</v>
      </c>
      <c r="AS99" s="57">
        <f t="shared" ref="AS99:AS162" si="265">$E$34</f>
        <v>315793</v>
      </c>
      <c r="AT99" s="62">
        <f t="shared" ref="AT99:AT130" si="266">SUM($G$10*$G$11*AS99*(EXP(-($G$10*AR99))),$G$10*$G$11*AS99*(EXP(-($G$10*(AR99+0.1)))),$G$10*$G$11*AS99*(EXP(-($G$10*(AR99+0.2)))),$G$10*$G$11*AS99*(EXP(-($G$10*(AR99+0.3)))),$G$10*$G$11*AS99*(EXP(-($G$10*(AR99+0.4)))),$G$10*$G$11*AS99*(EXP(-($G$10*(AR99+0.5)))),$G$10*$G$11*AS99*(EXP(-($G$10*(AR99+0.6)))),$G$10*$G$11*AS99*(EXP(-($G$10*(AR99+0.7)))),$G$10*$G$11*AS99*(EXP(-($G$10*(AR99+0.8)))),$G$10*$G$11*AS99*(EXP(-($G$10*(AR99+0.9)))))/10</f>
        <v>95913.552969210577</v>
      </c>
      <c r="AU99" s="2">
        <v>63</v>
      </c>
      <c r="AV99" s="57">
        <f t="shared" si="119"/>
        <v>330866</v>
      </c>
      <c r="AW99" s="62">
        <f t="shared" si="120"/>
        <v>104592.7063052163</v>
      </c>
      <c r="AX99" s="2">
        <v>62</v>
      </c>
      <c r="AY99" s="57">
        <f t="shared" si="123"/>
        <v>346659</v>
      </c>
      <c r="AZ99" s="62">
        <f t="shared" si="124"/>
        <v>114057.41341552799</v>
      </c>
      <c r="BA99" s="2">
        <v>61</v>
      </c>
      <c r="BB99" s="57">
        <f t="shared" si="127"/>
        <v>363206</v>
      </c>
      <c r="BC99" s="62">
        <f t="shared" si="128"/>
        <v>124378.64811737629</v>
      </c>
      <c r="BD99" s="2">
        <v>60</v>
      </c>
      <c r="BE99" s="57">
        <f t="shared" si="132"/>
        <v>380542</v>
      </c>
      <c r="BF99" s="62">
        <f t="shared" si="133"/>
        <v>135633.57017366</v>
      </c>
      <c r="BG99" s="2">
        <v>59</v>
      </c>
      <c r="BH99" s="57">
        <f t="shared" si="136"/>
        <v>398706</v>
      </c>
      <c r="BI99" s="62">
        <f t="shared" si="137"/>
        <v>147907.14281031876</v>
      </c>
      <c r="BJ99" s="2">
        <v>58</v>
      </c>
      <c r="BK99" s="57">
        <f t="shared" si="139"/>
        <v>417737</v>
      </c>
      <c r="BL99" s="62">
        <f t="shared" si="140"/>
        <v>161291.35826154306</v>
      </c>
      <c r="BM99" s="2">
        <v>57</v>
      </c>
      <c r="BN99" s="57">
        <f t="shared" si="144"/>
        <v>437677</v>
      </c>
      <c r="BO99" s="62">
        <f t="shared" si="145"/>
        <v>175886.96697831649</v>
      </c>
      <c r="BP99" s="2">
        <v>56</v>
      </c>
      <c r="BQ99" s="57">
        <f t="shared" si="147"/>
        <v>458568</v>
      </c>
      <c r="BR99" s="62">
        <f t="shared" si="148"/>
        <v>191803.02819818279</v>
      </c>
      <c r="BS99" s="2">
        <v>55</v>
      </c>
      <c r="BT99" s="57">
        <f t="shared" si="152"/>
        <v>480456</v>
      </c>
      <c r="BU99" s="62">
        <f t="shared" si="153"/>
        <v>209159.26874627406</v>
      </c>
      <c r="BV99" s="2">
        <v>54</v>
      </c>
      <c r="BW99" s="57">
        <f t="shared" si="155"/>
        <v>503389</v>
      </c>
      <c r="BX99" s="62">
        <f t="shared" si="156"/>
        <v>228086.19169853261</v>
      </c>
      <c r="BY99" s="2">
        <v>53</v>
      </c>
      <c r="BZ99" s="57">
        <f t="shared" si="160"/>
        <v>527417</v>
      </c>
      <c r="CA99" s="62">
        <f t="shared" si="161"/>
        <v>248725.99459211977</v>
      </c>
      <c r="CB99" s="2">
        <v>52</v>
      </c>
      <c r="CC99" s="57">
        <f t="shared" si="163"/>
        <v>552592</v>
      </c>
      <c r="CD99" s="62">
        <f t="shared" si="164"/>
        <v>271233.56023730774</v>
      </c>
      <c r="CE99" s="2">
        <v>51</v>
      </c>
      <c r="CF99" s="57">
        <f t="shared" si="168"/>
        <v>578968</v>
      </c>
      <c r="CG99" s="62">
        <f t="shared" si="169"/>
        <v>295777.52546613652</v>
      </c>
      <c r="CH99" s="2">
        <v>50</v>
      </c>
      <c r="CI99" s="57">
        <f t="shared" si="172"/>
        <v>606603</v>
      </c>
      <c r="CJ99" s="62">
        <f t="shared" si="173"/>
        <v>322542.49695933639</v>
      </c>
      <c r="CK99" s="2">
        <v>49</v>
      </c>
      <c r="CL99" s="57">
        <f t="shared" si="175"/>
        <v>635558</v>
      </c>
      <c r="CM99" s="62">
        <f t="shared" si="176"/>
        <v>351729.95694878499</v>
      </c>
      <c r="CN99" s="2">
        <v>48</v>
      </c>
      <c r="CO99" s="57">
        <f t="shared" si="180"/>
        <v>665894</v>
      </c>
      <c r="CP99" s="62">
        <f t="shared" si="181"/>
        <v>383558.00421198679</v>
      </c>
      <c r="CQ99" s="2">
        <v>47</v>
      </c>
      <c r="CR99" s="57">
        <f t="shared" si="183"/>
        <v>697679</v>
      </c>
      <c r="CS99" s="62">
        <f t="shared" si="184"/>
        <v>418266.78552909254</v>
      </c>
      <c r="CT99" s="2">
        <v>46</v>
      </c>
      <c r="CU99" s="57">
        <f t="shared" si="188"/>
        <v>730980</v>
      </c>
      <c r="CV99" s="62">
        <f t="shared" si="189"/>
        <v>456115.67921227479</v>
      </c>
      <c r="CW99" s="2">
        <v>45</v>
      </c>
      <c r="CX99" s="57">
        <f t="shared" si="191"/>
        <v>765871</v>
      </c>
      <c r="CY99" s="62">
        <f t="shared" si="192"/>
        <v>497389.84175804164</v>
      </c>
      <c r="CZ99" s="2">
        <v>44</v>
      </c>
      <c r="DA99" s="57">
        <f t="shared" si="196"/>
        <v>0</v>
      </c>
      <c r="DB99" s="62">
        <f t="shared" si="197"/>
        <v>0</v>
      </c>
      <c r="DC99" s="2">
        <v>43</v>
      </c>
      <c r="DD99" s="57">
        <f t="shared" si="202"/>
        <v>0</v>
      </c>
      <c r="DE99" s="62">
        <f t="shared" si="203"/>
        <v>0</v>
      </c>
      <c r="DF99" s="2">
        <v>42</v>
      </c>
      <c r="DG99" s="57">
        <f t="shared" si="209"/>
        <v>0</v>
      </c>
      <c r="DH99" s="62">
        <f t="shared" si="210"/>
        <v>0</v>
      </c>
      <c r="DI99" s="2">
        <v>41</v>
      </c>
      <c r="DJ99" s="57">
        <f t="shared" si="215"/>
        <v>0</v>
      </c>
      <c r="DK99" s="62">
        <f t="shared" si="216"/>
        <v>0</v>
      </c>
      <c r="DL99" s="2">
        <v>40</v>
      </c>
      <c r="DM99" s="57">
        <f t="shared" si="222"/>
        <v>0</v>
      </c>
      <c r="DN99" s="62">
        <f t="shared" si="223"/>
        <v>0</v>
      </c>
      <c r="DO99" s="2">
        <v>39</v>
      </c>
      <c r="DP99" s="57">
        <f t="shared" si="227"/>
        <v>0</v>
      </c>
      <c r="DQ99" s="62">
        <f t="shared" si="228"/>
        <v>0</v>
      </c>
      <c r="DR99" s="2">
        <v>38</v>
      </c>
      <c r="DS99" s="57">
        <f t="shared" si="234"/>
        <v>0</v>
      </c>
      <c r="DT99" s="62">
        <f t="shared" si="235"/>
        <v>0</v>
      </c>
      <c r="DU99" s="2">
        <v>37</v>
      </c>
      <c r="DV99" s="57">
        <f t="shared" si="239"/>
        <v>0</v>
      </c>
      <c r="DW99" s="62">
        <f t="shared" si="240"/>
        <v>0</v>
      </c>
      <c r="DX99" s="2">
        <v>36</v>
      </c>
      <c r="DY99" s="57">
        <f t="shared" si="245"/>
        <v>0</v>
      </c>
      <c r="DZ99" s="62">
        <f t="shared" si="246"/>
        <v>0</v>
      </c>
      <c r="EA99" s="2">
        <v>35</v>
      </c>
      <c r="EB99" s="57">
        <f t="shared" si="109"/>
        <v>0</v>
      </c>
      <c r="EC99" s="62">
        <f t="shared" si="252"/>
        <v>0</v>
      </c>
      <c r="ED99" s="2">
        <v>34</v>
      </c>
      <c r="EE99" s="57">
        <f t="shared" si="113"/>
        <v>0</v>
      </c>
      <c r="EF99" s="62">
        <f t="shared" si="256"/>
        <v>0</v>
      </c>
      <c r="EG99" s="2">
        <v>33</v>
      </c>
      <c r="EH99" s="57">
        <f t="shared" si="117"/>
        <v>0</v>
      </c>
      <c r="EI99" s="62">
        <f t="shared" si="262"/>
        <v>0</v>
      </c>
      <c r="EJ99" s="2">
        <v>32</v>
      </c>
      <c r="EK99" s="57">
        <f t="shared" si="121"/>
        <v>0</v>
      </c>
      <c r="EL99" s="62">
        <f t="shared" ref="EL99:EL130" si="267">SUM($G$10*$G$11*EK99*(EXP(-($G$10*EJ99))),$G$10*$G$11*EK99*(EXP(-($G$10*(EJ99+0.1)))),$G$10*$G$11*EK99*(EXP(-($G$10*(EJ99+0.2)))),$G$10*$G$11*EK99*(EXP(-($G$10*(EJ99+0.3)))),$G$10*$G$11*EK99*(EXP(-($G$10*(EJ99+0.4)))),$G$10*$G$11*EK99*(EXP(-($G$10*(EJ99+0.5)))),$G$10*$G$11*EK99*(EXP(-($G$10*(EJ99+0.6)))),$G$10*$G$11*EK99*(EXP(-($G$10*(EJ99+0.7)))),$G$10*$G$11*EK99*(EXP(-($G$10*(EJ99+0.8)))),$G$10*$G$11*EK99*(EXP(-($G$10*(EJ99+0.9)))))/10</f>
        <v>0</v>
      </c>
      <c r="EM99" s="2">
        <v>31</v>
      </c>
      <c r="EN99" s="57">
        <f t="shared" si="125"/>
        <v>0</v>
      </c>
      <c r="EO99" s="62">
        <f t="shared" si="122"/>
        <v>0</v>
      </c>
      <c r="EP99" s="2">
        <v>30</v>
      </c>
      <c r="EQ99" s="57">
        <f t="shared" si="129"/>
        <v>0</v>
      </c>
      <c r="ER99" s="62">
        <f t="shared" si="126"/>
        <v>0</v>
      </c>
      <c r="ES99" s="2">
        <v>29</v>
      </c>
      <c r="ET99" s="57">
        <f t="shared" si="130"/>
        <v>0</v>
      </c>
      <c r="EU99" s="62">
        <f t="shared" si="131"/>
        <v>0</v>
      </c>
      <c r="EV99" s="2">
        <v>28</v>
      </c>
      <c r="EW99" s="57">
        <f t="shared" si="134"/>
        <v>0</v>
      </c>
      <c r="EX99" s="62">
        <f t="shared" si="135"/>
        <v>0</v>
      </c>
      <c r="EY99" s="2">
        <v>27</v>
      </c>
      <c r="EZ99" s="57">
        <f t="shared" si="141"/>
        <v>0</v>
      </c>
      <c r="FA99" s="62">
        <f t="shared" si="138"/>
        <v>0</v>
      </c>
      <c r="FB99" s="2">
        <v>26</v>
      </c>
      <c r="FC99" s="57">
        <f t="shared" si="142"/>
        <v>0</v>
      </c>
      <c r="FD99" s="62">
        <f t="shared" si="143"/>
        <v>0</v>
      </c>
      <c r="FE99" s="2">
        <v>25</v>
      </c>
      <c r="FF99" s="57">
        <f t="shared" si="149"/>
        <v>0</v>
      </c>
      <c r="FG99" s="62">
        <f t="shared" si="146"/>
        <v>0</v>
      </c>
      <c r="FH99" s="2">
        <v>24</v>
      </c>
      <c r="FI99" s="57">
        <f t="shared" si="150"/>
        <v>0</v>
      </c>
      <c r="FJ99" s="62">
        <f t="shared" si="151"/>
        <v>0</v>
      </c>
      <c r="FK99" s="2">
        <v>23</v>
      </c>
      <c r="FL99" s="57">
        <f t="shared" si="157"/>
        <v>0</v>
      </c>
      <c r="FM99" s="62">
        <f t="shared" si="154"/>
        <v>0</v>
      </c>
      <c r="FN99" s="2">
        <v>22</v>
      </c>
      <c r="FO99" s="57">
        <f t="shared" si="158"/>
        <v>0</v>
      </c>
      <c r="FP99" s="62">
        <f t="shared" si="159"/>
        <v>0</v>
      </c>
      <c r="FQ99" s="2">
        <v>21</v>
      </c>
      <c r="FR99" s="57">
        <f t="shared" si="165"/>
        <v>0</v>
      </c>
      <c r="FS99" s="62">
        <f t="shared" si="162"/>
        <v>0</v>
      </c>
      <c r="FT99" s="2">
        <v>20</v>
      </c>
      <c r="FU99" s="57">
        <f t="shared" si="166"/>
        <v>0</v>
      </c>
      <c r="FV99" s="62">
        <f t="shared" si="167"/>
        <v>0</v>
      </c>
      <c r="FW99" s="2">
        <v>19</v>
      </c>
      <c r="FX99" s="57">
        <f t="shared" si="170"/>
        <v>0</v>
      </c>
      <c r="FY99" s="62">
        <f t="shared" si="171"/>
        <v>0</v>
      </c>
      <c r="FZ99" s="2">
        <v>18</v>
      </c>
      <c r="GA99" s="57">
        <f t="shared" si="177"/>
        <v>0</v>
      </c>
      <c r="GB99" s="62">
        <f t="shared" si="174"/>
        <v>0</v>
      </c>
      <c r="GC99" s="2">
        <v>17</v>
      </c>
      <c r="GD99" s="57">
        <f t="shared" si="178"/>
        <v>0</v>
      </c>
      <c r="GE99" s="62">
        <f t="shared" si="179"/>
        <v>0</v>
      </c>
      <c r="GF99" s="2">
        <v>16</v>
      </c>
      <c r="GG99" s="57">
        <f t="shared" si="185"/>
        <v>0</v>
      </c>
      <c r="GH99" s="62">
        <f t="shared" si="182"/>
        <v>0</v>
      </c>
      <c r="GI99" s="2">
        <v>15</v>
      </c>
      <c r="GJ99" s="57">
        <f t="shared" si="186"/>
        <v>0</v>
      </c>
      <c r="GK99" s="62">
        <f t="shared" si="187"/>
        <v>0</v>
      </c>
      <c r="GL99" s="2">
        <v>14</v>
      </c>
      <c r="GM99" s="57">
        <f t="shared" si="193"/>
        <v>0</v>
      </c>
      <c r="GN99" s="62">
        <f t="shared" si="190"/>
        <v>0</v>
      </c>
      <c r="GO99" s="2">
        <v>13</v>
      </c>
      <c r="GP99" s="57">
        <f t="shared" si="194"/>
        <v>0</v>
      </c>
      <c r="GQ99" s="62">
        <f t="shared" si="195"/>
        <v>0</v>
      </c>
      <c r="GR99" s="2">
        <v>12</v>
      </c>
      <c r="GS99" s="57">
        <f t="shared" si="204"/>
        <v>0</v>
      </c>
      <c r="GT99" s="62">
        <f t="shared" si="198"/>
        <v>0</v>
      </c>
      <c r="GU99" s="2">
        <v>11</v>
      </c>
      <c r="GV99" s="57">
        <f t="shared" si="205"/>
        <v>0</v>
      </c>
      <c r="GW99" s="62">
        <f t="shared" si="206"/>
        <v>0</v>
      </c>
      <c r="GX99" s="2">
        <v>10</v>
      </c>
      <c r="GY99" s="57">
        <f t="shared" si="217"/>
        <v>0</v>
      </c>
      <c r="GZ99" s="62">
        <f t="shared" si="211"/>
        <v>0</v>
      </c>
      <c r="HA99" s="2">
        <v>9</v>
      </c>
      <c r="HB99" s="57">
        <f t="shared" si="218"/>
        <v>0</v>
      </c>
      <c r="HC99" s="62">
        <f t="shared" si="219"/>
        <v>0</v>
      </c>
      <c r="HD99" s="2">
        <v>8</v>
      </c>
      <c r="HE99" s="57">
        <f t="shared" si="229"/>
        <v>0</v>
      </c>
      <c r="HF99" s="62">
        <f t="shared" si="224"/>
        <v>0</v>
      </c>
      <c r="HG99" s="2">
        <v>7</v>
      </c>
      <c r="HH99" s="57">
        <f t="shared" si="230"/>
        <v>0</v>
      </c>
      <c r="HI99" s="62">
        <f t="shared" si="231"/>
        <v>0</v>
      </c>
      <c r="HJ99" s="2">
        <v>6</v>
      </c>
      <c r="HK99" s="57">
        <f t="shared" si="241"/>
        <v>0</v>
      </c>
      <c r="HL99" s="62">
        <f t="shared" si="236"/>
        <v>0</v>
      </c>
      <c r="HM99" s="2">
        <v>5</v>
      </c>
      <c r="HN99" s="57">
        <f t="shared" si="247"/>
        <v>0</v>
      </c>
      <c r="HO99" s="62">
        <f t="shared" si="242"/>
        <v>0</v>
      </c>
      <c r="HP99" s="2">
        <v>4</v>
      </c>
      <c r="HQ99" s="57">
        <f t="shared" si="248"/>
        <v>0</v>
      </c>
      <c r="HR99" s="62">
        <f t="shared" si="249"/>
        <v>0</v>
      </c>
      <c r="HS99" s="2">
        <v>3</v>
      </c>
      <c r="HT99" s="57">
        <f t="shared" si="257"/>
        <v>0</v>
      </c>
      <c r="HU99" s="62">
        <f t="shared" si="253"/>
        <v>0</v>
      </c>
      <c r="HV99" s="2">
        <v>2</v>
      </c>
      <c r="HW99" s="57">
        <f t="shared" si="258"/>
        <v>0</v>
      </c>
      <c r="HX99" s="62">
        <f t="shared" si="259"/>
        <v>0</v>
      </c>
      <c r="HY99" s="2">
        <v>1</v>
      </c>
      <c r="HZ99" s="57">
        <f t="shared" ref="HZ99:HZ162" si="268">$E$97</f>
        <v>0</v>
      </c>
      <c r="IA99" s="62">
        <f t="shared" si="263"/>
        <v>0</v>
      </c>
      <c r="IB99" s="2">
        <v>0</v>
      </c>
      <c r="IC99" s="57">
        <f>$E$98</f>
        <v>0</v>
      </c>
      <c r="ID99" s="62">
        <f t="shared" ref="ID99:ID130" si="269">SUM($G$10*$G$11*IC99*(EXP(-($G$10*IB99))),$G$10*$G$11*IC99*(EXP(-($G$10*(IB99+0.1)))),$G$10*$G$11*IC99*(EXP(-($G$10*(IB99+0.2)))),$G$10*$G$11*IC99*(EXP(-($G$10*(IB99+0.3)))),$G$10*$G$11*IC99*(EXP(-($G$10*(IB99+0.4)))),$G$10*$G$11*IC99*(EXP(-($G$10*(IB99+0.5)))),$G$10*$G$11*IC99*(EXP(-($G$10*(IB99+0.6)))),$G$10*$G$11*IC99*(EXP(-($G$10*(IB99+0.7)))),$G$10*$G$11*IC99*(EXP(-($G$10*(IB99+0.8)))),$G$10*$G$11*IC99*(EXP(-($G$10*(IB99+0.9)))))/10</f>
        <v>0</v>
      </c>
      <c r="IE99" s="1"/>
      <c r="IF99" s="1"/>
      <c r="IG99" s="1"/>
      <c r="IH99" s="1"/>
      <c r="II99" s="1"/>
      <c r="IJ99" s="1"/>
      <c r="IK99" s="1"/>
      <c r="IL99" s="1"/>
      <c r="IM99" s="1"/>
      <c r="IN99" s="1"/>
      <c r="IO99" s="1"/>
      <c r="IP99" s="1"/>
    </row>
    <row r="100" spans="2:250">
      <c r="B100" s="56">
        <f>'USER INPUTS'!J85</f>
        <v>2095</v>
      </c>
      <c r="C100" s="420">
        <f>IF(OR(AND(ClosureCalcYes=TRUE,WasteCapacity=""),AND(ClosureCalcYes=FALSE,ClosureYear="")),0,IF('USER INPUTS'!K85&gt;0,IF('USER INPUTS'!$K$4="Mg/year",'USER INPUTS'!K85,'USER INPUTS'!L85),0))</f>
        <v>0</v>
      </c>
      <c r="D100" s="420">
        <f t="shared" si="97"/>
        <v>12946986</v>
      </c>
      <c r="E100" s="420">
        <f>IF(ClosureCalcYes=FALSE,IF(AND(B100&lt;ClosureYear,C100=0,SUM(C100:$C$102)=0),$D$13,IF(B100&lt;=ClosureYear,C100,0)),IF(B100=$D$16,($D$14-F100),IF(B100&lt;$D$16,IF(SUM(C100:$C$102)=0,$D$13,C100),0)))</f>
        <v>0</v>
      </c>
      <c r="F100" s="66">
        <f t="shared" si="98"/>
        <v>12946986</v>
      </c>
      <c r="G100" s="284">
        <f>IF(SUM(C101:$C$101)=0,C100,0)</f>
        <v>0</v>
      </c>
      <c r="H100" s="284">
        <f t="shared" si="99"/>
        <v>0</v>
      </c>
      <c r="I100" s="2">
        <f t="shared" si="212"/>
        <v>2095</v>
      </c>
      <c r="J100" s="379">
        <f t="shared" si="264"/>
        <v>5384657.6603825185</v>
      </c>
      <c r="K100" s="2">
        <f t="shared" si="212"/>
        <v>76</v>
      </c>
      <c r="L100" s="57">
        <f t="shared" si="200"/>
        <v>189082</v>
      </c>
      <c r="M100" s="62">
        <f t="shared" si="201"/>
        <v>35535.817931111378</v>
      </c>
      <c r="N100" s="2">
        <f t="shared" ref="N100:N123" si="270">IF(N99="","",(N99+1))</f>
        <v>75</v>
      </c>
      <c r="O100" s="57">
        <f t="shared" si="207"/>
        <v>293489</v>
      </c>
      <c r="P100" s="62">
        <f t="shared" si="208"/>
        <v>57408.967542797211</v>
      </c>
      <c r="Q100" s="2">
        <v>74</v>
      </c>
      <c r="R100" s="57">
        <f t="shared" si="213"/>
        <v>283523</v>
      </c>
      <c r="S100" s="62">
        <f t="shared" si="214"/>
        <v>57722.878853921269</v>
      </c>
      <c r="T100" s="2">
        <v>73</v>
      </c>
      <c r="U100" s="57">
        <f t="shared" si="220"/>
        <v>143321</v>
      </c>
      <c r="V100" s="62">
        <f t="shared" si="221"/>
        <v>30369.755552219442</v>
      </c>
      <c r="W100" s="2">
        <v>72</v>
      </c>
      <c r="X100" s="57">
        <f t="shared" si="225"/>
        <v>227851</v>
      </c>
      <c r="Y100" s="62">
        <f t="shared" si="226"/>
        <v>50252.096465918126</v>
      </c>
      <c r="Z100" s="2">
        <v>71</v>
      </c>
      <c r="AA100" s="57">
        <f t="shared" si="232"/>
        <v>238727</v>
      </c>
      <c r="AB100" s="62">
        <f t="shared" si="233"/>
        <v>54799.496166673351</v>
      </c>
      <c r="AC100" s="2">
        <v>70</v>
      </c>
      <c r="AD100" s="57">
        <f t="shared" si="237"/>
        <v>250122</v>
      </c>
      <c r="AE100" s="62">
        <f t="shared" si="238"/>
        <v>59758.363688157428</v>
      </c>
      <c r="AF100" s="2">
        <v>69</v>
      </c>
      <c r="AG100" s="57">
        <f t="shared" si="243"/>
        <v>262060</v>
      </c>
      <c r="AH100" s="62">
        <f t="shared" si="244"/>
        <v>65165.738351319509</v>
      </c>
      <c r="AI100" s="2">
        <v>68</v>
      </c>
      <c r="AJ100" s="57">
        <f t="shared" si="250"/>
        <v>274569</v>
      </c>
      <c r="AK100" s="62">
        <f t="shared" si="251"/>
        <v>71062.72627778539</v>
      </c>
      <c r="AL100" s="2">
        <v>67</v>
      </c>
      <c r="AM100" s="57">
        <f t="shared" si="254"/>
        <v>287675</v>
      </c>
      <c r="AN100" s="62">
        <f t="shared" si="255"/>
        <v>77493.319368010867</v>
      </c>
      <c r="AO100" s="2">
        <v>66</v>
      </c>
      <c r="AP100" s="57">
        <f t="shared" si="260"/>
        <v>301406</v>
      </c>
      <c r="AQ100" s="62">
        <f t="shared" si="261"/>
        <v>84505.663292097655</v>
      </c>
      <c r="AR100" s="2">
        <v>65</v>
      </c>
      <c r="AS100" s="57">
        <f t="shared" si="265"/>
        <v>315793</v>
      </c>
      <c r="AT100" s="62">
        <f t="shared" si="266"/>
        <v>92152.728764394502</v>
      </c>
      <c r="AU100" s="2">
        <v>64</v>
      </c>
      <c r="AV100" s="57">
        <f t="shared" ref="AV100:AV163" si="271">$E$35</f>
        <v>330866</v>
      </c>
      <c r="AW100" s="62">
        <f t="shared" ref="AW100:AW131" si="272">SUM($G$10*$G$11*AV100*(EXP(-($G$10*AU100))),$G$10*$G$11*AV100*(EXP(-($G$10*(AU100+0.1)))),$G$10*$G$11*AV100*(EXP(-($G$10*(AU100+0.2)))),$G$10*$G$11*AV100*(EXP(-($G$10*(AU100+0.3)))),$G$10*$G$11*AV100*(EXP(-($G$10*(AU100+0.4)))),$G$10*$G$11*AV100*(EXP(-($G$10*(AU100+0.5)))),$G$10*$G$11*AV100*(EXP(-($G$10*(AU100+0.6)))),$G$10*$G$11*AV100*(EXP(-($G$10*(AU100+0.7)))),$G$10*$G$11*AV100*(EXP(-($G$10*(AU100+0.8)))),$G$10*$G$11*AV100*(EXP(-($G$10*(AU100+0.9)))))/10</f>
        <v>100491.56763041244</v>
      </c>
      <c r="AX100" s="2">
        <v>63</v>
      </c>
      <c r="AY100" s="57">
        <f t="shared" si="123"/>
        <v>346659</v>
      </c>
      <c r="AZ100" s="62">
        <f t="shared" si="124"/>
        <v>109585.15826666984</v>
      </c>
      <c r="BA100" s="2">
        <v>62</v>
      </c>
      <c r="BB100" s="57">
        <f t="shared" si="127"/>
        <v>363206</v>
      </c>
      <c r="BC100" s="62">
        <f t="shared" si="128"/>
        <v>119501.69156721809</v>
      </c>
      <c r="BD100" s="2">
        <v>61</v>
      </c>
      <c r="BE100" s="57">
        <f t="shared" si="132"/>
        <v>380542</v>
      </c>
      <c r="BF100" s="62">
        <f t="shared" si="133"/>
        <v>130315.30181737803</v>
      </c>
      <c r="BG100" s="2">
        <v>60</v>
      </c>
      <c r="BH100" s="57">
        <f t="shared" si="136"/>
        <v>398706</v>
      </c>
      <c r="BI100" s="62">
        <f t="shared" si="137"/>
        <v>142107.62078734877</v>
      </c>
      <c r="BJ100" s="2">
        <v>59</v>
      </c>
      <c r="BK100" s="57">
        <f t="shared" si="139"/>
        <v>417737</v>
      </c>
      <c r="BL100" s="62">
        <f t="shared" si="140"/>
        <v>154967.03364422437</v>
      </c>
      <c r="BM100" s="2">
        <v>58</v>
      </c>
      <c r="BN100" s="57">
        <f t="shared" si="144"/>
        <v>437677</v>
      </c>
      <c r="BO100" s="62">
        <f t="shared" si="145"/>
        <v>168990.34035729989</v>
      </c>
      <c r="BP100" s="2">
        <v>57</v>
      </c>
      <c r="BQ100" s="57">
        <f t="shared" si="147"/>
        <v>458568</v>
      </c>
      <c r="BR100" s="62">
        <f t="shared" si="148"/>
        <v>184282.3238902493</v>
      </c>
      <c r="BS100" s="2">
        <v>56</v>
      </c>
      <c r="BT100" s="57">
        <f t="shared" si="152"/>
        <v>480456</v>
      </c>
      <c r="BU100" s="62">
        <f t="shared" si="153"/>
        <v>200958.01651224276</v>
      </c>
      <c r="BV100" s="2">
        <v>55</v>
      </c>
      <c r="BW100" s="57">
        <f t="shared" si="155"/>
        <v>503389</v>
      </c>
      <c r="BX100" s="62">
        <f t="shared" si="156"/>
        <v>219142.80420042243</v>
      </c>
      <c r="BY100" s="2">
        <v>54</v>
      </c>
      <c r="BZ100" s="57">
        <f t="shared" si="160"/>
        <v>527417</v>
      </c>
      <c r="CA100" s="62">
        <f t="shared" si="161"/>
        <v>238973.30884676654</v>
      </c>
      <c r="CB100" s="2">
        <v>53</v>
      </c>
      <c r="CC100" s="57">
        <f t="shared" si="163"/>
        <v>552592</v>
      </c>
      <c r="CD100" s="62">
        <f t="shared" si="164"/>
        <v>260598.34021969078</v>
      </c>
      <c r="CE100" s="2">
        <v>52</v>
      </c>
      <c r="CF100" s="57">
        <f t="shared" si="168"/>
        <v>578968</v>
      </c>
      <c r="CG100" s="62">
        <f t="shared" si="169"/>
        <v>284179.9228064713</v>
      </c>
      <c r="CH100" s="2">
        <v>51</v>
      </c>
      <c r="CI100" s="57">
        <f t="shared" si="172"/>
        <v>606603</v>
      </c>
      <c r="CJ100" s="62">
        <f t="shared" si="173"/>
        <v>309895.42475635058</v>
      </c>
      <c r="CK100" s="2">
        <v>50</v>
      </c>
      <c r="CL100" s="57">
        <f t="shared" si="175"/>
        <v>635558</v>
      </c>
      <c r="CM100" s="62">
        <f t="shared" si="176"/>
        <v>337938.42806989397</v>
      </c>
      <c r="CN100" s="2">
        <v>49</v>
      </c>
      <c r="CO100" s="57">
        <f t="shared" si="180"/>
        <v>665894</v>
      </c>
      <c r="CP100" s="62">
        <f t="shared" si="181"/>
        <v>368518.4797492192</v>
      </c>
      <c r="CQ100" s="2">
        <v>48</v>
      </c>
      <c r="CR100" s="57">
        <f t="shared" si="183"/>
        <v>697679</v>
      </c>
      <c r="CS100" s="62">
        <f t="shared" si="184"/>
        <v>401866.31028454186</v>
      </c>
      <c r="CT100" s="2">
        <v>47</v>
      </c>
      <c r="CU100" s="57">
        <f t="shared" si="188"/>
        <v>730980</v>
      </c>
      <c r="CV100" s="62">
        <f t="shared" si="189"/>
        <v>438231.12761894229</v>
      </c>
      <c r="CW100" s="2">
        <v>46</v>
      </c>
      <c r="CX100" s="57">
        <f t="shared" si="191"/>
        <v>765871</v>
      </c>
      <c r="CY100" s="62">
        <f t="shared" si="192"/>
        <v>477886.90710277157</v>
      </c>
      <c r="CZ100" s="2">
        <v>45</v>
      </c>
      <c r="DA100" s="57">
        <f t="shared" si="196"/>
        <v>0</v>
      </c>
      <c r="DB100" s="62">
        <f t="shared" si="197"/>
        <v>0</v>
      </c>
      <c r="DC100" s="2">
        <v>44</v>
      </c>
      <c r="DD100" s="57">
        <f t="shared" si="202"/>
        <v>0</v>
      </c>
      <c r="DE100" s="62">
        <f t="shared" si="203"/>
        <v>0</v>
      </c>
      <c r="DF100" s="2">
        <v>43</v>
      </c>
      <c r="DG100" s="57">
        <f t="shared" si="209"/>
        <v>0</v>
      </c>
      <c r="DH100" s="62">
        <f t="shared" si="210"/>
        <v>0</v>
      </c>
      <c r="DI100" s="2">
        <v>42</v>
      </c>
      <c r="DJ100" s="57">
        <f t="shared" si="215"/>
        <v>0</v>
      </c>
      <c r="DK100" s="62">
        <f t="shared" si="216"/>
        <v>0</v>
      </c>
      <c r="DL100" s="2">
        <v>41</v>
      </c>
      <c r="DM100" s="57">
        <f t="shared" si="222"/>
        <v>0</v>
      </c>
      <c r="DN100" s="62">
        <f t="shared" si="223"/>
        <v>0</v>
      </c>
      <c r="DO100" s="2">
        <v>40</v>
      </c>
      <c r="DP100" s="57">
        <f t="shared" si="227"/>
        <v>0</v>
      </c>
      <c r="DQ100" s="62">
        <f t="shared" si="228"/>
        <v>0</v>
      </c>
      <c r="DR100" s="2">
        <v>39</v>
      </c>
      <c r="DS100" s="57">
        <f t="shared" si="234"/>
        <v>0</v>
      </c>
      <c r="DT100" s="62">
        <f t="shared" si="235"/>
        <v>0</v>
      </c>
      <c r="DU100" s="2">
        <v>38</v>
      </c>
      <c r="DV100" s="57">
        <f t="shared" si="239"/>
        <v>0</v>
      </c>
      <c r="DW100" s="62">
        <f t="shared" si="240"/>
        <v>0</v>
      </c>
      <c r="DX100" s="2">
        <v>37</v>
      </c>
      <c r="DY100" s="57">
        <f t="shared" si="245"/>
        <v>0</v>
      </c>
      <c r="DZ100" s="62">
        <f t="shared" si="246"/>
        <v>0</v>
      </c>
      <c r="EA100" s="2">
        <v>36</v>
      </c>
      <c r="EB100" s="57">
        <f t="shared" si="109"/>
        <v>0</v>
      </c>
      <c r="EC100" s="62">
        <f t="shared" si="252"/>
        <v>0</v>
      </c>
      <c r="ED100" s="2">
        <v>35</v>
      </c>
      <c r="EE100" s="57">
        <f t="shared" si="113"/>
        <v>0</v>
      </c>
      <c r="EF100" s="62">
        <f t="shared" si="256"/>
        <v>0</v>
      </c>
      <c r="EG100" s="2">
        <v>34</v>
      </c>
      <c r="EH100" s="57">
        <f t="shared" si="117"/>
        <v>0</v>
      </c>
      <c r="EI100" s="62">
        <f t="shared" si="262"/>
        <v>0</v>
      </c>
      <c r="EJ100" s="2">
        <v>33</v>
      </c>
      <c r="EK100" s="57">
        <f t="shared" si="121"/>
        <v>0</v>
      </c>
      <c r="EL100" s="62">
        <f t="shared" si="267"/>
        <v>0</v>
      </c>
      <c r="EM100" s="2">
        <v>32</v>
      </c>
      <c r="EN100" s="57">
        <f t="shared" si="125"/>
        <v>0</v>
      </c>
      <c r="EO100" s="62">
        <f t="shared" ref="EO100:EO131" si="273">SUM($G$10*$G$11*EN100*(EXP(-($G$10*EM100))),$G$10*$G$11*EN100*(EXP(-($G$10*(EM100+0.1)))),$G$10*$G$11*EN100*(EXP(-($G$10*(EM100+0.2)))),$G$10*$G$11*EN100*(EXP(-($G$10*(EM100+0.3)))),$G$10*$G$11*EN100*(EXP(-($G$10*(EM100+0.4)))),$G$10*$G$11*EN100*(EXP(-($G$10*(EM100+0.5)))),$G$10*$G$11*EN100*(EXP(-($G$10*(EM100+0.6)))),$G$10*$G$11*EN100*(EXP(-($G$10*(EM100+0.7)))),$G$10*$G$11*EN100*(EXP(-($G$10*(EM100+0.8)))),$G$10*$G$11*EN100*(EXP(-($G$10*(EM100+0.9)))))/10</f>
        <v>0</v>
      </c>
      <c r="EP100" s="2">
        <v>31</v>
      </c>
      <c r="EQ100" s="57">
        <f t="shared" si="129"/>
        <v>0</v>
      </c>
      <c r="ER100" s="62">
        <f t="shared" si="126"/>
        <v>0</v>
      </c>
      <c r="ES100" s="2">
        <v>30</v>
      </c>
      <c r="ET100" s="57">
        <f t="shared" si="130"/>
        <v>0</v>
      </c>
      <c r="EU100" s="62">
        <f t="shared" si="131"/>
        <v>0</v>
      </c>
      <c r="EV100" s="2">
        <v>29</v>
      </c>
      <c r="EW100" s="57">
        <f t="shared" si="134"/>
        <v>0</v>
      </c>
      <c r="EX100" s="62">
        <f t="shared" si="135"/>
        <v>0</v>
      </c>
      <c r="EY100" s="2">
        <v>28</v>
      </c>
      <c r="EZ100" s="57">
        <f t="shared" si="141"/>
        <v>0</v>
      </c>
      <c r="FA100" s="62">
        <f t="shared" si="138"/>
        <v>0</v>
      </c>
      <c r="FB100" s="2">
        <v>27</v>
      </c>
      <c r="FC100" s="57">
        <f t="shared" si="142"/>
        <v>0</v>
      </c>
      <c r="FD100" s="62">
        <f t="shared" si="143"/>
        <v>0</v>
      </c>
      <c r="FE100" s="2">
        <v>26</v>
      </c>
      <c r="FF100" s="57">
        <f t="shared" si="149"/>
        <v>0</v>
      </c>
      <c r="FG100" s="62">
        <f t="shared" si="146"/>
        <v>0</v>
      </c>
      <c r="FH100" s="2">
        <v>25</v>
      </c>
      <c r="FI100" s="57">
        <f t="shared" si="150"/>
        <v>0</v>
      </c>
      <c r="FJ100" s="62">
        <f t="shared" si="151"/>
        <v>0</v>
      </c>
      <c r="FK100" s="2">
        <v>24</v>
      </c>
      <c r="FL100" s="57">
        <f t="shared" si="157"/>
        <v>0</v>
      </c>
      <c r="FM100" s="62">
        <f t="shared" si="154"/>
        <v>0</v>
      </c>
      <c r="FN100" s="2">
        <v>23</v>
      </c>
      <c r="FO100" s="57">
        <f t="shared" si="158"/>
        <v>0</v>
      </c>
      <c r="FP100" s="62">
        <f t="shared" si="159"/>
        <v>0</v>
      </c>
      <c r="FQ100" s="2">
        <v>22</v>
      </c>
      <c r="FR100" s="57">
        <f t="shared" si="165"/>
        <v>0</v>
      </c>
      <c r="FS100" s="62">
        <f t="shared" si="162"/>
        <v>0</v>
      </c>
      <c r="FT100" s="2">
        <v>21</v>
      </c>
      <c r="FU100" s="57">
        <f t="shared" si="166"/>
        <v>0</v>
      </c>
      <c r="FV100" s="62">
        <f t="shared" si="167"/>
        <v>0</v>
      </c>
      <c r="FW100" s="2">
        <v>20</v>
      </c>
      <c r="FX100" s="57">
        <f t="shared" si="170"/>
        <v>0</v>
      </c>
      <c r="FY100" s="62">
        <f t="shared" si="171"/>
        <v>0</v>
      </c>
      <c r="FZ100" s="2">
        <v>19</v>
      </c>
      <c r="GA100" s="57">
        <f t="shared" si="177"/>
        <v>0</v>
      </c>
      <c r="GB100" s="62">
        <f t="shared" si="174"/>
        <v>0</v>
      </c>
      <c r="GC100" s="2">
        <v>18</v>
      </c>
      <c r="GD100" s="57">
        <f t="shared" si="178"/>
        <v>0</v>
      </c>
      <c r="GE100" s="62">
        <f t="shared" si="179"/>
        <v>0</v>
      </c>
      <c r="GF100" s="2">
        <v>17</v>
      </c>
      <c r="GG100" s="57">
        <f t="shared" si="185"/>
        <v>0</v>
      </c>
      <c r="GH100" s="62">
        <f t="shared" si="182"/>
        <v>0</v>
      </c>
      <c r="GI100" s="2">
        <v>16</v>
      </c>
      <c r="GJ100" s="57">
        <f t="shared" si="186"/>
        <v>0</v>
      </c>
      <c r="GK100" s="62">
        <f t="shared" si="187"/>
        <v>0</v>
      </c>
      <c r="GL100" s="2">
        <v>15</v>
      </c>
      <c r="GM100" s="57">
        <f t="shared" si="193"/>
        <v>0</v>
      </c>
      <c r="GN100" s="62">
        <f t="shared" si="190"/>
        <v>0</v>
      </c>
      <c r="GO100" s="2">
        <v>14</v>
      </c>
      <c r="GP100" s="57">
        <f t="shared" si="194"/>
        <v>0</v>
      </c>
      <c r="GQ100" s="62">
        <f t="shared" si="195"/>
        <v>0</v>
      </c>
      <c r="GR100" s="2">
        <v>13</v>
      </c>
      <c r="GS100" s="57">
        <f t="shared" si="204"/>
        <v>0</v>
      </c>
      <c r="GT100" s="62">
        <f t="shared" si="198"/>
        <v>0</v>
      </c>
      <c r="GU100" s="2">
        <v>12</v>
      </c>
      <c r="GV100" s="57">
        <f t="shared" si="205"/>
        <v>0</v>
      </c>
      <c r="GW100" s="62">
        <f t="shared" si="206"/>
        <v>0</v>
      </c>
      <c r="GX100" s="2">
        <v>11</v>
      </c>
      <c r="GY100" s="57">
        <f t="shared" si="217"/>
        <v>0</v>
      </c>
      <c r="GZ100" s="62">
        <f t="shared" si="211"/>
        <v>0</v>
      </c>
      <c r="HA100" s="2">
        <v>10</v>
      </c>
      <c r="HB100" s="57">
        <f t="shared" si="218"/>
        <v>0</v>
      </c>
      <c r="HC100" s="62">
        <f t="shared" si="219"/>
        <v>0</v>
      </c>
      <c r="HD100" s="2">
        <v>9</v>
      </c>
      <c r="HE100" s="57">
        <f t="shared" si="229"/>
        <v>0</v>
      </c>
      <c r="HF100" s="62">
        <f t="shared" si="224"/>
        <v>0</v>
      </c>
      <c r="HG100" s="2">
        <v>8</v>
      </c>
      <c r="HH100" s="57">
        <f t="shared" si="230"/>
        <v>0</v>
      </c>
      <c r="HI100" s="62">
        <f t="shared" si="231"/>
        <v>0</v>
      </c>
      <c r="HJ100" s="2">
        <v>7</v>
      </c>
      <c r="HK100" s="57">
        <f t="shared" si="241"/>
        <v>0</v>
      </c>
      <c r="HL100" s="62">
        <f t="shared" si="236"/>
        <v>0</v>
      </c>
      <c r="HM100" s="2">
        <v>6</v>
      </c>
      <c r="HN100" s="57">
        <f t="shared" si="247"/>
        <v>0</v>
      </c>
      <c r="HO100" s="62">
        <f t="shared" si="242"/>
        <v>0</v>
      </c>
      <c r="HP100" s="2">
        <v>5</v>
      </c>
      <c r="HQ100" s="57">
        <f t="shared" si="248"/>
        <v>0</v>
      </c>
      <c r="HR100" s="62">
        <f t="shared" si="249"/>
        <v>0</v>
      </c>
      <c r="HS100" s="2">
        <v>4</v>
      </c>
      <c r="HT100" s="57">
        <f t="shared" si="257"/>
        <v>0</v>
      </c>
      <c r="HU100" s="62">
        <f t="shared" si="253"/>
        <v>0</v>
      </c>
      <c r="HV100" s="2">
        <v>3</v>
      </c>
      <c r="HW100" s="57">
        <f t="shared" si="258"/>
        <v>0</v>
      </c>
      <c r="HX100" s="62">
        <f t="shared" si="259"/>
        <v>0</v>
      </c>
      <c r="HY100" s="2">
        <v>2</v>
      </c>
      <c r="HZ100" s="57">
        <f t="shared" si="268"/>
        <v>0</v>
      </c>
      <c r="IA100" s="62">
        <f t="shared" si="263"/>
        <v>0</v>
      </c>
      <c r="IB100" s="2">
        <v>1</v>
      </c>
      <c r="IC100" s="57">
        <f t="shared" ref="IC100:IC163" si="274">$E$98</f>
        <v>0</v>
      </c>
      <c r="ID100" s="62">
        <f t="shared" si="269"/>
        <v>0</v>
      </c>
      <c r="IE100" s="2">
        <v>0</v>
      </c>
      <c r="IF100" s="57">
        <f>$E$99</f>
        <v>0</v>
      </c>
      <c r="IG100" s="62">
        <f t="shared" ref="IG100:IG131" si="275">SUM($G$10*$G$11*IF100*(EXP(-($G$10*IE100))),$G$10*$G$11*IF100*(EXP(-($G$10*(IE100+0.1)))),$G$10*$G$11*IF100*(EXP(-($G$10*(IE100+0.2)))),$G$10*$G$11*IF100*(EXP(-($G$10*(IE100+0.3)))),$G$10*$G$11*IF100*(EXP(-($G$10*(IE100+0.4)))),$G$10*$G$11*IF100*(EXP(-($G$10*(IE100+0.5)))),$G$10*$G$11*IF100*(EXP(-($G$10*(IE100+0.6)))),$G$10*$G$11*IF100*(EXP(-($G$10*(IE100+0.7)))),$G$10*$G$11*IF100*(EXP(-($G$10*(IE100+0.8)))),$G$10*$G$11*IF100*(EXP(-($G$10*(IE100+0.9)))))/10</f>
        <v>0</v>
      </c>
      <c r="IH100" s="1"/>
      <c r="II100" s="1"/>
      <c r="IJ100" s="1"/>
      <c r="IK100" s="1"/>
      <c r="IL100" s="1"/>
      <c r="IM100" s="1"/>
      <c r="IN100" s="1"/>
      <c r="IO100" s="1"/>
      <c r="IP100" s="1"/>
    </row>
    <row r="101" spans="2:250">
      <c r="B101" s="56">
        <f>'USER INPUTS'!J86</f>
        <v>2096</v>
      </c>
      <c r="C101" s="420">
        <f>IF(OR(AND(ClosureCalcYes=TRUE,WasteCapacity=""),AND(ClosureCalcYes=FALSE,ClosureYear="")),0,IF('USER INPUTS'!K86&gt;0,IF('USER INPUTS'!$K$4="Mg/year",'USER INPUTS'!K86,'USER INPUTS'!L86),0))</f>
        <v>0</v>
      </c>
      <c r="D101" s="420">
        <f t="shared" si="97"/>
        <v>12946986</v>
      </c>
      <c r="E101" s="420">
        <f>IF(ClosureCalcYes=FALSE,IF(AND(B101&lt;ClosureYear,C101=0,SUM(C101:$C$102)=0),$D$13,IF(B101&lt;=ClosureYear,C101,0)),IF(B101=$D$16,($D$14-F101),IF(B101&lt;$D$16,IF(SUM(C101:$C$102)=0,$D$13,C101),0)))</f>
        <v>0</v>
      </c>
      <c r="F101" s="66">
        <f t="shared" si="98"/>
        <v>12946986</v>
      </c>
      <c r="G101" s="284">
        <f>IF(C102=0,C101,0)</f>
        <v>0</v>
      </c>
      <c r="H101" s="284">
        <f t="shared" si="99"/>
        <v>0</v>
      </c>
      <c r="I101" s="2">
        <f t="shared" si="212"/>
        <v>2096</v>
      </c>
      <c r="J101" s="379">
        <f t="shared" si="264"/>
        <v>5173522.213546182</v>
      </c>
      <c r="K101" s="2">
        <f t="shared" si="212"/>
        <v>77</v>
      </c>
      <c r="L101" s="57">
        <f t="shared" si="200"/>
        <v>189082</v>
      </c>
      <c r="M101" s="62">
        <f t="shared" si="201"/>
        <v>34142.438579851587</v>
      </c>
      <c r="N101" s="2">
        <f t="shared" si="270"/>
        <v>76</v>
      </c>
      <c r="O101" s="57">
        <f t="shared" si="207"/>
        <v>293489</v>
      </c>
      <c r="P101" s="62">
        <f t="shared" si="208"/>
        <v>55157.929727758063</v>
      </c>
      <c r="Q101" s="2">
        <f t="shared" ref="Q101:Q123" si="276">IF(Q100="","",(Q100+1))</f>
        <v>75</v>
      </c>
      <c r="R101" s="57">
        <f t="shared" si="213"/>
        <v>283523</v>
      </c>
      <c r="S101" s="62">
        <f t="shared" si="214"/>
        <v>55459.532400316522</v>
      </c>
      <c r="T101" s="2">
        <v>74</v>
      </c>
      <c r="U101" s="57">
        <f t="shared" si="220"/>
        <v>143321</v>
      </c>
      <c r="V101" s="62">
        <f t="shared" si="221"/>
        <v>29178.940404210065</v>
      </c>
      <c r="W101" s="2">
        <v>73</v>
      </c>
      <c r="X101" s="57">
        <f t="shared" si="225"/>
        <v>227851</v>
      </c>
      <c r="Y101" s="62">
        <f t="shared" si="226"/>
        <v>48281.683579717923</v>
      </c>
      <c r="Z101" s="2">
        <v>72</v>
      </c>
      <c r="AA101" s="57">
        <f t="shared" si="232"/>
        <v>238727</v>
      </c>
      <c r="AB101" s="62">
        <f t="shared" si="233"/>
        <v>52650.777187807973</v>
      </c>
      <c r="AC101" s="2">
        <v>71</v>
      </c>
      <c r="AD101" s="57">
        <f t="shared" si="237"/>
        <v>250122</v>
      </c>
      <c r="AE101" s="62">
        <f t="shared" si="238"/>
        <v>57415.204732605329</v>
      </c>
      <c r="AF101" s="2">
        <v>70</v>
      </c>
      <c r="AG101" s="57">
        <f t="shared" si="243"/>
        <v>262060</v>
      </c>
      <c r="AH101" s="62">
        <f t="shared" si="244"/>
        <v>62610.553202511299</v>
      </c>
      <c r="AI101" s="2">
        <v>69</v>
      </c>
      <c r="AJ101" s="57">
        <f t="shared" si="250"/>
        <v>274569</v>
      </c>
      <c r="AK101" s="62">
        <f t="shared" si="251"/>
        <v>68276.316925068488</v>
      </c>
      <c r="AL101" s="2">
        <v>68</v>
      </c>
      <c r="AM101" s="57">
        <f t="shared" si="254"/>
        <v>287675</v>
      </c>
      <c r="AN101" s="62">
        <f t="shared" si="255"/>
        <v>74454.762853643027</v>
      </c>
      <c r="AO101" s="2">
        <v>67</v>
      </c>
      <c r="AP101" s="57">
        <f t="shared" si="260"/>
        <v>301406</v>
      </c>
      <c r="AQ101" s="62">
        <f t="shared" si="261"/>
        <v>81192.148839609596</v>
      </c>
      <c r="AR101" s="2">
        <v>66</v>
      </c>
      <c r="AS101" s="57">
        <f t="shared" si="265"/>
        <v>315793</v>
      </c>
      <c r="AT101" s="62">
        <f t="shared" si="266"/>
        <v>88539.368585898745</v>
      </c>
      <c r="AU101" s="2">
        <v>65</v>
      </c>
      <c r="AV101" s="57">
        <f t="shared" si="271"/>
        <v>330866</v>
      </c>
      <c r="AW101" s="62">
        <f t="shared" si="272"/>
        <v>96551.236903161713</v>
      </c>
      <c r="AX101" s="2">
        <v>64</v>
      </c>
      <c r="AY101" s="57">
        <f t="shared" ref="AY101:AY163" si="277">$E$36</f>
        <v>346659</v>
      </c>
      <c r="AZ101" s="62">
        <f t="shared" ref="AZ101:AZ132" si="278">SUM($G$10*$G$11*AY101*(EXP(-($G$10*AX101))),$G$10*$G$11*AY101*(EXP(-($G$10*(AX101+0.1)))),$G$10*$G$11*AY101*(EXP(-($G$10*(AX101+0.2)))),$G$10*$G$11*AY101*(EXP(-($G$10*(AX101+0.3)))),$G$10*$G$11*AY101*(EXP(-($G$10*(AX101+0.4)))),$G$10*$G$11*AY101*(EXP(-($G$10*(AX101+0.5)))),$G$10*$G$11*AY101*(EXP(-($G$10*(AX101+0.6)))),$G$10*$G$11*AY101*(EXP(-($G$10*(AX101+0.7)))),$G$10*$G$11*AY101*(EXP(-($G$10*(AX101+0.8)))),$G$10*$G$11*AY101*(EXP(-($G$10*(AX101+0.9)))))/10</f>
        <v>105288.26275045227</v>
      </c>
      <c r="BA101" s="2">
        <v>63</v>
      </c>
      <c r="BB101" s="57">
        <f t="shared" si="127"/>
        <v>363206</v>
      </c>
      <c r="BC101" s="62">
        <f t="shared" si="128"/>
        <v>114815.96321862141</v>
      </c>
      <c r="BD101" s="2">
        <v>62</v>
      </c>
      <c r="BE101" s="57">
        <f t="shared" si="132"/>
        <v>380542</v>
      </c>
      <c r="BF101" s="62">
        <f t="shared" si="133"/>
        <v>125205.56574608436</v>
      </c>
      <c r="BG101" s="2">
        <v>61</v>
      </c>
      <c r="BH101" s="57">
        <f t="shared" si="136"/>
        <v>398706</v>
      </c>
      <c r="BI101" s="62">
        <f t="shared" si="137"/>
        <v>136535.50127554784</v>
      </c>
      <c r="BJ101" s="2">
        <v>60</v>
      </c>
      <c r="BK101" s="57">
        <f t="shared" si="139"/>
        <v>417737</v>
      </c>
      <c r="BL101" s="62">
        <f t="shared" si="140"/>
        <v>148890.68934213353</v>
      </c>
      <c r="BM101" s="2">
        <v>59</v>
      </c>
      <c r="BN101" s="57">
        <f t="shared" si="144"/>
        <v>437677</v>
      </c>
      <c r="BO101" s="62">
        <f t="shared" si="145"/>
        <v>162364.13433405035</v>
      </c>
      <c r="BP101" s="2">
        <v>58</v>
      </c>
      <c r="BQ101" s="57">
        <f t="shared" si="147"/>
        <v>458568</v>
      </c>
      <c r="BR101" s="62">
        <f t="shared" si="148"/>
        <v>177056.5106161994</v>
      </c>
      <c r="BS101" s="2">
        <v>57</v>
      </c>
      <c r="BT101" s="57">
        <f t="shared" si="152"/>
        <v>480456</v>
      </c>
      <c r="BU101" s="62">
        <f t="shared" si="153"/>
        <v>193078.33997796098</v>
      </c>
      <c r="BV101" s="2">
        <v>56</v>
      </c>
      <c r="BW101" s="57">
        <f t="shared" si="155"/>
        <v>503389</v>
      </c>
      <c r="BX101" s="62">
        <f t="shared" si="156"/>
        <v>210550.09194199127</v>
      </c>
      <c r="BY101" s="2">
        <v>55</v>
      </c>
      <c r="BZ101" s="57">
        <f t="shared" si="160"/>
        <v>527417</v>
      </c>
      <c r="CA101" s="62">
        <f t="shared" si="161"/>
        <v>229603.03137925974</v>
      </c>
      <c r="CB101" s="2">
        <v>54</v>
      </c>
      <c r="CC101" s="57">
        <f t="shared" si="163"/>
        <v>552592</v>
      </c>
      <c r="CD101" s="62">
        <f t="shared" si="164"/>
        <v>250380.13314370305</v>
      </c>
      <c r="CE101" s="2">
        <v>53</v>
      </c>
      <c r="CF101" s="57">
        <f t="shared" si="168"/>
        <v>578968</v>
      </c>
      <c r="CG101" s="62">
        <f t="shared" si="169"/>
        <v>273037.06865158014</v>
      </c>
      <c r="CH101" s="2">
        <v>52</v>
      </c>
      <c r="CI101" s="57">
        <f t="shared" si="172"/>
        <v>606603</v>
      </c>
      <c r="CJ101" s="62">
        <f t="shared" si="173"/>
        <v>297744.25134752516</v>
      </c>
      <c r="CK101" s="2">
        <v>51</v>
      </c>
      <c r="CL101" s="57">
        <f t="shared" si="175"/>
        <v>635558</v>
      </c>
      <c r="CM101" s="62">
        <f t="shared" si="176"/>
        <v>324687.67277329107</v>
      </c>
      <c r="CN101" s="2">
        <v>50</v>
      </c>
      <c r="CO101" s="57">
        <f t="shared" si="180"/>
        <v>665894</v>
      </c>
      <c r="CP101" s="62">
        <f t="shared" si="181"/>
        <v>354068.6634755191</v>
      </c>
      <c r="CQ101" s="2">
        <v>49</v>
      </c>
      <c r="CR101" s="57">
        <f t="shared" si="183"/>
        <v>697679</v>
      </c>
      <c r="CS101" s="62">
        <f t="shared" si="184"/>
        <v>386108.90687249851</v>
      </c>
      <c r="CT101" s="2">
        <v>48</v>
      </c>
      <c r="CU101" s="57">
        <f t="shared" si="188"/>
        <v>730980</v>
      </c>
      <c r="CV101" s="62">
        <f t="shared" si="189"/>
        <v>421047.83932409377</v>
      </c>
      <c r="CW101" s="2">
        <v>47</v>
      </c>
      <c r="CX101" s="57">
        <f t="shared" si="191"/>
        <v>765871</v>
      </c>
      <c r="CY101" s="62">
        <f t="shared" si="192"/>
        <v>459148.69345351041</v>
      </c>
      <c r="CZ101" s="2">
        <v>46</v>
      </c>
      <c r="DA101" s="57">
        <f t="shared" si="196"/>
        <v>0</v>
      </c>
      <c r="DB101" s="62">
        <f t="shared" si="197"/>
        <v>0</v>
      </c>
      <c r="DC101" s="2">
        <v>45</v>
      </c>
      <c r="DD101" s="57">
        <f t="shared" si="202"/>
        <v>0</v>
      </c>
      <c r="DE101" s="62">
        <f t="shared" si="203"/>
        <v>0</v>
      </c>
      <c r="DF101" s="2">
        <v>44</v>
      </c>
      <c r="DG101" s="57">
        <f t="shared" si="209"/>
        <v>0</v>
      </c>
      <c r="DH101" s="62">
        <f t="shared" si="210"/>
        <v>0</v>
      </c>
      <c r="DI101" s="2">
        <v>43</v>
      </c>
      <c r="DJ101" s="57">
        <f t="shared" si="215"/>
        <v>0</v>
      </c>
      <c r="DK101" s="62">
        <f t="shared" si="216"/>
        <v>0</v>
      </c>
      <c r="DL101" s="2">
        <v>42</v>
      </c>
      <c r="DM101" s="57">
        <f t="shared" si="222"/>
        <v>0</v>
      </c>
      <c r="DN101" s="62">
        <f t="shared" si="223"/>
        <v>0</v>
      </c>
      <c r="DO101" s="2">
        <v>41</v>
      </c>
      <c r="DP101" s="57">
        <f t="shared" si="227"/>
        <v>0</v>
      </c>
      <c r="DQ101" s="62">
        <f t="shared" si="228"/>
        <v>0</v>
      </c>
      <c r="DR101" s="2">
        <v>40</v>
      </c>
      <c r="DS101" s="57">
        <f t="shared" si="234"/>
        <v>0</v>
      </c>
      <c r="DT101" s="62">
        <f t="shared" si="235"/>
        <v>0</v>
      </c>
      <c r="DU101" s="2">
        <v>39</v>
      </c>
      <c r="DV101" s="57">
        <f t="shared" si="239"/>
        <v>0</v>
      </c>
      <c r="DW101" s="62">
        <f t="shared" si="240"/>
        <v>0</v>
      </c>
      <c r="DX101" s="2">
        <v>38</v>
      </c>
      <c r="DY101" s="57">
        <f t="shared" si="245"/>
        <v>0</v>
      </c>
      <c r="DZ101" s="62">
        <f t="shared" si="246"/>
        <v>0</v>
      </c>
      <c r="EA101" s="2">
        <v>37</v>
      </c>
      <c r="EB101" s="57">
        <f t="shared" si="109"/>
        <v>0</v>
      </c>
      <c r="EC101" s="62">
        <f t="shared" si="252"/>
        <v>0</v>
      </c>
      <c r="ED101" s="2">
        <v>36</v>
      </c>
      <c r="EE101" s="57">
        <f t="shared" si="113"/>
        <v>0</v>
      </c>
      <c r="EF101" s="62">
        <f t="shared" si="256"/>
        <v>0</v>
      </c>
      <c r="EG101" s="2">
        <v>35</v>
      </c>
      <c r="EH101" s="57">
        <f t="shared" si="117"/>
        <v>0</v>
      </c>
      <c r="EI101" s="62">
        <f t="shared" si="262"/>
        <v>0</v>
      </c>
      <c r="EJ101" s="2">
        <v>34</v>
      </c>
      <c r="EK101" s="57">
        <f t="shared" si="121"/>
        <v>0</v>
      </c>
      <c r="EL101" s="62">
        <f t="shared" si="267"/>
        <v>0</v>
      </c>
      <c r="EM101" s="2">
        <v>33</v>
      </c>
      <c r="EN101" s="57">
        <f t="shared" si="125"/>
        <v>0</v>
      </c>
      <c r="EO101" s="62">
        <f t="shared" si="273"/>
        <v>0</v>
      </c>
      <c r="EP101" s="2">
        <v>32</v>
      </c>
      <c r="EQ101" s="57">
        <f t="shared" si="129"/>
        <v>0</v>
      </c>
      <c r="ER101" s="62">
        <f t="shared" ref="ER101:ER132" si="279">SUM($G$10*$G$11*EQ101*(EXP(-($G$10*EP101))),$G$10*$G$11*EQ101*(EXP(-($G$10*(EP101+0.1)))),$G$10*$G$11*EQ101*(EXP(-($G$10*(EP101+0.2)))),$G$10*$G$11*EQ101*(EXP(-($G$10*(EP101+0.3)))),$G$10*$G$11*EQ101*(EXP(-($G$10*(EP101+0.4)))),$G$10*$G$11*EQ101*(EXP(-($G$10*(EP101+0.5)))),$G$10*$G$11*EQ101*(EXP(-($G$10*(EP101+0.6)))),$G$10*$G$11*EQ101*(EXP(-($G$10*(EP101+0.7)))),$G$10*$G$11*EQ101*(EXP(-($G$10*(EP101+0.8)))),$G$10*$G$11*EQ101*(EXP(-($G$10*(EP101+0.9)))))/10</f>
        <v>0</v>
      </c>
      <c r="ES101" s="2">
        <v>31</v>
      </c>
      <c r="ET101" s="57">
        <f t="shared" si="130"/>
        <v>0</v>
      </c>
      <c r="EU101" s="62">
        <f t="shared" si="131"/>
        <v>0</v>
      </c>
      <c r="EV101" s="2">
        <v>30</v>
      </c>
      <c r="EW101" s="57">
        <f t="shared" si="134"/>
        <v>0</v>
      </c>
      <c r="EX101" s="62">
        <f t="shared" si="135"/>
        <v>0</v>
      </c>
      <c r="EY101" s="2">
        <v>29</v>
      </c>
      <c r="EZ101" s="57">
        <f t="shared" si="141"/>
        <v>0</v>
      </c>
      <c r="FA101" s="62">
        <f t="shared" si="138"/>
        <v>0</v>
      </c>
      <c r="FB101" s="2">
        <v>28</v>
      </c>
      <c r="FC101" s="57">
        <f t="shared" si="142"/>
        <v>0</v>
      </c>
      <c r="FD101" s="62">
        <f t="shared" si="143"/>
        <v>0</v>
      </c>
      <c r="FE101" s="2">
        <v>27</v>
      </c>
      <c r="FF101" s="57">
        <f t="shared" si="149"/>
        <v>0</v>
      </c>
      <c r="FG101" s="62">
        <f t="shared" si="146"/>
        <v>0</v>
      </c>
      <c r="FH101" s="2">
        <v>26</v>
      </c>
      <c r="FI101" s="57">
        <f t="shared" si="150"/>
        <v>0</v>
      </c>
      <c r="FJ101" s="62">
        <f t="shared" si="151"/>
        <v>0</v>
      </c>
      <c r="FK101" s="2">
        <v>25</v>
      </c>
      <c r="FL101" s="57">
        <f t="shared" si="157"/>
        <v>0</v>
      </c>
      <c r="FM101" s="62">
        <f t="shared" si="154"/>
        <v>0</v>
      </c>
      <c r="FN101" s="2">
        <v>24</v>
      </c>
      <c r="FO101" s="57">
        <f t="shared" si="158"/>
        <v>0</v>
      </c>
      <c r="FP101" s="62">
        <f t="shared" si="159"/>
        <v>0</v>
      </c>
      <c r="FQ101" s="2">
        <v>23</v>
      </c>
      <c r="FR101" s="57">
        <f t="shared" si="165"/>
        <v>0</v>
      </c>
      <c r="FS101" s="62">
        <f t="shared" si="162"/>
        <v>0</v>
      </c>
      <c r="FT101" s="2">
        <v>22</v>
      </c>
      <c r="FU101" s="57">
        <f t="shared" si="166"/>
        <v>0</v>
      </c>
      <c r="FV101" s="62">
        <f t="shared" si="167"/>
        <v>0</v>
      </c>
      <c r="FW101" s="2">
        <v>21</v>
      </c>
      <c r="FX101" s="57">
        <f t="shared" si="170"/>
        <v>0</v>
      </c>
      <c r="FY101" s="62">
        <f t="shared" si="171"/>
        <v>0</v>
      </c>
      <c r="FZ101" s="2">
        <v>20</v>
      </c>
      <c r="GA101" s="57">
        <f t="shared" si="177"/>
        <v>0</v>
      </c>
      <c r="GB101" s="62">
        <f t="shared" si="174"/>
        <v>0</v>
      </c>
      <c r="GC101" s="2">
        <v>19</v>
      </c>
      <c r="GD101" s="57">
        <f t="shared" si="178"/>
        <v>0</v>
      </c>
      <c r="GE101" s="62">
        <f t="shared" si="179"/>
        <v>0</v>
      </c>
      <c r="GF101" s="2">
        <v>18</v>
      </c>
      <c r="GG101" s="57">
        <f t="shared" si="185"/>
        <v>0</v>
      </c>
      <c r="GH101" s="62">
        <f t="shared" si="182"/>
        <v>0</v>
      </c>
      <c r="GI101" s="2">
        <v>17</v>
      </c>
      <c r="GJ101" s="57">
        <f t="shared" si="186"/>
        <v>0</v>
      </c>
      <c r="GK101" s="62">
        <f t="shared" si="187"/>
        <v>0</v>
      </c>
      <c r="GL101" s="2">
        <v>16</v>
      </c>
      <c r="GM101" s="57">
        <f t="shared" si="193"/>
        <v>0</v>
      </c>
      <c r="GN101" s="62">
        <f t="shared" si="190"/>
        <v>0</v>
      </c>
      <c r="GO101" s="2">
        <v>15</v>
      </c>
      <c r="GP101" s="57">
        <f t="shared" si="194"/>
        <v>0</v>
      </c>
      <c r="GQ101" s="62">
        <f t="shared" si="195"/>
        <v>0</v>
      </c>
      <c r="GR101" s="2">
        <v>14</v>
      </c>
      <c r="GS101" s="57">
        <f t="shared" si="204"/>
        <v>0</v>
      </c>
      <c r="GT101" s="62">
        <f t="shared" si="198"/>
        <v>0</v>
      </c>
      <c r="GU101" s="2">
        <v>13</v>
      </c>
      <c r="GV101" s="57">
        <f t="shared" si="205"/>
        <v>0</v>
      </c>
      <c r="GW101" s="62">
        <f t="shared" si="206"/>
        <v>0</v>
      </c>
      <c r="GX101" s="2">
        <v>12</v>
      </c>
      <c r="GY101" s="57">
        <f t="shared" si="217"/>
        <v>0</v>
      </c>
      <c r="GZ101" s="62">
        <f t="shared" si="211"/>
        <v>0</v>
      </c>
      <c r="HA101" s="2">
        <v>11</v>
      </c>
      <c r="HB101" s="57">
        <f t="shared" si="218"/>
        <v>0</v>
      </c>
      <c r="HC101" s="62">
        <f t="shared" si="219"/>
        <v>0</v>
      </c>
      <c r="HD101" s="2">
        <v>10</v>
      </c>
      <c r="HE101" s="57">
        <f t="shared" si="229"/>
        <v>0</v>
      </c>
      <c r="HF101" s="62">
        <f t="shared" si="224"/>
        <v>0</v>
      </c>
      <c r="HG101" s="2">
        <v>9</v>
      </c>
      <c r="HH101" s="57">
        <f t="shared" si="230"/>
        <v>0</v>
      </c>
      <c r="HI101" s="62">
        <f t="shared" si="231"/>
        <v>0</v>
      </c>
      <c r="HJ101" s="2">
        <v>8</v>
      </c>
      <c r="HK101" s="57">
        <f t="shared" si="241"/>
        <v>0</v>
      </c>
      <c r="HL101" s="62">
        <f t="shared" si="236"/>
        <v>0</v>
      </c>
      <c r="HM101" s="2">
        <v>7</v>
      </c>
      <c r="HN101" s="57">
        <f t="shared" si="247"/>
        <v>0</v>
      </c>
      <c r="HO101" s="62">
        <f t="shared" si="242"/>
        <v>0</v>
      </c>
      <c r="HP101" s="2">
        <v>6</v>
      </c>
      <c r="HQ101" s="57">
        <f t="shared" si="248"/>
        <v>0</v>
      </c>
      <c r="HR101" s="62">
        <f t="shared" si="249"/>
        <v>0</v>
      </c>
      <c r="HS101" s="2">
        <v>5</v>
      </c>
      <c r="HT101" s="57">
        <f t="shared" si="257"/>
        <v>0</v>
      </c>
      <c r="HU101" s="62">
        <f t="shared" si="253"/>
        <v>0</v>
      </c>
      <c r="HV101" s="2">
        <v>4</v>
      </c>
      <c r="HW101" s="57">
        <f t="shared" si="258"/>
        <v>0</v>
      </c>
      <c r="HX101" s="62">
        <f t="shared" si="259"/>
        <v>0</v>
      </c>
      <c r="HY101" s="2">
        <v>3</v>
      </c>
      <c r="HZ101" s="57">
        <f t="shared" si="268"/>
        <v>0</v>
      </c>
      <c r="IA101" s="62">
        <f t="shared" si="263"/>
        <v>0</v>
      </c>
      <c r="IB101" s="2">
        <v>2</v>
      </c>
      <c r="IC101" s="57">
        <f t="shared" si="274"/>
        <v>0</v>
      </c>
      <c r="ID101" s="62">
        <f t="shared" si="269"/>
        <v>0</v>
      </c>
      <c r="IE101" s="2">
        <v>1</v>
      </c>
      <c r="IF101" s="57">
        <f t="shared" ref="IF101:IF163" si="280">$E$99</f>
        <v>0</v>
      </c>
      <c r="IG101" s="62">
        <f t="shared" si="275"/>
        <v>0</v>
      </c>
      <c r="IH101" s="2">
        <v>0</v>
      </c>
      <c r="II101" s="57">
        <f t="shared" ref="II101:II162" si="281">$E$100</f>
        <v>0</v>
      </c>
      <c r="IJ101" s="62">
        <f t="shared" ref="IJ101:IJ132" si="282">SUM($G$10*$G$11*II101*(EXP(-($G$10*IH101))),$G$10*$G$11*II101*(EXP(-($G$10*(IH101+0.1)))),$G$10*$G$11*II101*(EXP(-($G$10*(IH101+0.2)))),$G$10*$G$11*II101*(EXP(-($G$10*(IH101+0.3)))),$G$10*$G$11*II101*(EXP(-($G$10*(IH101+0.4)))),$G$10*$G$11*II101*(EXP(-($G$10*(IH101+0.5)))),$G$10*$G$11*II101*(EXP(-($G$10*(IH101+0.6)))),$G$10*$G$11*II101*(EXP(-($G$10*(IH101+0.7)))),$G$10*$G$11*II101*(EXP(-($G$10*(IH101+0.8)))),$G$10*$G$11*II101*(EXP(-($G$10*(IH101+0.9)))))/10</f>
        <v>0</v>
      </c>
      <c r="IK101" s="1"/>
      <c r="IL101" s="1"/>
      <c r="IM101" s="1"/>
      <c r="IN101" s="1"/>
      <c r="IO101" s="1"/>
      <c r="IP101" s="1"/>
    </row>
    <row r="102" spans="2:250">
      <c r="B102" s="58">
        <f>'USER INPUTS'!J87</f>
        <v>2097</v>
      </c>
      <c r="C102" s="422">
        <f>IF(OR(AND(ClosureCalcYes=TRUE,WasteCapacity=""),AND(ClosureCalcYes=FALSE,ClosureYear="")),0,IF('USER INPUTS'!K87&gt;0,IF('USER INPUTS'!$K$4="Mg/year",'USER INPUTS'!K87,'USER INPUTS'!L87),0))</f>
        <v>0</v>
      </c>
      <c r="D102" s="422">
        <f t="shared" si="97"/>
        <v>12946986</v>
      </c>
      <c r="E102" s="422">
        <f>IF(ClosureCalcYes=FALSE,IF(AND(B102&lt;ClosureYear,C102=0,SUM(C102:$C$102)=0),$D$13,IF(B102&lt;=ClosureYear,C102,0)),IF(B102=$D$16,($D$14-F102),IF(B102&lt;$D$16,IF(SUM(C102:$C$102)=0,$D$13,C102),0)))</f>
        <v>0</v>
      </c>
      <c r="F102" s="67">
        <f t="shared" si="98"/>
        <v>12946986</v>
      </c>
      <c r="G102" s="284">
        <f>IF(AND(C102=0,SUM(G23:G101)=0),0,C102)</f>
        <v>0</v>
      </c>
      <c r="H102" s="284">
        <f t="shared" si="99"/>
        <v>0</v>
      </c>
      <c r="I102" s="2">
        <f t="shared" si="212"/>
        <v>2097</v>
      </c>
      <c r="J102" s="379">
        <f t="shared" si="264"/>
        <v>4970665.5059951227</v>
      </c>
      <c r="K102" s="2">
        <f t="shared" si="212"/>
        <v>78</v>
      </c>
      <c r="L102" s="57">
        <f t="shared" si="200"/>
        <v>189082</v>
      </c>
      <c r="M102" s="62">
        <f t="shared" si="201"/>
        <v>32803.694414428246</v>
      </c>
      <c r="N102" s="2">
        <f t="shared" si="270"/>
        <v>77</v>
      </c>
      <c r="O102" s="57">
        <f t="shared" si="207"/>
        <v>293489</v>
      </c>
      <c r="P102" s="62">
        <f t="shared" si="208"/>
        <v>52995.156367935924</v>
      </c>
      <c r="Q102" s="2">
        <f t="shared" si="276"/>
        <v>76</v>
      </c>
      <c r="R102" s="57">
        <f t="shared" si="213"/>
        <v>283523</v>
      </c>
      <c r="S102" s="62">
        <f t="shared" si="214"/>
        <v>53284.933030550194</v>
      </c>
      <c r="T102" s="2">
        <f t="shared" ref="T102:T123" si="283">IF(T101="","",(T101+1))</f>
        <v>75</v>
      </c>
      <c r="U102" s="57">
        <f t="shared" si="220"/>
        <v>143321</v>
      </c>
      <c r="V102" s="62">
        <f t="shared" si="221"/>
        <v>28034.817786020052</v>
      </c>
      <c r="W102" s="2">
        <v>74</v>
      </c>
      <c r="X102" s="57">
        <f t="shared" si="225"/>
        <v>227851</v>
      </c>
      <c r="Y102" s="62">
        <f t="shared" si="226"/>
        <v>46388.531687887109</v>
      </c>
      <c r="Z102" s="2">
        <v>73</v>
      </c>
      <c r="AA102" s="57">
        <f t="shared" si="232"/>
        <v>238727</v>
      </c>
      <c r="AB102" s="62">
        <f t="shared" si="233"/>
        <v>50586.310685207965</v>
      </c>
      <c r="AC102" s="2">
        <v>72</v>
      </c>
      <c r="AD102" s="57">
        <f t="shared" si="237"/>
        <v>250122</v>
      </c>
      <c r="AE102" s="62">
        <f t="shared" si="238"/>
        <v>55163.922353855683</v>
      </c>
      <c r="AF102" s="2">
        <v>71</v>
      </c>
      <c r="AG102" s="57">
        <f t="shared" si="243"/>
        <v>262060</v>
      </c>
      <c r="AH102" s="62">
        <f t="shared" si="244"/>
        <v>60155.558296457537</v>
      </c>
      <c r="AI102" s="2">
        <v>70</v>
      </c>
      <c r="AJ102" s="57">
        <f t="shared" si="250"/>
        <v>274569</v>
      </c>
      <c r="AK102" s="62">
        <f t="shared" si="251"/>
        <v>65599.164245822831</v>
      </c>
      <c r="AL102" s="2">
        <v>69</v>
      </c>
      <c r="AM102" s="57">
        <f t="shared" si="254"/>
        <v>287675</v>
      </c>
      <c r="AN102" s="62">
        <f t="shared" si="255"/>
        <v>71535.34984437091</v>
      </c>
      <c r="AO102" s="2">
        <v>68</v>
      </c>
      <c r="AP102" s="57">
        <f t="shared" si="260"/>
        <v>301406</v>
      </c>
      <c r="AQ102" s="62">
        <f t="shared" si="261"/>
        <v>78008.559147180422</v>
      </c>
      <c r="AR102" s="2">
        <v>67</v>
      </c>
      <c r="AS102" s="57">
        <f t="shared" si="265"/>
        <v>315793</v>
      </c>
      <c r="AT102" s="62">
        <f t="shared" si="266"/>
        <v>85067.69028654648</v>
      </c>
      <c r="AU102" s="2">
        <v>66</v>
      </c>
      <c r="AV102" s="57">
        <f t="shared" si="271"/>
        <v>330866</v>
      </c>
      <c r="AW102" s="62">
        <f t="shared" si="272"/>
        <v>92765.40875365182</v>
      </c>
      <c r="AX102" s="2">
        <v>65</v>
      </c>
      <c r="AY102" s="57">
        <f t="shared" si="277"/>
        <v>346659</v>
      </c>
      <c r="AZ102" s="62">
        <f t="shared" si="278"/>
        <v>101159.85091732949</v>
      </c>
      <c r="BA102" s="2">
        <v>64</v>
      </c>
      <c r="BB102" s="57">
        <f t="shared" ref="BB102:BB163" si="284">$E$37</f>
        <v>363206</v>
      </c>
      <c r="BC102" s="62">
        <f t="shared" ref="BC102:BC133" si="285">SUM($G$10*$G$11*BB102*(EXP(-($G$10*BA102))),$G$10*$G$11*BB102*(EXP(-($G$10*(BA102+0.1)))),$G$10*$G$11*BB102*(EXP(-($G$10*(BA102+0.2)))),$G$10*$G$11*BB102*(EXP(-($G$10*(BA102+0.3)))),$G$10*$G$11*BB102*(EXP(-($G$10*(BA102+0.4)))),$G$10*$G$11*BB102*(EXP(-($G$10*(BA102+0.5)))),$G$10*$G$11*BB102*(EXP(-($G$10*(BA102+0.6)))),$G$10*$G$11*BB102*(EXP(-($G$10*(BA102+0.7)))),$G$10*$G$11*BB102*(EXP(-($G$10*(BA102+0.8)))),$G$10*$G$11*BB102*(EXP(-($G$10*(BA102+0.9)))))/10</f>
        <v>110313.96490655304</v>
      </c>
      <c r="BD102" s="2">
        <v>63</v>
      </c>
      <c r="BE102" s="57">
        <f t="shared" si="132"/>
        <v>380542</v>
      </c>
      <c r="BF102" s="62">
        <f t="shared" si="133"/>
        <v>120296.18529192972</v>
      </c>
      <c r="BG102" s="2">
        <v>62</v>
      </c>
      <c r="BH102" s="57">
        <f t="shared" si="136"/>
        <v>398706</v>
      </c>
      <c r="BI102" s="62">
        <f t="shared" si="137"/>
        <v>131181.86769491492</v>
      </c>
      <c r="BJ102" s="2">
        <v>61</v>
      </c>
      <c r="BK102" s="57">
        <f t="shared" si="139"/>
        <v>417737</v>
      </c>
      <c r="BL102" s="62">
        <f t="shared" si="140"/>
        <v>143052.6019080313</v>
      </c>
      <c r="BM102" s="2">
        <v>60</v>
      </c>
      <c r="BN102" s="57">
        <f t="shared" si="144"/>
        <v>437677</v>
      </c>
      <c r="BO102" s="62">
        <f t="shared" si="145"/>
        <v>155997.74556526472</v>
      </c>
      <c r="BP102" s="2">
        <v>59</v>
      </c>
      <c r="BQ102" s="57">
        <f t="shared" si="147"/>
        <v>458568</v>
      </c>
      <c r="BR102" s="62">
        <f t="shared" si="148"/>
        <v>170114.02553320557</v>
      </c>
      <c r="BS102" s="2">
        <v>58</v>
      </c>
      <c r="BT102" s="57">
        <f t="shared" si="152"/>
        <v>480456</v>
      </c>
      <c r="BU102" s="62">
        <f t="shared" si="153"/>
        <v>185507.62997988673</v>
      </c>
      <c r="BV102" s="2">
        <v>57</v>
      </c>
      <c r="BW102" s="57">
        <f t="shared" si="155"/>
        <v>503389</v>
      </c>
      <c r="BX102" s="62">
        <f t="shared" si="156"/>
        <v>202294.30475041587</v>
      </c>
      <c r="BY102" s="2">
        <v>56</v>
      </c>
      <c r="BZ102" s="57">
        <f t="shared" si="160"/>
        <v>527417</v>
      </c>
      <c r="CA102" s="62">
        <f t="shared" si="161"/>
        <v>220600.16774655227</v>
      </c>
      <c r="CB102" s="2">
        <v>55</v>
      </c>
      <c r="CC102" s="57">
        <f t="shared" si="163"/>
        <v>552592</v>
      </c>
      <c r="CD102" s="62">
        <f t="shared" si="164"/>
        <v>240562.58769802246</v>
      </c>
      <c r="CE102" s="2">
        <v>54</v>
      </c>
      <c r="CF102" s="57">
        <f t="shared" si="168"/>
        <v>578968</v>
      </c>
      <c r="CG102" s="62">
        <f t="shared" si="169"/>
        <v>262331.13205754594</v>
      </c>
      <c r="CH102" s="2">
        <v>53</v>
      </c>
      <c r="CI102" s="57">
        <f t="shared" si="172"/>
        <v>606603</v>
      </c>
      <c r="CJ102" s="62">
        <f t="shared" si="173"/>
        <v>286069.53226301703</v>
      </c>
      <c r="CK102" s="2">
        <v>52</v>
      </c>
      <c r="CL102" s="57">
        <f t="shared" si="175"/>
        <v>635558</v>
      </c>
      <c r="CM102" s="62">
        <f t="shared" si="176"/>
        <v>311956.48702352343</v>
      </c>
      <c r="CN102" s="2">
        <v>51</v>
      </c>
      <c r="CO102" s="57">
        <f t="shared" si="180"/>
        <v>665894</v>
      </c>
      <c r="CP102" s="62">
        <f t="shared" si="181"/>
        <v>340185.43260205671</v>
      </c>
      <c r="CQ102" s="2">
        <v>50</v>
      </c>
      <c r="CR102" s="57">
        <f t="shared" si="183"/>
        <v>697679</v>
      </c>
      <c r="CS102" s="62">
        <f t="shared" si="184"/>
        <v>370969.36008574441</v>
      </c>
      <c r="CT102" s="2">
        <v>49</v>
      </c>
      <c r="CU102" s="57">
        <f t="shared" si="188"/>
        <v>730980</v>
      </c>
      <c r="CV102" s="62">
        <f t="shared" si="189"/>
        <v>404538.31740049348</v>
      </c>
      <c r="CW102" s="2">
        <v>48</v>
      </c>
      <c r="CX102" s="57">
        <f t="shared" si="191"/>
        <v>765871</v>
      </c>
      <c r="CY102" s="62">
        <f t="shared" si="192"/>
        <v>441145.21567072021</v>
      </c>
      <c r="CZ102" s="2">
        <v>47</v>
      </c>
      <c r="DA102" s="57">
        <f t="shared" si="196"/>
        <v>0</v>
      </c>
      <c r="DB102" s="62">
        <f t="shared" si="197"/>
        <v>0</v>
      </c>
      <c r="DC102" s="2">
        <v>46</v>
      </c>
      <c r="DD102" s="57">
        <f t="shared" si="202"/>
        <v>0</v>
      </c>
      <c r="DE102" s="62">
        <f t="shared" si="203"/>
        <v>0</v>
      </c>
      <c r="DF102" s="2">
        <v>45</v>
      </c>
      <c r="DG102" s="57">
        <f t="shared" si="209"/>
        <v>0</v>
      </c>
      <c r="DH102" s="62">
        <f t="shared" si="210"/>
        <v>0</v>
      </c>
      <c r="DI102" s="2">
        <v>44</v>
      </c>
      <c r="DJ102" s="57">
        <f t="shared" si="215"/>
        <v>0</v>
      </c>
      <c r="DK102" s="62">
        <f t="shared" si="216"/>
        <v>0</v>
      </c>
      <c r="DL102" s="2">
        <v>43</v>
      </c>
      <c r="DM102" s="57">
        <f t="shared" si="222"/>
        <v>0</v>
      </c>
      <c r="DN102" s="62">
        <f t="shared" si="223"/>
        <v>0</v>
      </c>
      <c r="DO102" s="2">
        <v>42</v>
      </c>
      <c r="DP102" s="57">
        <f t="shared" si="227"/>
        <v>0</v>
      </c>
      <c r="DQ102" s="62">
        <f t="shared" si="228"/>
        <v>0</v>
      </c>
      <c r="DR102" s="2">
        <v>41</v>
      </c>
      <c r="DS102" s="57">
        <f t="shared" si="234"/>
        <v>0</v>
      </c>
      <c r="DT102" s="62">
        <f t="shared" si="235"/>
        <v>0</v>
      </c>
      <c r="DU102" s="2">
        <v>40</v>
      </c>
      <c r="DV102" s="57">
        <f t="shared" si="239"/>
        <v>0</v>
      </c>
      <c r="DW102" s="62">
        <f t="shared" si="240"/>
        <v>0</v>
      </c>
      <c r="DX102" s="2">
        <v>39</v>
      </c>
      <c r="DY102" s="57">
        <f t="shared" si="245"/>
        <v>0</v>
      </c>
      <c r="DZ102" s="62">
        <f t="shared" si="246"/>
        <v>0</v>
      </c>
      <c r="EA102" s="2">
        <v>38</v>
      </c>
      <c r="EB102" s="57">
        <f t="shared" si="109"/>
        <v>0</v>
      </c>
      <c r="EC102" s="62">
        <f t="shared" si="252"/>
        <v>0</v>
      </c>
      <c r="ED102" s="2">
        <v>37</v>
      </c>
      <c r="EE102" s="57">
        <f t="shared" si="113"/>
        <v>0</v>
      </c>
      <c r="EF102" s="62">
        <f t="shared" si="256"/>
        <v>0</v>
      </c>
      <c r="EG102" s="2">
        <v>36</v>
      </c>
      <c r="EH102" s="57">
        <f t="shared" si="117"/>
        <v>0</v>
      </c>
      <c r="EI102" s="62">
        <f t="shared" si="262"/>
        <v>0</v>
      </c>
      <c r="EJ102" s="2">
        <v>35</v>
      </c>
      <c r="EK102" s="57">
        <f t="shared" si="121"/>
        <v>0</v>
      </c>
      <c r="EL102" s="62">
        <f t="shared" si="267"/>
        <v>0</v>
      </c>
      <c r="EM102" s="2">
        <v>34</v>
      </c>
      <c r="EN102" s="57">
        <f t="shared" si="125"/>
        <v>0</v>
      </c>
      <c r="EO102" s="62">
        <f t="shared" si="273"/>
        <v>0</v>
      </c>
      <c r="EP102" s="2">
        <v>33</v>
      </c>
      <c r="EQ102" s="57">
        <f t="shared" si="129"/>
        <v>0</v>
      </c>
      <c r="ER102" s="62">
        <f t="shared" si="279"/>
        <v>0</v>
      </c>
      <c r="ES102" s="2">
        <v>32</v>
      </c>
      <c r="ET102" s="57">
        <f t="shared" si="130"/>
        <v>0</v>
      </c>
      <c r="EU102" s="62">
        <f t="shared" ref="EU102:EU133" si="286">SUM($G$10*$G$11*ET102*(EXP(-($G$10*ES102))),$G$10*$G$11*ET102*(EXP(-($G$10*(ES102+0.1)))),$G$10*$G$11*ET102*(EXP(-($G$10*(ES102+0.2)))),$G$10*$G$11*ET102*(EXP(-($G$10*(ES102+0.3)))),$G$10*$G$11*ET102*(EXP(-($G$10*(ES102+0.4)))),$G$10*$G$11*ET102*(EXP(-($G$10*(ES102+0.5)))),$G$10*$G$11*ET102*(EXP(-($G$10*(ES102+0.6)))),$G$10*$G$11*ET102*(EXP(-($G$10*(ES102+0.7)))),$G$10*$G$11*ET102*(EXP(-($G$10*(ES102+0.8)))),$G$10*$G$11*ET102*(EXP(-($G$10*(ES102+0.9)))))/10</f>
        <v>0</v>
      </c>
      <c r="EV102" s="2">
        <v>31</v>
      </c>
      <c r="EW102" s="57">
        <f t="shared" si="134"/>
        <v>0</v>
      </c>
      <c r="EX102" s="62">
        <f t="shared" si="135"/>
        <v>0</v>
      </c>
      <c r="EY102" s="2">
        <v>30</v>
      </c>
      <c r="EZ102" s="57">
        <f t="shared" si="141"/>
        <v>0</v>
      </c>
      <c r="FA102" s="62">
        <f t="shared" si="138"/>
        <v>0</v>
      </c>
      <c r="FB102" s="2">
        <v>29</v>
      </c>
      <c r="FC102" s="57">
        <f t="shared" si="142"/>
        <v>0</v>
      </c>
      <c r="FD102" s="62">
        <f t="shared" si="143"/>
        <v>0</v>
      </c>
      <c r="FE102" s="2">
        <v>28</v>
      </c>
      <c r="FF102" s="57">
        <f t="shared" si="149"/>
        <v>0</v>
      </c>
      <c r="FG102" s="62">
        <f t="shared" si="146"/>
        <v>0</v>
      </c>
      <c r="FH102" s="2">
        <v>27</v>
      </c>
      <c r="FI102" s="57">
        <f t="shared" si="150"/>
        <v>0</v>
      </c>
      <c r="FJ102" s="62">
        <f t="shared" si="151"/>
        <v>0</v>
      </c>
      <c r="FK102" s="2">
        <v>26</v>
      </c>
      <c r="FL102" s="57">
        <f t="shared" si="157"/>
        <v>0</v>
      </c>
      <c r="FM102" s="62">
        <f t="shared" si="154"/>
        <v>0</v>
      </c>
      <c r="FN102" s="2">
        <v>25</v>
      </c>
      <c r="FO102" s="57">
        <f t="shared" si="158"/>
        <v>0</v>
      </c>
      <c r="FP102" s="62">
        <f t="shared" si="159"/>
        <v>0</v>
      </c>
      <c r="FQ102" s="2">
        <v>24</v>
      </c>
      <c r="FR102" s="57">
        <f t="shared" si="165"/>
        <v>0</v>
      </c>
      <c r="FS102" s="62">
        <f t="shared" si="162"/>
        <v>0</v>
      </c>
      <c r="FT102" s="2">
        <v>23</v>
      </c>
      <c r="FU102" s="57">
        <f t="shared" si="166"/>
        <v>0</v>
      </c>
      <c r="FV102" s="62">
        <f t="shared" si="167"/>
        <v>0</v>
      </c>
      <c r="FW102" s="2">
        <v>22</v>
      </c>
      <c r="FX102" s="57">
        <f t="shared" si="170"/>
        <v>0</v>
      </c>
      <c r="FY102" s="62">
        <f t="shared" si="171"/>
        <v>0</v>
      </c>
      <c r="FZ102" s="2">
        <v>21</v>
      </c>
      <c r="GA102" s="57">
        <f t="shared" si="177"/>
        <v>0</v>
      </c>
      <c r="GB102" s="62">
        <f t="shared" si="174"/>
        <v>0</v>
      </c>
      <c r="GC102" s="2">
        <v>20</v>
      </c>
      <c r="GD102" s="57">
        <f t="shared" si="178"/>
        <v>0</v>
      </c>
      <c r="GE102" s="62">
        <f t="shared" si="179"/>
        <v>0</v>
      </c>
      <c r="GF102" s="2">
        <v>19</v>
      </c>
      <c r="GG102" s="57">
        <f t="shared" si="185"/>
        <v>0</v>
      </c>
      <c r="GH102" s="62">
        <f t="shared" si="182"/>
        <v>0</v>
      </c>
      <c r="GI102" s="2">
        <v>18</v>
      </c>
      <c r="GJ102" s="57">
        <f t="shared" si="186"/>
        <v>0</v>
      </c>
      <c r="GK102" s="62">
        <f t="shared" si="187"/>
        <v>0</v>
      </c>
      <c r="GL102" s="2">
        <v>17</v>
      </c>
      <c r="GM102" s="57">
        <f t="shared" si="193"/>
        <v>0</v>
      </c>
      <c r="GN102" s="62">
        <f t="shared" si="190"/>
        <v>0</v>
      </c>
      <c r="GO102" s="2">
        <v>16</v>
      </c>
      <c r="GP102" s="57">
        <f t="shared" si="194"/>
        <v>0</v>
      </c>
      <c r="GQ102" s="62">
        <f t="shared" si="195"/>
        <v>0</v>
      </c>
      <c r="GR102" s="2">
        <v>15</v>
      </c>
      <c r="GS102" s="57">
        <f t="shared" si="204"/>
        <v>0</v>
      </c>
      <c r="GT102" s="62">
        <f t="shared" si="198"/>
        <v>0</v>
      </c>
      <c r="GU102" s="2">
        <v>14</v>
      </c>
      <c r="GV102" s="57">
        <f t="shared" si="205"/>
        <v>0</v>
      </c>
      <c r="GW102" s="62">
        <f t="shared" si="206"/>
        <v>0</v>
      </c>
      <c r="GX102" s="2">
        <v>13</v>
      </c>
      <c r="GY102" s="57">
        <f t="shared" si="217"/>
        <v>0</v>
      </c>
      <c r="GZ102" s="62">
        <f t="shared" si="211"/>
        <v>0</v>
      </c>
      <c r="HA102" s="2">
        <v>12</v>
      </c>
      <c r="HB102" s="57">
        <f t="shared" si="218"/>
        <v>0</v>
      </c>
      <c r="HC102" s="62">
        <f t="shared" si="219"/>
        <v>0</v>
      </c>
      <c r="HD102" s="2">
        <v>11</v>
      </c>
      <c r="HE102" s="57">
        <f t="shared" si="229"/>
        <v>0</v>
      </c>
      <c r="HF102" s="62">
        <f t="shared" si="224"/>
        <v>0</v>
      </c>
      <c r="HG102" s="2">
        <v>10</v>
      </c>
      <c r="HH102" s="57">
        <f t="shared" si="230"/>
        <v>0</v>
      </c>
      <c r="HI102" s="62">
        <f t="shared" si="231"/>
        <v>0</v>
      </c>
      <c r="HJ102" s="2">
        <v>9</v>
      </c>
      <c r="HK102" s="57">
        <f t="shared" si="241"/>
        <v>0</v>
      </c>
      <c r="HL102" s="62">
        <f t="shared" si="236"/>
        <v>0</v>
      </c>
      <c r="HM102" s="2">
        <v>8</v>
      </c>
      <c r="HN102" s="57">
        <f t="shared" si="247"/>
        <v>0</v>
      </c>
      <c r="HO102" s="62">
        <f t="shared" si="242"/>
        <v>0</v>
      </c>
      <c r="HP102" s="2">
        <v>7</v>
      </c>
      <c r="HQ102" s="57">
        <f t="shared" si="248"/>
        <v>0</v>
      </c>
      <c r="HR102" s="62">
        <f t="shared" si="249"/>
        <v>0</v>
      </c>
      <c r="HS102" s="2">
        <v>6</v>
      </c>
      <c r="HT102" s="57">
        <f t="shared" si="257"/>
        <v>0</v>
      </c>
      <c r="HU102" s="62">
        <f t="shared" si="253"/>
        <v>0</v>
      </c>
      <c r="HV102" s="2">
        <v>5</v>
      </c>
      <c r="HW102" s="57">
        <f t="shared" si="258"/>
        <v>0</v>
      </c>
      <c r="HX102" s="62">
        <f t="shared" si="259"/>
        <v>0</v>
      </c>
      <c r="HY102" s="2">
        <v>4</v>
      </c>
      <c r="HZ102" s="57">
        <f t="shared" si="268"/>
        <v>0</v>
      </c>
      <c r="IA102" s="62">
        <f t="shared" si="263"/>
        <v>0</v>
      </c>
      <c r="IB102" s="2">
        <v>3</v>
      </c>
      <c r="IC102" s="57">
        <f t="shared" si="274"/>
        <v>0</v>
      </c>
      <c r="ID102" s="62">
        <f t="shared" si="269"/>
        <v>0</v>
      </c>
      <c r="IE102" s="2">
        <v>2</v>
      </c>
      <c r="IF102" s="57">
        <f t="shared" si="280"/>
        <v>0</v>
      </c>
      <c r="IG102" s="62">
        <f t="shared" si="275"/>
        <v>0</v>
      </c>
      <c r="IH102" s="2">
        <v>1</v>
      </c>
      <c r="II102" s="57">
        <f t="shared" si="281"/>
        <v>0</v>
      </c>
      <c r="IJ102" s="62">
        <f t="shared" si="282"/>
        <v>0</v>
      </c>
      <c r="IK102" s="2">
        <v>0</v>
      </c>
      <c r="IL102" s="57">
        <f>$E$101</f>
        <v>0</v>
      </c>
      <c r="IM102" s="62">
        <f t="shared" ref="IM102:IM133" si="287">SUM($G$10*$G$11*IL102*(EXP(-($G$10*IK102))),$G$10*$G$11*IL102*(EXP(-($G$10*(IK102+0.1)))),$G$10*$G$11*IL102*(EXP(-($G$10*(IK102+0.2)))),$G$10*$G$11*IL102*(EXP(-($G$10*(IK102+0.3)))),$G$10*$G$11*IL102*(EXP(-($G$10*(IK102+0.4)))),$G$10*$G$11*IL102*(EXP(-($G$10*(IK102+0.5)))),$G$10*$G$11*IL102*(EXP(-($G$10*(IK102+0.6)))),$G$10*$G$11*IL102*(EXP(-($G$10*(IK102+0.7)))),$G$10*$G$11*IL102*(EXP(-($G$10*(IK102+0.8)))),$G$10*$G$11*IL102*(EXP(-($G$10*(IK102+0.9)))))/10</f>
        <v>0</v>
      </c>
      <c r="IN102" s="1"/>
      <c r="IO102" s="1"/>
      <c r="IP102" s="1"/>
    </row>
    <row r="103" spans="2:250" ht="12.75" customHeight="1">
      <c r="D103" s="426"/>
      <c r="E103" s="434"/>
      <c r="F103" s="432"/>
      <c r="G103" s="284"/>
      <c r="H103" s="284"/>
      <c r="I103" s="2">
        <f t="shared" si="212"/>
        <v>2098</v>
      </c>
      <c r="J103" s="379">
        <f t="shared" si="264"/>
        <v>4775762.923718852</v>
      </c>
      <c r="K103" s="2">
        <f t="shared" si="212"/>
        <v>79</v>
      </c>
      <c r="L103" s="57">
        <f t="shared" si="200"/>
        <v>189082</v>
      </c>
      <c r="M103" s="62">
        <f t="shared" si="201"/>
        <v>31517.44315856271</v>
      </c>
      <c r="N103" s="2">
        <f t="shared" si="270"/>
        <v>78</v>
      </c>
      <c r="O103" s="57">
        <f t="shared" si="207"/>
        <v>293489</v>
      </c>
      <c r="P103" s="62">
        <f t="shared" si="208"/>
        <v>50917.186564538832</v>
      </c>
      <c r="Q103" s="2">
        <f t="shared" si="276"/>
        <v>77</v>
      </c>
      <c r="R103" s="57">
        <f t="shared" si="213"/>
        <v>283523</v>
      </c>
      <c r="S103" s="62">
        <f t="shared" si="214"/>
        <v>51195.600921691446</v>
      </c>
      <c r="T103" s="2">
        <f t="shared" si="283"/>
        <v>76</v>
      </c>
      <c r="U103" s="57">
        <f t="shared" si="220"/>
        <v>143321</v>
      </c>
      <c r="V103" s="62">
        <f t="shared" si="221"/>
        <v>26935.556857367781</v>
      </c>
      <c r="W103" s="2">
        <f t="shared" ref="W103:W123" si="288">IF(W102="","",(W102+1))</f>
        <v>75</v>
      </c>
      <c r="X103" s="57">
        <f t="shared" si="225"/>
        <v>227851</v>
      </c>
      <c r="Y103" s="62">
        <f t="shared" si="226"/>
        <v>44569.611343504825</v>
      </c>
      <c r="Z103" s="2">
        <v>74</v>
      </c>
      <c r="AA103" s="57">
        <f t="shared" si="232"/>
        <v>238727</v>
      </c>
      <c r="AB103" s="62">
        <f t="shared" si="233"/>
        <v>48602.793072026121</v>
      </c>
      <c r="AC103" s="2">
        <v>73</v>
      </c>
      <c r="AD103" s="57">
        <f t="shared" si="237"/>
        <v>250122</v>
      </c>
      <c r="AE103" s="62">
        <f t="shared" si="238"/>
        <v>53000.914019803306</v>
      </c>
      <c r="AF103" s="2">
        <v>72</v>
      </c>
      <c r="AG103" s="57">
        <f t="shared" si="243"/>
        <v>262060</v>
      </c>
      <c r="AH103" s="62">
        <f t="shared" si="244"/>
        <v>57796.825117548324</v>
      </c>
      <c r="AI103" s="2">
        <v>71</v>
      </c>
      <c r="AJ103" s="57">
        <f t="shared" si="250"/>
        <v>274569</v>
      </c>
      <c r="AK103" s="62">
        <f t="shared" si="251"/>
        <v>63026.984224605258</v>
      </c>
      <c r="AL103" s="2">
        <v>70</v>
      </c>
      <c r="AM103" s="57">
        <f t="shared" si="254"/>
        <v>287675</v>
      </c>
      <c r="AN103" s="62">
        <f t="shared" si="255"/>
        <v>68730.408656538362</v>
      </c>
      <c r="AO103" s="2">
        <v>69</v>
      </c>
      <c r="AP103" s="57">
        <f t="shared" si="260"/>
        <v>301406</v>
      </c>
      <c r="AQ103" s="62">
        <f t="shared" si="261"/>
        <v>74949.799792100312</v>
      </c>
      <c r="AR103" s="2">
        <v>68</v>
      </c>
      <c r="AS103" s="57">
        <f t="shared" si="265"/>
        <v>315793</v>
      </c>
      <c r="AT103" s="62">
        <f t="shared" si="266"/>
        <v>81732.138440394512</v>
      </c>
      <c r="AU103" s="2">
        <v>67</v>
      </c>
      <c r="AV103" s="57">
        <f t="shared" si="271"/>
        <v>330866</v>
      </c>
      <c r="AW103" s="62">
        <f t="shared" si="272"/>
        <v>89128.025049157164</v>
      </c>
      <c r="AX103" s="2">
        <v>66</v>
      </c>
      <c r="AY103" s="57">
        <f t="shared" si="277"/>
        <v>346659</v>
      </c>
      <c r="AZ103" s="62">
        <f t="shared" si="278"/>
        <v>97193.316427593614</v>
      </c>
      <c r="BA103" s="2">
        <v>65</v>
      </c>
      <c r="BB103" s="57">
        <f t="shared" si="284"/>
        <v>363206</v>
      </c>
      <c r="BC103" s="62">
        <f t="shared" si="285"/>
        <v>105988.49247323614</v>
      </c>
      <c r="BD103" s="2">
        <v>64</v>
      </c>
      <c r="BE103" s="57">
        <f t="shared" ref="BE103:BE163" si="289">$E$38</f>
        <v>380542</v>
      </c>
      <c r="BF103" s="62">
        <f t="shared" ref="BF103:BF134" si="290">SUM($G$10*$G$11*BE103*(EXP(-($G$10*BD103))),$G$10*$G$11*BE103*(EXP(-($G$10*(BD103+0.1)))),$G$10*$G$11*BE103*(EXP(-($G$10*(BD103+0.2)))),$G$10*$G$11*BE103*(EXP(-($G$10*(BD103+0.3)))),$G$10*$G$11*BE103*(EXP(-($G$10*(BD103+0.4)))),$G$10*$G$11*BE103*(EXP(-($G$10*(BD103+0.5)))),$G$10*$G$11*BE103*(EXP(-($G$10*(BD103+0.6)))),$G$10*$G$11*BE103*(EXP(-($G$10*(BD103+0.7)))),$G$10*$G$11*BE103*(EXP(-($G$10*(BD103+0.8)))),$G$10*$G$11*BE103*(EXP(-($G$10*(BD103+0.9)))))/10</f>
        <v>115579.30439879713</v>
      </c>
      <c r="BG103" s="2">
        <v>63</v>
      </c>
      <c r="BH103" s="57">
        <f t="shared" si="136"/>
        <v>398706</v>
      </c>
      <c r="BI103" s="62">
        <f t="shared" si="137"/>
        <v>126038.15308955156</v>
      </c>
      <c r="BJ103" s="2">
        <v>62</v>
      </c>
      <c r="BK103" s="57">
        <f t="shared" si="139"/>
        <v>417737</v>
      </c>
      <c r="BL103" s="62">
        <f t="shared" si="140"/>
        <v>137443.42915649794</v>
      </c>
      <c r="BM103" s="2">
        <v>61</v>
      </c>
      <c r="BN103" s="57">
        <f t="shared" si="144"/>
        <v>437677</v>
      </c>
      <c r="BO103" s="62">
        <f t="shared" si="145"/>
        <v>149880.98647067751</v>
      </c>
      <c r="BP103" s="2">
        <v>60</v>
      </c>
      <c r="BQ103" s="57">
        <f t="shared" si="147"/>
        <v>458568</v>
      </c>
      <c r="BR103" s="62">
        <f t="shared" si="148"/>
        <v>163443.75918399257</v>
      </c>
      <c r="BS103" s="2">
        <v>59</v>
      </c>
      <c r="BT103" s="57">
        <f t="shared" si="152"/>
        <v>480456</v>
      </c>
      <c r="BU103" s="62">
        <f t="shared" si="153"/>
        <v>178233.77176685206</v>
      </c>
      <c r="BV103" s="2">
        <v>58</v>
      </c>
      <c r="BW103" s="57">
        <f t="shared" si="155"/>
        <v>503389</v>
      </c>
      <c r="BX103" s="62">
        <f t="shared" si="156"/>
        <v>194362.23160486124</v>
      </c>
      <c r="BY103" s="2">
        <v>57</v>
      </c>
      <c r="BZ103" s="57">
        <f t="shared" si="160"/>
        <v>527417</v>
      </c>
      <c r="CA103" s="62">
        <f t="shared" si="161"/>
        <v>211950.31144611834</v>
      </c>
      <c r="CB103" s="2">
        <v>56</v>
      </c>
      <c r="CC103" s="57">
        <f t="shared" si="163"/>
        <v>552592</v>
      </c>
      <c r="CD103" s="62">
        <f t="shared" si="164"/>
        <v>231129.9937154146</v>
      </c>
      <c r="CE103" s="2">
        <v>55</v>
      </c>
      <c r="CF103" s="57">
        <f t="shared" si="168"/>
        <v>578968</v>
      </c>
      <c r="CG103" s="62">
        <f t="shared" si="169"/>
        <v>252044.98124176366</v>
      </c>
      <c r="CH103" s="2">
        <v>54</v>
      </c>
      <c r="CI103" s="57">
        <f t="shared" si="172"/>
        <v>606603</v>
      </c>
      <c r="CJ103" s="62">
        <f t="shared" si="173"/>
        <v>274852.58546155156</v>
      </c>
      <c r="CK103" s="2">
        <v>53</v>
      </c>
      <c r="CL103" s="57">
        <f t="shared" si="175"/>
        <v>635558</v>
      </c>
      <c r="CM103" s="62">
        <f t="shared" si="176"/>
        <v>299724.49820726004</v>
      </c>
      <c r="CN103" s="2">
        <v>52</v>
      </c>
      <c r="CO103" s="57">
        <f t="shared" si="180"/>
        <v>665894</v>
      </c>
      <c r="CP103" s="62">
        <f t="shared" si="181"/>
        <v>326846.57099752047</v>
      </c>
      <c r="CQ103" s="2">
        <v>51</v>
      </c>
      <c r="CR103" s="57">
        <f t="shared" si="183"/>
        <v>697679</v>
      </c>
      <c r="CS103" s="62">
        <f t="shared" si="184"/>
        <v>356423.44341947854</v>
      </c>
      <c r="CT103" s="2">
        <v>50</v>
      </c>
      <c r="CU103" s="57">
        <f t="shared" si="188"/>
        <v>730980</v>
      </c>
      <c r="CV103" s="62">
        <f t="shared" si="189"/>
        <v>388676.14309084474</v>
      </c>
      <c r="CW103" s="2">
        <v>49</v>
      </c>
      <c r="CX103" s="57">
        <f t="shared" si="191"/>
        <v>765871</v>
      </c>
      <c r="CY103" s="62">
        <f t="shared" si="192"/>
        <v>423847.66434900195</v>
      </c>
      <c r="CZ103" s="2">
        <v>48</v>
      </c>
      <c r="DA103" s="57">
        <f t="shared" si="196"/>
        <v>0</v>
      </c>
      <c r="DB103" s="62">
        <f t="shared" si="197"/>
        <v>0</v>
      </c>
      <c r="DC103" s="2">
        <v>47</v>
      </c>
      <c r="DD103" s="57">
        <f t="shared" si="202"/>
        <v>0</v>
      </c>
      <c r="DE103" s="62">
        <f t="shared" si="203"/>
        <v>0</v>
      </c>
      <c r="DF103" s="2">
        <v>46</v>
      </c>
      <c r="DG103" s="57">
        <f t="shared" si="209"/>
        <v>0</v>
      </c>
      <c r="DH103" s="62">
        <f t="shared" si="210"/>
        <v>0</v>
      </c>
      <c r="DI103" s="2">
        <v>45</v>
      </c>
      <c r="DJ103" s="57">
        <f t="shared" si="215"/>
        <v>0</v>
      </c>
      <c r="DK103" s="62">
        <f t="shared" si="216"/>
        <v>0</v>
      </c>
      <c r="DL103" s="2">
        <v>44</v>
      </c>
      <c r="DM103" s="57">
        <f t="shared" si="222"/>
        <v>0</v>
      </c>
      <c r="DN103" s="62">
        <f t="shared" si="223"/>
        <v>0</v>
      </c>
      <c r="DO103" s="2">
        <v>43</v>
      </c>
      <c r="DP103" s="57">
        <f t="shared" si="227"/>
        <v>0</v>
      </c>
      <c r="DQ103" s="62">
        <f t="shared" si="228"/>
        <v>0</v>
      </c>
      <c r="DR103" s="2">
        <v>42</v>
      </c>
      <c r="DS103" s="57">
        <f t="shared" si="234"/>
        <v>0</v>
      </c>
      <c r="DT103" s="62">
        <f t="shared" si="235"/>
        <v>0</v>
      </c>
      <c r="DU103" s="2">
        <v>41</v>
      </c>
      <c r="DV103" s="57">
        <f t="shared" si="239"/>
        <v>0</v>
      </c>
      <c r="DW103" s="62">
        <f t="shared" si="240"/>
        <v>0</v>
      </c>
      <c r="DX103" s="2">
        <v>40</v>
      </c>
      <c r="DY103" s="57">
        <f t="shared" si="245"/>
        <v>0</v>
      </c>
      <c r="DZ103" s="62">
        <f t="shared" si="246"/>
        <v>0</v>
      </c>
      <c r="EA103" s="2">
        <v>39</v>
      </c>
      <c r="EB103" s="57">
        <f t="shared" si="109"/>
        <v>0</v>
      </c>
      <c r="EC103" s="62">
        <f t="shared" si="252"/>
        <v>0</v>
      </c>
      <c r="ED103" s="2">
        <v>38</v>
      </c>
      <c r="EE103" s="57">
        <f t="shared" si="113"/>
        <v>0</v>
      </c>
      <c r="EF103" s="62">
        <f t="shared" si="256"/>
        <v>0</v>
      </c>
      <c r="EG103" s="2">
        <v>37</v>
      </c>
      <c r="EH103" s="57">
        <f t="shared" si="117"/>
        <v>0</v>
      </c>
      <c r="EI103" s="62">
        <f t="shared" si="262"/>
        <v>0</v>
      </c>
      <c r="EJ103" s="2">
        <v>36</v>
      </c>
      <c r="EK103" s="57">
        <f t="shared" si="121"/>
        <v>0</v>
      </c>
      <c r="EL103" s="62">
        <f t="shared" si="267"/>
        <v>0</v>
      </c>
      <c r="EM103" s="2">
        <v>35</v>
      </c>
      <c r="EN103" s="57">
        <f t="shared" si="125"/>
        <v>0</v>
      </c>
      <c r="EO103" s="62">
        <f t="shared" si="273"/>
        <v>0</v>
      </c>
      <c r="EP103" s="2">
        <v>34</v>
      </c>
      <c r="EQ103" s="57">
        <f t="shared" si="129"/>
        <v>0</v>
      </c>
      <c r="ER103" s="62">
        <f t="shared" si="279"/>
        <v>0</v>
      </c>
      <c r="ES103" s="2">
        <v>33</v>
      </c>
      <c r="ET103" s="57">
        <f t="shared" si="130"/>
        <v>0</v>
      </c>
      <c r="EU103" s="62">
        <f t="shared" si="286"/>
        <v>0</v>
      </c>
      <c r="EV103" s="2">
        <v>32</v>
      </c>
      <c r="EW103" s="57">
        <f t="shared" si="134"/>
        <v>0</v>
      </c>
      <c r="EX103" s="62">
        <f t="shared" ref="EX103:EX134" si="291">SUM($G$10*$G$11*EW103*(EXP(-($G$10*EV103))),$G$10*$G$11*EW103*(EXP(-($G$10*(EV103+0.1)))),$G$10*$G$11*EW103*(EXP(-($G$10*(EV103+0.2)))),$G$10*$G$11*EW103*(EXP(-($G$10*(EV103+0.3)))),$G$10*$G$11*EW103*(EXP(-($G$10*(EV103+0.4)))),$G$10*$G$11*EW103*(EXP(-($G$10*(EV103+0.5)))),$G$10*$G$11*EW103*(EXP(-($G$10*(EV103+0.6)))),$G$10*$G$11*EW103*(EXP(-($G$10*(EV103+0.7)))),$G$10*$G$11*EW103*(EXP(-($G$10*(EV103+0.8)))),$G$10*$G$11*EW103*(EXP(-($G$10*(EV103+0.9)))))/10</f>
        <v>0</v>
      </c>
      <c r="EY103" s="2">
        <v>31</v>
      </c>
      <c r="EZ103" s="57">
        <f t="shared" si="141"/>
        <v>0</v>
      </c>
      <c r="FA103" s="62">
        <f t="shared" si="138"/>
        <v>0</v>
      </c>
      <c r="FB103" s="2">
        <v>30</v>
      </c>
      <c r="FC103" s="57">
        <f t="shared" si="142"/>
        <v>0</v>
      </c>
      <c r="FD103" s="62">
        <f t="shared" si="143"/>
        <v>0</v>
      </c>
      <c r="FE103" s="2">
        <v>29</v>
      </c>
      <c r="FF103" s="57">
        <f t="shared" si="149"/>
        <v>0</v>
      </c>
      <c r="FG103" s="62">
        <f t="shared" si="146"/>
        <v>0</v>
      </c>
      <c r="FH103" s="2">
        <v>28</v>
      </c>
      <c r="FI103" s="57">
        <f t="shared" si="150"/>
        <v>0</v>
      </c>
      <c r="FJ103" s="62">
        <f t="shared" si="151"/>
        <v>0</v>
      </c>
      <c r="FK103" s="2">
        <v>27</v>
      </c>
      <c r="FL103" s="57">
        <f t="shared" si="157"/>
        <v>0</v>
      </c>
      <c r="FM103" s="62">
        <f t="shared" si="154"/>
        <v>0</v>
      </c>
      <c r="FN103" s="2">
        <v>26</v>
      </c>
      <c r="FO103" s="57">
        <f t="shared" si="158"/>
        <v>0</v>
      </c>
      <c r="FP103" s="62">
        <f t="shared" si="159"/>
        <v>0</v>
      </c>
      <c r="FQ103" s="2">
        <v>25</v>
      </c>
      <c r="FR103" s="57">
        <f t="shared" si="165"/>
        <v>0</v>
      </c>
      <c r="FS103" s="62">
        <f t="shared" si="162"/>
        <v>0</v>
      </c>
      <c r="FT103" s="2">
        <v>24</v>
      </c>
      <c r="FU103" s="57">
        <f t="shared" si="166"/>
        <v>0</v>
      </c>
      <c r="FV103" s="62">
        <f t="shared" si="167"/>
        <v>0</v>
      </c>
      <c r="FW103" s="2">
        <v>23</v>
      </c>
      <c r="FX103" s="57">
        <f t="shared" si="170"/>
        <v>0</v>
      </c>
      <c r="FY103" s="62">
        <f t="shared" si="171"/>
        <v>0</v>
      </c>
      <c r="FZ103" s="2">
        <v>22</v>
      </c>
      <c r="GA103" s="57">
        <f t="shared" si="177"/>
        <v>0</v>
      </c>
      <c r="GB103" s="62">
        <f t="shared" si="174"/>
        <v>0</v>
      </c>
      <c r="GC103" s="2">
        <v>21</v>
      </c>
      <c r="GD103" s="57">
        <f t="shared" si="178"/>
        <v>0</v>
      </c>
      <c r="GE103" s="62">
        <f t="shared" si="179"/>
        <v>0</v>
      </c>
      <c r="GF103" s="2">
        <v>20</v>
      </c>
      <c r="GG103" s="57">
        <f t="shared" si="185"/>
        <v>0</v>
      </c>
      <c r="GH103" s="62">
        <f t="shared" si="182"/>
        <v>0</v>
      </c>
      <c r="GI103" s="2">
        <v>19</v>
      </c>
      <c r="GJ103" s="57">
        <f t="shared" si="186"/>
        <v>0</v>
      </c>
      <c r="GK103" s="62">
        <f t="shared" si="187"/>
        <v>0</v>
      </c>
      <c r="GL103" s="2">
        <v>18</v>
      </c>
      <c r="GM103" s="57">
        <f t="shared" si="193"/>
        <v>0</v>
      </c>
      <c r="GN103" s="62">
        <f t="shared" si="190"/>
        <v>0</v>
      </c>
      <c r="GO103" s="2">
        <v>17</v>
      </c>
      <c r="GP103" s="57">
        <f t="shared" si="194"/>
        <v>0</v>
      </c>
      <c r="GQ103" s="62">
        <f t="shared" si="195"/>
        <v>0</v>
      </c>
      <c r="GR103" s="2">
        <v>16</v>
      </c>
      <c r="GS103" s="57">
        <f t="shared" si="204"/>
        <v>0</v>
      </c>
      <c r="GT103" s="62">
        <f t="shared" si="198"/>
        <v>0</v>
      </c>
      <c r="GU103" s="2">
        <v>15</v>
      </c>
      <c r="GV103" s="57">
        <f t="shared" si="205"/>
        <v>0</v>
      </c>
      <c r="GW103" s="62">
        <f t="shared" si="206"/>
        <v>0</v>
      </c>
      <c r="GX103" s="2">
        <v>14</v>
      </c>
      <c r="GY103" s="57">
        <f t="shared" si="217"/>
        <v>0</v>
      </c>
      <c r="GZ103" s="62">
        <f t="shared" si="211"/>
        <v>0</v>
      </c>
      <c r="HA103" s="2">
        <v>13</v>
      </c>
      <c r="HB103" s="57">
        <f t="shared" si="218"/>
        <v>0</v>
      </c>
      <c r="HC103" s="62">
        <f t="shared" si="219"/>
        <v>0</v>
      </c>
      <c r="HD103" s="2">
        <v>12</v>
      </c>
      <c r="HE103" s="57">
        <f t="shared" si="229"/>
        <v>0</v>
      </c>
      <c r="HF103" s="62">
        <f t="shared" si="224"/>
        <v>0</v>
      </c>
      <c r="HG103" s="2">
        <v>11</v>
      </c>
      <c r="HH103" s="57">
        <f t="shared" si="230"/>
        <v>0</v>
      </c>
      <c r="HI103" s="62">
        <f t="shared" si="231"/>
        <v>0</v>
      </c>
      <c r="HJ103" s="2">
        <v>10</v>
      </c>
      <c r="HK103" s="57">
        <f t="shared" si="241"/>
        <v>0</v>
      </c>
      <c r="HL103" s="62">
        <f t="shared" si="236"/>
        <v>0</v>
      </c>
      <c r="HM103" s="2">
        <v>9</v>
      </c>
      <c r="HN103" s="57">
        <f t="shared" si="247"/>
        <v>0</v>
      </c>
      <c r="HO103" s="62">
        <f t="shared" si="242"/>
        <v>0</v>
      </c>
      <c r="HP103" s="2">
        <v>8</v>
      </c>
      <c r="HQ103" s="57">
        <f t="shared" si="248"/>
        <v>0</v>
      </c>
      <c r="HR103" s="62">
        <f t="shared" si="249"/>
        <v>0</v>
      </c>
      <c r="HS103" s="2">
        <v>7</v>
      </c>
      <c r="HT103" s="57">
        <f t="shared" si="257"/>
        <v>0</v>
      </c>
      <c r="HU103" s="62">
        <f t="shared" si="253"/>
        <v>0</v>
      </c>
      <c r="HV103" s="2">
        <v>6</v>
      </c>
      <c r="HW103" s="57">
        <f t="shared" si="258"/>
        <v>0</v>
      </c>
      <c r="HX103" s="62">
        <f t="shared" si="259"/>
        <v>0</v>
      </c>
      <c r="HY103" s="2">
        <v>5</v>
      </c>
      <c r="HZ103" s="57">
        <f t="shared" si="268"/>
        <v>0</v>
      </c>
      <c r="IA103" s="62">
        <f t="shared" si="263"/>
        <v>0</v>
      </c>
      <c r="IB103" s="2">
        <v>4</v>
      </c>
      <c r="IC103" s="57">
        <f t="shared" si="274"/>
        <v>0</v>
      </c>
      <c r="ID103" s="62">
        <f t="shared" si="269"/>
        <v>0</v>
      </c>
      <c r="IE103" s="2">
        <v>3</v>
      </c>
      <c r="IF103" s="57">
        <f t="shared" si="280"/>
        <v>0</v>
      </c>
      <c r="IG103" s="62">
        <f t="shared" si="275"/>
        <v>0</v>
      </c>
      <c r="IH103" s="2">
        <v>2</v>
      </c>
      <c r="II103" s="57">
        <f t="shared" si="281"/>
        <v>0</v>
      </c>
      <c r="IJ103" s="62">
        <f t="shared" si="282"/>
        <v>0</v>
      </c>
      <c r="IK103" s="2">
        <v>1</v>
      </c>
      <c r="IL103" s="57">
        <f t="shared" ref="IL103:IL163" si="292">$E$101</f>
        <v>0</v>
      </c>
      <c r="IM103" s="62">
        <f t="shared" si="287"/>
        <v>0</v>
      </c>
      <c r="IN103" s="2">
        <v>0</v>
      </c>
      <c r="IO103" s="57">
        <f t="shared" ref="IO103:IO162" si="293">$E$102</f>
        <v>0</v>
      </c>
      <c r="IP103" s="62">
        <f t="shared" ref="IP103:IP134" si="294">SUM($G$10*$G$11*IO103*(EXP(-($G$10*IN103))),$G$10*$G$11*IO103*(EXP(-($G$10*(IN103+0.1)))),$G$10*$G$11*IO103*(EXP(-($G$10*(IN103+0.2)))),$G$10*$G$11*IO103*(EXP(-($G$10*(IN103+0.3)))),$G$10*$G$11*IO103*(EXP(-($G$10*(IN103+0.4)))),$G$10*$G$11*IO103*(EXP(-($G$10*(IN103+0.5)))),$G$10*$G$11*IO103*(EXP(-($G$10*(IN103+0.6)))),$G$10*$G$11*IO103*(EXP(-($G$10*(IN103+0.7)))),$G$10*$G$11*IO103*(EXP(-($G$10*(IN103+0.8)))),$G$10*$G$11*IO103*(EXP(-($G$10*(IN103+0.9)))))/10</f>
        <v>0</v>
      </c>
    </row>
    <row r="104" spans="2:250">
      <c r="D104" s="427"/>
      <c r="E104" s="433"/>
      <c r="F104" s="385"/>
      <c r="G104" s="284"/>
      <c r="H104" s="284"/>
      <c r="I104" s="2">
        <f t="shared" si="212"/>
        <v>2099</v>
      </c>
      <c r="J104" s="379">
        <f t="shared" si="264"/>
        <v>4588502.5810042946</v>
      </c>
      <c r="K104" s="2">
        <f t="shared" si="212"/>
        <v>80</v>
      </c>
      <c r="L104" s="57">
        <f t="shared" si="200"/>
        <v>189082</v>
      </c>
      <c r="M104" s="62">
        <f t="shared" si="201"/>
        <v>30281.626535830688</v>
      </c>
      <c r="N104" s="2">
        <f t="shared" si="270"/>
        <v>79</v>
      </c>
      <c r="O104" s="57">
        <f t="shared" si="207"/>
        <v>293489</v>
      </c>
      <c r="P104" s="62">
        <f t="shared" si="208"/>
        <v>48920.695122557474</v>
      </c>
      <c r="Q104" s="2">
        <f t="shared" si="276"/>
        <v>78</v>
      </c>
      <c r="R104" s="57">
        <f t="shared" si="213"/>
        <v>283523</v>
      </c>
      <c r="S104" s="62">
        <f t="shared" si="214"/>
        <v>49188.192696618076</v>
      </c>
      <c r="T104" s="2">
        <f t="shared" si="283"/>
        <v>77</v>
      </c>
      <c r="U104" s="57">
        <f t="shared" si="220"/>
        <v>143321</v>
      </c>
      <c r="V104" s="62">
        <f t="shared" si="221"/>
        <v>25879.398566245909</v>
      </c>
      <c r="W104" s="2">
        <f t="shared" si="288"/>
        <v>76</v>
      </c>
      <c r="X104" s="57">
        <f t="shared" si="225"/>
        <v>227851</v>
      </c>
      <c r="Y104" s="62">
        <f t="shared" si="226"/>
        <v>42822.011885963024</v>
      </c>
      <c r="Z104" s="2">
        <f t="shared" ref="Z104:Z123" si="295">IF(Z103="","",(Z103+1))</f>
        <v>75</v>
      </c>
      <c r="AA104" s="57">
        <f t="shared" si="232"/>
        <v>238727</v>
      </c>
      <c r="AB104" s="62">
        <f t="shared" si="233"/>
        <v>46697.050296908405</v>
      </c>
      <c r="AC104" s="2">
        <v>74</v>
      </c>
      <c r="AD104" s="57">
        <f t="shared" si="237"/>
        <v>250122</v>
      </c>
      <c r="AE104" s="62">
        <f t="shared" si="238"/>
        <v>50922.718455647329</v>
      </c>
      <c r="AF104" s="2">
        <v>73</v>
      </c>
      <c r="AG104" s="57">
        <f t="shared" si="243"/>
        <v>262060</v>
      </c>
      <c r="AH104" s="62">
        <f t="shared" si="244"/>
        <v>55530.579189474156</v>
      </c>
      <c r="AI104" s="2">
        <v>72</v>
      </c>
      <c r="AJ104" s="57">
        <f t="shared" si="250"/>
        <v>274569</v>
      </c>
      <c r="AK104" s="62">
        <f t="shared" si="251"/>
        <v>60555.660824620805</v>
      </c>
      <c r="AL104" s="2">
        <v>71</v>
      </c>
      <c r="AM104" s="57">
        <f t="shared" si="254"/>
        <v>287675</v>
      </c>
      <c r="AN104" s="62">
        <f t="shared" si="255"/>
        <v>66035.450785825466</v>
      </c>
      <c r="AO104" s="2">
        <v>70</v>
      </c>
      <c r="AP104" s="57">
        <f t="shared" si="260"/>
        <v>301406</v>
      </c>
      <c r="AQ104" s="62">
        <f t="shared" si="261"/>
        <v>72010.976106830989</v>
      </c>
      <c r="AR104" s="2">
        <v>69</v>
      </c>
      <c r="AS104" s="57">
        <f t="shared" si="265"/>
        <v>315793</v>
      </c>
      <c r="AT104" s="62">
        <f t="shared" si="266"/>
        <v>78527.37545286669</v>
      </c>
      <c r="AU104" s="2">
        <v>68</v>
      </c>
      <c r="AV104" s="57">
        <f t="shared" si="271"/>
        <v>330866</v>
      </c>
      <c r="AW104" s="62">
        <f t="shared" si="272"/>
        <v>85633.265199733927</v>
      </c>
      <c r="AX104" s="2">
        <v>67</v>
      </c>
      <c r="AY104" s="57">
        <f t="shared" si="277"/>
        <v>346659</v>
      </c>
      <c r="AZ104" s="62">
        <f t="shared" si="278"/>
        <v>93382.31197982197</v>
      </c>
      <c r="BA104" s="2">
        <v>66</v>
      </c>
      <c r="BB104" s="57">
        <f t="shared" si="284"/>
        <v>363206</v>
      </c>
      <c r="BC104" s="62">
        <f t="shared" si="285"/>
        <v>101832.62423996079</v>
      </c>
      <c r="BD104" s="2">
        <v>65</v>
      </c>
      <c r="BE104" s="57">
        <f t="shared" si="289"/>
        <v>380542</v>
      </c>
      <c r="BF104" s="62">
        <f t="shared" si="290"/>
        <v>111047.37505093592</v>
      </c>
      <c r="BG104" s="2">
        <v>64</v>
      </c>
      <c r="BH104" s="57">
        <f t="shared" ref="BH104:BH163" si="296">$E$39</f>
        <v>398706</v>
      </c>
      <c r="BI104" s="62">
        <f t="shared" ref="BI104:BI135" si="297">SUM($G$10*$G$11*BH104*(EXP(-($G$10*BG104))),$G$10*$G$11*BH104*(EXP(-($G$10*(BG104+0.1)))),$G$10*$G$11*BH104*(EXP(-($G$10*(BG104+0.2)))),$G$10*$G$11*BH104*(EXP(-($G$10*(BG104+0.3)))),$G$10*$G$11*BH104*(EXP(-($G$10*(BG104+0.4)))),$G$10*$G$11*BH104*(EXP(-($G$10*(BG104+0.5)))),$G$10*$G$11*BH104*(EXP(-($G$10*(BG104+0.6)))),$G$10*$G$11*BH104*(EXP(-($G$10*(BG104+0.7)))),$G$10*$G$11*BH104*(EXP(-($G$10*(BG104+0.8)))),$G$10*$G$11*BH104*(EXP(-($G$10*(BG104+0.9)))))/10</f>
        <v>121096.12641870491</v>
      </c>
      <c r="BJ104" s="2">
        <v>63</v>
      </c>
      <c r="BK104" s="57">
        <f t="shared" si="139"/>
        <v>417737</v>
      </c>
      <c r="BL104" s="62">
        <f t="shared" si="140"/>
        <v>132054.19521444369</v>
      </c>
      <c r="BM104" s="2">
        <v>62</v>
      </c>
      <c r="BN104" s="57">
        <f t="shared" si="144"/>
        <v>437677</v>
      </c>
      <c r="BO104" s="62">
        <f t="shared" si="145"/>
        <v>144004.06893075921</v>
      </c>
      <c r="BP104" s="2">
        <v>61</v>
      </c>
      <c r="BQ104" s="57">
        <f t="shared" si="147"/>
        <v>458568</v>
      </c>
      <c r="BR104" s="62">
        <f t="shared" si="148"/>
        <v>157035.03771933558</v>
      </c>
      <c r="BS104" s="2">
        <v>60</v>
      </c>
      <c r="BT104" s="57">
        <f t="shared" si="152"/>
        <v>480456</v>
      </c>
      <c r="BU104" s="62">
        <f t="shared" si="153"/>
        <v>171245.12561387697</v>
      </c>
      <c r="BV104" s="2">
        <v>59</v>
      </c>
      <c r="BW104" s="57">
        <f t="shared" si="155"/>
        <v>503389</v>
      </c>
      <c r="BX104" s="62">
        <f t="shared" si="156"/>
        <v>186741.17949602855</v>
      </c>
      <c r="BY104" s="2">
        <v>58</v>
      </c>
      <c r="BZ104" s="57">
        <f t="shared" si="160"/>
        <v>527417</v>
      </c>
      <c r="CA104" s="62">
        <f t="shared" si="161"/>
        <v>203639.62086247629</v>
      </c>
      <c r="CB104" s="2">
        <v>57</v>
      </c>
      <c r="CC104" s="57">
        <f t="shared" si="163"/>
        <v>552592</v>
      </c>
      <c r="CD104" s="62">
        <f t="shared" si="164"/>
        <v>222067.2570331131</v>
      </c>
      <c r="CE104" s="2">
        <v>56</v>
      </c>
      <c r="CF104" s="57">
        <f t="shared" si="168"/>
        <v>578968</v>
      </c>
      <c r="CG104" s="62">
        <f t="shared" si="169"/>
        <v>242162.15616843192</v>
      </c>
      <c r="CH104" s="2">
        <v>55</v>
      </c>
      <c r="CI104" s="57">
        <f t="shared" si="172"/>
        <v>606603</v>
      </c>
      <c r="CJ104" s="62">
        <f t="shared" si="173"/>
        <v>264075.46143517009</v>
      </c>
      <c r="CK104" s="2">
        <v>54</v>
      </c>
      <c r="CL104" s="57">
        <f t="shared" si="175"/>
        <v>635558</v>
      </c>
      <c r="CM104" s="62">
        <f t="shared" si="176"/>
        <v>287972.13253276487</v>
      </c>
      <c r="CN104" s="2">
        <v>53</v>
      </c>
      <c r="CO104" s="57">
        <f t="shared" si="180"/>
        <v>665894</v>
      </c>
      <c r="CP104" s="62">
        <f t="shared" si="181"/>
        <v>314030.73363756761</v>
      </c>
      <c r="CQ104" s="2">
        <v>52</v>
      </c>
      <c r="CR104" s="57">
        <f t="shared" si="183"/>
        <v>697679</v>
      </c>
      <c r="CS104" s="62">
        <f t="shared" si="184"/>
        <v>342447.88030374062</v>
      </c>
      <c r="CT104" s="2">
        <v>51</v>
      </c>
      <c r="CU104" s="57">
        <f t="shared" si="188"/>
        <v>730980</v>
      </c>
      <c r="CV104" s="62">
        <f t="shared" si="189"/>
        <v>373435.9335321408</v>
      </c>
      <c r="CW104" s="2">
        <v>50</v>
      </c>
      <c r="CX104" s="57">
        <f t="shared" si="191"/>
        <v>765871</v>
      </c>
      <c r="CY104" s="62">
        <f t="shared" si="192"/>
        <v>407228.35971589963</v>
      </c>
      <c r="CZ104" s="2">
        <v>49</v>
      </c>
      <c r="DA104" s="57">
        <f t="shared" si="196"/>
        <v>0</v>
      </c>
      <c r="DB104" s="62">
        <f t="shared" si="197"/>
        <v>0</v>
      </c>
      <c r="DC104" s="2">
        <v>48</v>
      </c>
      <c r="DD104" s="57">
        <f t="shared" si="202"/>
        <v>0</v>
      </c>
      <c r="DE104" s="62">
        <f t="shared" si="203"/>
        <v>0</v>
      </c>
      <c r="DF104" s="2">
        <v>47</v>
      </c>
      <c r="DG104" s="57">
        <f t="shared" si="209"/>
        <v>0</v>
      </c>
      <c r="DH104" s="62">
        <f t="shared" si="210"/>
        <v>0</v>
      </c>
      <c r="DI104" s="2">
        <v>46</v>
      </c>
      <c r="DJ104" s="57">
        <f t="shared" si="215"/>
        <v>0</v>
      </c>
      <c r="DK104" s="62">
        <f t="shared" si="216"/>
        <v>0</v>
      </c>
      <c r="DL104" s="2">
        <v>45</v>
      </c>
      <c r="DM104" s="57">
        <f t="shared" si="222"/>
        <v>0</v>
      </c>
      <c r="DN104" s="62">
        <f t="shared" si="223"/>
        <v>0</v>
      </c>
      <c r="DO104" s="2">
        <v>44</v>
      </c>
      <c r="DP104" s="57">
        <f t="shared" si="227"/>
        <v>0</v>
      </c>
      <c r="DQ104" s="62">
        <f t="shared" si="228"/>
        <v>0</v>
      </c>
      <c r="DR104" s="2">
        <v>43</v>
      </c>
      <c r="DS104" s="57">
        <f t="shared" si="234"/>
        <v>0</v>
      </c>
      <c r="DT104" s="62">
        <f t="shared" si="235"/>
        <v>0</v>
      </c>
      <c r="DU104" s="2">
        <v>42</v>
      </c>
      <c r="DV104" s="57">
        <f t="shared" si="239"/>
        <v>0</v>
      </c>
      <c r="DW104" s="62">
        <f t="shared" si="240"/>
        <v>0</v>
      </c>
      <c r="DX104" s="2">
        <v>41</v>
      </c>
      <c r="DY104" s="57">
        <f t="shared" si="245"/>
        <v>0</v>
      </c>
      <c r="DZ104" s="62">
        <f t="shared" si="246"/>
        <v>0</v>
      </c>
      <c r="EA104" s="2">
        <v>40</v>
      </c>
      <c r="EB104" s="57">
        <f t="shared" si="109"/>
        <v>0</v>
      </c>
      <c r="EC104" s="62">
        <f t="shared" si="252"/>
        <v>0</v>
      </c>
      <c r="ED104" s="2">
        <v>39</v>
      </c>
      <c r="EE104" s="57">
        <f t="shared" si="113"/>
        <v>0</v>
      </c>
      <c r="EF104" s="62">
        <f t="shared" si="256"/>
        <v>0</v>
      </c>
      <c r="EG104" s="2">
        <v>38</v>
      </c>
      <c r="EH104" s="57">
        <f t="shared" si="117"/>
        <v>0</v>
      </c>
      <c r="EI104" s="62">
        <f t="shared" si="262"/>
        <v>0</v>
      </c>
      <c r="EJ104" s="2">
        <v>37</v>
      </c>
      <c r="EK104" s="57">
        <f t="shared" si="121"/>
        <v>0</v>
      </c>
      <c r="EL104" s="62">
        <f t="shared" si="267"/>
        <v>0</v>
      </c>
      <c r="EM104" s="2">
        <v>36</v>
      </c>
      <c r="EN104" s="57">
        <f t="shared" si="125"/>
        <v>0</v>
      </c>
      <c r="EO104" s="62">
        <f t="shared" si="273"/>
        <v>0</v>
      </c>
      <c r="EP104" s="2">
        <v>35</v>
      </c>
      <c r="EQ104" s="57">
        <f t="shared" si="129"/>
        <v>0</v>
      </c>
      <c r="ER104" s="62">
        <f t="shared" si="279"/>
        <v>0</v>
      </c>
      <c r="ES104" s="2">
        <v>34</v>
      </c>
      <c r="ET104" s="57">
        <f t="shared" si="130"/>
        <v>0</v>
      </c>
      <c r="EU104" s="62">
        <f t="shared" si="286"/>
        <v>0</v>
      </c>
      <c r="EV104" s="2">
        <v>33</v>
      </c>
      <c r="EW104" s="57">
        <f t="shared" si="134"/>
        <v>0</v>
      </c>
      <c r="EX104" s="62">
        <f t="shared" si="291"/>
        <v>0</v>
      </c>
      <c r="EY104" s="2">
        <v>32</v>
      </c>
      <c r="EZ104" s="57">
        <f t="shared" si="141"/>
        <v>0</v>
      </c>
      <c r="FA104" s="62">
        <f t="shared" ref="FA104:FA135" si="298">SUM($G$10*$G$11*EZ104*(EXP(-($G$10*EY104))),$G$10*$G$11*EZ104*(EXP(-($G$10*(EY104+0.1)))),$G$10*$G$11*EZ104*(EXP(-($G$10*(EY104+0.2)))),$G$10*$G$11*EZ104*(EXP(-($G$10*(EY104+0.3)))),$G$10*$G$11*EZ104*(EXP(-($G$10*(EY104+0.4)))),$G$10*$G$11*EZ104*(EXP(-($G$10*(EY104+0.5)))),$G$10*$G$11*EZ104*(EXP(-($G$10*(EY104+0.6)))),$G$10*$G$11*EZ104*(EXP(-($G$10*(EY104+0.7)))),$G$10*$G$11*EZ104*(EXP(-($G$10*(EY104+0.8)))),$G$10*$G$11*EZ104*(EXP(-($G$10*(EY104+0.9)))))/10</f>
        <v>0</v>
      </c>
      <c r="FB104" s="2">
        <v>31</v>
      </c>
      <c r="FC104" s="57">
        <f t="shared" si="142"/>
        <v>0</v>
      </c>
      <c r="FD104" s="62">
        <f t="shared" si="143"/>
        <v>0</v>
      </c>
      <c r="FE104" s="2">
        <v>30</v>
      </c>
      <c r="FF104" s="57">
        <f t="shared" si="149"/>
        <v>0</v>
      </c>
      <c r="FG104" s="62">
        <f t="shared" si="146"/>
        <v>0</v>
      </c>
      <c r="FH104" s="2">
        <v>29</v>
      </c>
      <c r="FI104" s="57">
        <f t="shared" si="150"/>
        <v>0</v>
      </c>
      <c r="FJ104" s="62">
        <f t="shared" si="151"/>
        <v>0</v>
      </c>
      <c r="FK104" s="2">
        <v>28</v>
      </c>
      <c r="FL104" s="57">
        <f t="shared" si="157"/>
        <v>0</v>
      </c>
      <c r="FM104" s="62">
        <f t="shared" si="154"/>
        <v>0</v>
      </c>
      <c r="FN104" s="2">
        <v>27</v>
      </c>
      <c r="FO104" s="57">
        <f t="shared" si="158"/>
        <v>0</v>
      </c>
      <c r="FP104" s="62">
        <f t="shared" si="159"/>
        <v>0</v>
      </c>
      <c r="FQ104" s="2">
        <v>26</v>
      </c>
      <c r="FR104" s="57">
        <f t="shared" si="165"/>
        <v>0</v>
      </c>
      <c r="FS104" s="62">
        <f t="shared" si="162"/>
        <v>0</v>
      </c>
      <c r="FT104" s="2">
        <v>25</v>
      </c>
      <c r="FU104" s="57">
        <f t="shared" si="166"/>
        <v>0</v>
      </c>
      <c r="FV104" s="62">
        <f t="shared" si="167"/>
        <v>0</v>
      </c>
      <c r="FW104" s="2">
        <v>24</v>
      </c>
      <c r="FX104" s="57">
        <f t="shared" si="170"/>
        <v>0</v>
      </c>
      <c r="FY104" s="62">
        <f t="shared" si="171"/>
        <v>0</v>
      </c>
      <c r="FZ104" s="2">
        <v>23</v>
      </c>
      <c r="GA104" s="57">
        <f t="shared" si="177"/>
        <v>0</v>
      </c>
      <c r="GB104" s="62">
        <f t="shared" si="174"/>
        <v>0</v>
      </c>
      <c r="GC104" s="2">
        <v>22</v>
      </c>
      <c r="GD104" s="57">
        <f t="shared" si="178"/>
        <v>0</v>
      </c>
      <c r="GE104" s="62">
        <f t="shared" si="179"/>
        <v>0</v>
      </c>
      <c r="GF104" s="2">
        <v>21</v>
      </c>
      <c r="GG104" s="57">
        <f t="shared" si="185"/>
        <v>0</v>
      </c>
      <c r="GH104" s="62">
        <f t="shared" si="182"/>
        <v>0</v>
      </c>
      <c r="GI104" s="2">
        <v>20</v>
      </c>
      <c r="GJ104" s="57">
        <f t="shared" si="186"/>
        <v>0</v>
      </c>
      <c r="GK104" s="62">
        <f t="shared" si="187"/>
        <v>0</v>
      </c>
      <c r="GL104" s="2">
        <v>19</v>
      </c>
      <c r="GM104" s="57">
        <f t="shared" si="193"/>
        <v>0</v>
      </c>
      <c r="GN104" s="62">
        <f t="shared" si="190"/>
        <v>0</v>
      </c>
      <c r="GO104" s="2">
        <v>18</v>
      </c>
      <c r="GP104" s="57">
        <f t="shared" si="194"/>
        <v>0</v>
      </c>
      <c r="GQ104" s="62">
        <f t="shared" si="195"/>
        <v>0</v>
      </c>
      <c r="GR104" s="2">
        <v>17</v>
      </c>
      <c r="GS104" s="57">
        <f t="shared" si="204"/>
        <v>0</v>
      </c>
      <c r="GT104" s="62">
        <f t="shared" si="198"/>
        <v>0</v>
      </c>
      <c r="GU104" s="2">
        <v>16</v>
      </c>
      <c r="GV104" s="57">
        <f t="shared" si="205"/>
        <v>0</v>
      </c>
      <c r="GW104" s="62">
        <f t="shared" si="206"/>
        <v>0</v>
      </c>
      <c r="GX104" s="2">
        <v>15</v>
      </c>
      <c r="GY104" s="57">
        <f t="shared" si="217"/>
        <v>0</v>
      </c>
      <c r="GZ104" s="62">
        <f t="shared" si="211"/>
        <v>0</v>
      </c>
      <c r="HA104" s="2">
        <v>14</v>
      </c>
      <c r="HB104" s="57">
        <f t="shared" si="218"/>
        <v>0</v>
      </c>
      <c r="HC104" s="62">
        <f t="shared" si="219"/>
        <v>0</v>
      </c>
      <c r="HD104" s="2">
        <v>13</v>
      </c>
      <c r="HE104" s="57">
        <f t="shared" si="229"/>
        <v>0</v>
      </c>
      <c r="HF104" s="62">
        <f t="shared" si="224"/>
        <v>0</v>
      </c>
      <c r="HG104" s="2">
        <v>12</v>
      </c>
      <c r="HH104" s="57">
        <f t="shared" si="230"/>
        <v>0</v>
      </c>
      <c r="HI104" s="62">
        <f t="shared" si="231"/>
        <v>0</v>
      </c>
      <c r="HJ104" s="2">
        <v>11</v>
      </c>
      <c r="HK104" s="57">
        <f t="shared" si="241"/>
        <v>0</v>
      </c>
      <c r="HL104" s="62">
        <f t="shared" si="236"/>
        <v>0</v>
      </c>
      <c r="HM104" s="2">
        <v>10</v>
      </c>
      <c r="HN104" s="57">
        <f t="shared" si="247"/>
        <v>0</v>
      </c>
      <c r="HO104" s="62">
        <f t="shared" si="242"/>
        <v>0</v>
      </c>
      <c r="HP104" s="2">
        <v>9</v>
      </c>
      <c r="HQ104" s="57">
        <f t="shared" si="248"/>
        <v>0</v>
      </c>
      <c r="HR104" s="62">
        <f t="shared" si="249"/>
        <v>0</v>
      </c>
      <c r="HS104" s="2">
        <v>8</v>
      </c>
      <c r="HT104" s="57">
        <f t="shared" si="257"/>
        <v>0</v>
      </c>
      <c r="HU104" s="62">
        <f t="shared" si="253"/>
        <v>0</v>
      </c>
      <c r="HV104" s="2">
        <v>7</v>
      </c>
      <c r="HW104" s="57">
        <f t="shared" si="258"/>
        <v>0</v>
      </c>
      <c r="HX104" s="62">
        <f t="shared" si="259"/>
        <v>0</v>
      </c>
      <c r="HY104" s="2">
        <v>6</v>
      </c>
      <c r="HZ104" s="57">
        <f t="shared" si="268"/>
        <v>0</v>
      </c>
      <c r="IA104" s="62">
        <f t="shared" si="263"/>
        <v>0</v>
      </c>
      <c r="IB104" s="2">
        <v>5</v>
      </c>
      <c r="IC104" s="57">
        <f t="shared" si="274"/>
        <v>0</v>
      </c>
      <c r="ID104" s="62">
        <f t="shared" si="269"/>
        <v>0</v>
      </c>
      <c r="IE104" s="2">
        <v>4</v>
      </c>
      <c r="IF104" s="57">
        <f t="shared" si="280"/>
        <v>0</v>
      </c>
      <c r="IG104" s="62">
        <f t="shared" si="275"/>
        <v>0</v>
      </c>
      <c r="IH104" s="2">
        <v>3</v>
      </c>
      <c r="II104" s="57">
        <f t="shared" si="281"/>
        <v>0</v>
      </c>
      <c r="IJ104" s="62">
        <f t="shared" si="282"/>
        <v>0</v>
      </c>
      <c r="IK104" s="2">
        <v>2</v>
      </c>
      <c r="IL104" s="57">
        <f t="shared" si="292"/>
        <v>0</v>
      </c>
      <c r="IM104" s="62">
        <f t="shared" si="287"/>
        <v>0</v>
      </c>
      <c r="IN104" s="2">
        <v>1</v>
      </c>
      <c r="IO104" s="57">
        <f t="shared" si="293"/>
        <v>0</v>
      </c>
      <c r="IP104" s="62">
        <f t="shared" si="294"/>
        <v>0</v>
      </c>
    </row>
    <row r="105" spans="2:250">
      <c r="D105" s="654"/>
      <c r="E105" s="654"/>
      <c r="G105" s="284"/>
      <c r="H105" s="284"/>
      <c r="I105" s="2">
        <f t="shared" si="212"/>
        <v>2100</v>
      </c>
      <c r="J105" s="379">
        <f t="shared" si="264"/>
        <v>4408584.8213521056</v>
      </c>
      <c r="K105" s="2">
        <f t="shared" si="212"/>
        <v>81</v>
      </c>
      <c r="L105" s="57">
        <f t="shared" si="200"/>
        <v>189082</v>
      </c>
      <c r="M105" s="62">
        <f t="shared" si="201"/>
        <v>29094.266975980881</v>
      </c>
      <c r="N105" s="2">
        <f t="shared" si="270"/>
        <v>80</v>
      </c>
      <c r="O105" s="57">
        <f t="shared" si="207"/>
        <v>293489</v>
      </c>
      <c r="P105" s="62">
        <f t="shared" si="208"/>
        <v>47002.487229743783</v>
      </c>
      <c r="Q105" s="2">
        <f t="shared" si="276"/>
        <v>79</v>
      </c>
      <c r="R105" s="57">
        <f t="shared" si="213"/>
        <v>283523</v>
      </c>
      <c r="S105" s="62">
        <f t="shared" si="214"/>
        <v>47259.496073900082</v>
      </c>
      <c r="T105" s="2">
        <f t="shared" si="283"/>
        <v>78</v>
      </c>
      <c r="U105" s="57">
        <f t="shared" si="220"/>
        <v>143321</v>
      </c>
      <c r="V105" s="62">
        <f t="shared" si="221"/>
        <v>24864.652834062847</v>
      </c>
      <c r="W105" s="2">
        <f t="shared" si="288"/>
        <v>77</v>
      </c>
      <c r="X105" s="57">
        <f t="shared" si="225"/>
        <v>227851</v>
      </c>
      <c r="Y105" s="62">
        <f t="shared" si="226"/>
        <v>41142.936783288533</v>
      </c>
      <c r="Z105" s="2">
        <f t="shared" si="295"/>
        <v>76</v>
      </c>
      <c r="AA105" s="57">
        <f t="shared" si="232"/>
        <v>238727</v>
      </c>
      <c r="AB105" s="62">
        <f t="shared" si="233"/>
        <v>44866.032764834454</v>
      </c>
      <c r="AC105" s="2">
        <f t="shared" ref="AC105:AC123" si="299">IF(AC104="","",(AC104+1))</f>
        <v>75</v>
      </c>
      <c r="AD105" s="57">
        <f t="shared" si="237"/>
        <v>250122</v>
      </c>
      <c r="AE105" s="62">
        <f t="shared" si="238"/>
        <v>48926.010105113048</v>
      </c>
      <c r="AF105" s="2">
        <v>74</v>
      </c>
      <c r="AG105" s="57">
        <f t="shared" si="243"/>
        <v>262060</v>
      </c>
      <c r="AH105" s="62">
        <f t="shared" si="244"/>
        <v>53353.194035258552</v>
      </c>
      <c r="AI105" s="2">
        <v>73</v>
      </c>
      <c r="AJ105" s="57">
        <f t="shared" si="250"/>
        <v>274569</v>
      </c>
      <c r="AK105" s="62">
        <f t="shared" si="251"/>
        <v>58181.239401185725</v>
      </c>
      <c r="AL105" s="2">
        <v>72</v>
      </c>
      <c r="AM105" s="57">
        <f t="shared" si="254"/>
        <v>287675</v>
      </c>
      <c r="AN105" s="62">
        <f t="shared" si="255"/>
        <v>63446.163724684098</v>
      </c>
      <c r="AO105" s="2">
        <v>71</v>
      </c>
      <c r="AP105" s="57">
        <f t="shared" si="260"/>
        <v>301406</v>
      </c>
      <c r="AQ105" s="62">
        <f t="shared" si="261"/>
        <v>69187.38534649348</v>
      </c>
      <c r="AR105" s="2">
        <v>70</v>
      </c>
      <c r="AS105" s="57">
        <f t="shared" si="265"/>
        <v>315793</v>
      </c>
      <c r="AT105" s="62">
        <f t="shared" si="266"/>
        <v>75448.273019463697</v>
      </c>
      <c r="AU105" s="2">
        <v>69</v>
      </c>
      <c r="AV105" s="57">
        <f t="shared" si="271"/>
        <v>330866</v>
      </c>
      <c r="AW105" s="62">
        <f t="shared" si="272"/>
        <v>82275.536844034519</v>
      </c>
      <c r="AX105" s="2">
        <v>68</v>
      </c>
      <c r="AY105" s="57">
        <f t="shared" si="277"/>
        <v>346659</v>
      </c>
      <c r="AZ105" s="62">
        <f t="shared" si="278"/>
        <v>89720.73915384039</v>
      </c>
      <c r="BA105" s="2">
        <v>67</v>
      </c>
      <c r="BB105" s="57">
        <f t="shared" si="284"/>
        <v>363206</v>
      </c>
      <c r="BC105" s="62">
        <f t="shared" si="285"/>
        <v>97839.709930921192</v>
      </c>
      <c r="BD105" s="2">
        <v>66</v>
      </c>
      <c r="BE105" s="57">
        <f t="shared" si="289"/>
        <v>380542</v>
      </c>
      <c r="BF105" s="62">
        <f t="shared" si="290"/>
        <v>106693.14519452641</v>
      </c>
      <c r="BG105" s="2">
        <v>65</v>
      </c>
      <c r="BH105" s="57">
        <f t="shared" si="296"/>
        <v>398706</v>
      </c>
      <c r="BI105" s="62">
        <f t="shared" si="297"/>
        <v>116347.87938534631</v>
      </c>
      <c r="BJ105" s="2">
        <v>64</v>
      </c>
      <c r="BK105" s="57">
        <f t="shared" ref="BK105:BK163" si="300">$E$40</f>
        <v>417737</v>
      </c>
      <c r="BL105" s="62">
        <f t="shared" ref="BL105:BL136" si="301">SUM($G$10*$G$11*BK105*(EXP(-($G$10*BJ105))),$G$10*$G$11*BK105*(EXP(-($G$10*(BJ105+0.1)))),$G$10*$G$11*BK105*(EXP(-($G$10*(BJ105+0.2)))),$G$10*$G$11*BK105*(EXP(-($G$10*(BJ105+0.3)))),$G$10*$G$11*BK105*(EXP(-($G$10*(BJ105+0.4)))),$G$10*$G$11*BK105*(EXP(-($G$10*(BJ105+0.5)))),$G$10*$G$11*BK105*(EXP(-($G$10*(BJ105+0.6)))),$G$10*$G$11*BK105*(EXP(-($G$10*(BJ105+0.7)))),$G$10*$G$11*BK105*(EXP(-($G$10*(BJ105+0.8)))),$G$10*$G$11*BK105*(EXP(-($G$10*(BJ105+0.9)))))/10</f>
        <v>126876.2761577968</v>
      </c>
      <c r="BM105" s="2">
        <v>63</v>
      </c>
      <c r="BN105" s="57">
        <f t="shared" si="144"/>
        <v>437677</v>
      </c>
      <c r="BO105" s="62">
        <f t="shared" si="145"/>
        <v>138357.58862363658</v>
      </c>
      <c r="BP105" s="2">
        <v>62</v>
      </c>
      <c r="BQ105" s="57">
        <f t="shared" si="147"/>
        <v>458568</v>
      </c>
      <c r="BR105" s="62">
        <f t="shared" si="148"/>
        <v>150877.60581762437</v>
      </c>
      <c r="BS105" s="2">
        <v>61</v>
      </c>
      <c r="BT105" s="57">
        <f t="shared" si="152"/>
        <v>480456</v>
      </c>
      <c r="BU105" s="62">
        <f t="shared" si="153"/>
        <v>164530.50819612603</v>
      </c>
      <c r="BV105" s="2">
        <v>60</v>
      </c>
      <c r="BW105" s="57">
        <f t="shared" si="155"/>
        <v>503389</v>
      </c>
      <c r="BX105" s="62">
        <f t="shared" si="156"/>
        <v>179418.95311463258</v>
      </c>
      <c r="BY105" s="2">
        <v>59</v>
      </c>
      <c r="BZ105" s="57">
        <f t="shared" si="160"/>
        <v>527417</v>
      </c>
      <c r="CA105" s="62">
        <f t="shared" si="161"/>
        <v>195654.79711765033</v>
      </c>
      <c r="CB105" s="2">
        <v>58</v>
      </c>
      <c r="CC105" s="57">
        <f t="shared" si="163"/>
        <v>552592</v>
      </c>
      <c r="CD105" s="62">
        <f t="shared" si="164"/>
        <v>213359.87533893957</v>
      </c>
      <c r="CE105" s="2">
        <v>57</v>
      </c>
      <c r="CF105" s="57">
        <f t="shared" si="168"/>
        <v>578968</v>
      </c>
      <c r="CG105" s="62">
        <f t="shared" si="169"/>
        <v>232666.84220898506</v>
      </c>
      <c r="CH105" s="2">
        <v>56</v>
      </c>
      <c r="CI105" s="57">
        <f t="shared" si="172"/>
        <v>606603</v>
      </c>
      <c r="CJ105" s="62">
        <f t="shared" si="173"/>
        <v>253720.91448618803</v>
      </c>
      <c r="CK105" s="2">
        <v>55</v>
      </c>
      <c r="CL105" s="57">
        <f t="shared" si="175"/>
        <v>635558</v>
      </c>
      <c r="CM105" s="62">
        <f t="shared" si="176"/>
        <v>276680.58370765368</v>
      </c>
      <c r="CN105" s="2">
        <v>54</v>
      </c>
      <c r="CO105" s="57">
        <f t="shared" si="180"/>
        <v>665894</v>
      </c>
      <c r="CP105" s="62">
        <f t="shared" si="181"/>
        <v>301717.41244823125</v>
      </c>
      <c r="CQ105" s="2">
        <v>53</v>
      </c>
      <c r="CR105" s="57">
        <f t="shared" si="183"/>
        <v>697679</v>
      </c>
      <c r="CS105" s="62">
        <f t="shared" si="184"/>
        <v>329020.30685593287</v>
      </c>
      <c r="CT105" s="2">
        <v>52</v>
      </c>
      <c r="CU105" s="57">
        <f t="shared" si="188"/>
        <v>730980</v>
      </c>
      <c r="CV105" s="62">
        <f t="shared" si="189"/>
        <v>358793.30113766983</v>
      </c>
      <c r="CW105" s="2">
        <v>51</v>
      </c>
      <c r="CX105" s="57">
        <f t="shared" si="191"/>
        <v>765871</v>
      </c>
      <c r="CY105" s="62">
        <f t="shared" si="192"/>
        <v>391260.70733835979</v>
      </c>
      <c r="CZ105" s="2">
        <v>50</v>
      </c>
      <c r="DA105" s="57">
        <f t="shared" si="196"/>
        <v>0</v>
      </c>
      <c r="DB105" s="62">
        <f t="shared" si="197"/>
        <v>0</v>
      </c>
      <c r="DC105" s="2">
        <v>49</v>
      </c>
      <c r="DD105" s="57">
        <f t="shared" si="202"/>
        <v>0</v>
      </c>
      <c r="DE105" s="62">
        <f t="shared" si="203"/>
        <v>0</v>
      </c>
      <c r="DF105" s="2">
        <v>48</v>
      </c>
      <c r="DG105" s="57">
        <f t="shared" si="209"/>
        <v>0</v>
      </c>
      <c r="DH105" s="62">
        <f t="shared" si="210"/>
        <v>0</v>
      </c>
      <c r="DI105" s="2">
        <v>47</v>
      </c>
      <c r="DJ105" s="57">
        <f t="shared" si="215"/>
        <v>0</v>
      </c>
      <c r="DK105" s="62">
        <f t="shared" si="216"/>
        <v>0</v>
      </c>
      <c r="DL105" s="2">
        <v>46</v>
      </c>
      <c r="DM105" s="57">
        <f t="shared" si="222"/>
        <v>0</v>
      </c>
      <c r="DN105" s="62">
        <f t="shared" si="223"/>
        <v>0</v>
      </c>
      <c r="DO105" s="2">
        <v>45</v>
      </c>
      <c r="DP105" s="57">
        <f t="shared" si="227"/>
        <v>0</v>
      </c>
      <c r="DQ105" s="62">
        <f t="shared" si="228"/>
        <v>0</v>
      </c>
      <c r="DR105" s="2">
        <v>44</v>
      </c>
      <c r="DS105" s="57">
        <f t="shared" si="234"/>
        <v>0</v>
      </c>
      <c r="DT105" s="62">
        <f t="shared" si="235"/>
        <v>0</v>
      </c>
      <c r="DU105" s="2">
        <v>43</v>
      </c>
      <c r="DV105" s="57">
        <f t="shared" si="239"/>
        <v>0</v>
      </c>
      <c r="DW105" s="62">
        <f t="shared" si="240"/>
        <v>0</v>
      </c>
      <c r="DX105" s="2">
        <v>42</v>
      </c>
      <c r="DY105" s="57">
        <f t="shared" si="245"/>
        <v>0</v>
      </c>
      <c r="DZ105" s="62">
        <f t="shared" si="246"/>
        <v>0</v>
      </c>
      <c r="EA105" s="2">
        <v>41</v>
      </c>
      <c r="EB105" s="57">
        <f t="shared" si="109"/>
        <v>0</v>
      </c>
      <c r="EC105" s="62">
        <f t="shared" si="252"/>
        <v>0</v>
      </c>
      <c r="ED105" s="2">
        <v>40</v>
      </c>
      <c r="EE105" s="57">
        <f t="shared" si="113"/>
        <v>0</v>
      </c>
      <c r="EF105" s="62">
        <f t="shared" si="256"/>
        <v>0</v>
      </c>
      <c r="EG105" s="2">
        <v>39</v>
      </c>
      <c r="EH105" s="57">
        <f t="shared" si="117"/>
        <v>0</v>
      </c>
      <c r="EI105" s="62">
        <f t="shared" si="262"/>
        <v>0</v>
      </c>
      <c r="EJ105" s="2">
        <v>38</v>
      </c>
      <c r="EK105" s="57">
        <f t="shared" si="121"/>
        <v>0</v>
      </c>
      <c r="EL105" s="62">
        <f t="shared" si="267"/>
        <v>0</v>
      </c>
      <c r="EM105" s="2">
        <v>37</v>
      </c>
      <c r="EN105" s="57">
        <f t="shared" si="125"/>
        <v>0</v>
      </c>
      <c r="EO105" s="62">
        <f t="shared" si="273"/>
        <v>0</v>
      </c>
      <c r="EP105" s="2">
        <v>36</v>
      </c>
      <c r="EQ105" s="57">
        <f t="shared" si="129"/>
        <v>0</v>
      </c>
      <c r="ER105" s="62">
        <f t="shared" si="279"/>
        <v>0</v>
      </c>
      <c r="ES105" s="2">
        <v>35</v>
      </c>
      <c r="ET105" s="57">
        <f t="shared" si="130"/>
        <v>0</v>
      </c>
      <c r="EU105" s="62">
        <f t="shared" si="286"/>
        <v>0</v>
      </c>
      <c r="EV105" s="2">
        <v>34</v>
      </c>
      <c r="EW105" s="57">
        <f t="shared" si="134"/>
        <v>0</v>
      </c>
      <c r="EX105" s="62">
        <f t="shared" si="291"/>
        <v>0</v>
      </c>
      <c r="EY105" s="2">
        <v>33</v>
      </c>
      <c r="EZ105" s="57">
        <f t="shared" si="141"/>
        <v>0</v>
      </c>
      <c r="FA105" s="62">
        <f t="shared" si="298"/>
        <v>0</v>
      </c>
      <c r="FB105" s="2">
        <v>32</v>
      </c>
      <c r="FC105" s="57">
        <f t="shared" si="142"/>
        <v>0</v>
      </c>
      <c r="FD105" s="62">
        <f t="shared" ref="FD105:FD136" si="302">SUM($G$10*$G$11*FC105*(EXP(-($G$10*FB105))),$G$10*$G$11*FC105*(EXP(-($G$10*(FB105+0.1)))),$G$10*$G$11*FC105*(EXP(-($G$10*(FB105+0.2)))),$G$10*$G$11*FC105*(EXP(-($G$10*(FB105+0.3)))),$G$10*$G$11*FC105*(EXP(-($G$10*(FB105+0.4)))),$G$10*$G$11*FC105*(EXP(-($G$10*(FB105+0.5)))),$G$10*$G$11*FC105*(EXP(-($G$10*(FB105+0.6)))),$G$10*$G$11*FC105*(EXP(-($G$10*(FB105+0.7)))),$G$10*$G$11*FC105*(EXP(-($G$10*(FB105+0.8)))),$G$10*$G$11*FC105*(EXP(-($G$10*(FB105+0.9)))))/10</f>
        <v>0</v>
      </c>
      <c r="FE105" s="2">
        <v>31</v>
      </c>
      <c r="FF105" s="57">
        <f t="shared" si="149"/>
        <v>0</v>
      </c>
      <c r="FG105" s="62">
        <f t="shared" si="146"/>
        <v>0</v>
      </c>
      <c r="FH105" s="2">
        <v>30</v>
      </c>
      <c r="FI105" s="57">
        <f t="shared" si="150"/>
        <v>0</v>
      </c>
      <c r="FJ105" s="62">
        <f t="shared" si="151"/>
        <v>0</v>
      </c>
      <c r="FK105" s="2">
        <v>29</v>
      </c>
      <c r="FL105" s="57">
        <f t="shared" si="157"/>
        <v>0</v>
      </c>
      <c r="FM105" s="62">
        <f t="shared" si="154"/>
        <v>0</v>
      </c>
      <c r="FN105" s="2">
        <v>28</v>
      </c>
      <c r="FO105" s="57">
        <f t="shared" si="158"/>
        <v>0</v>
      </c>
      <c r="FP105" s="62">
        <f t="shared" si="159"/>
        <v>0</v>
      </c>
      <c r="FQ105" s="2">
        <v>27</v>
      </c>
      <c r="FR105" s="57">
        <f t="shared" si="165"/>
        <v>0</v>
      </c>
      <c r="FS105" s="62">
        <f t="shared" si="162"/>
        <v>0</v>
      </c>
      <c r="FT105" s="2">
        <v>26</v>
      </c>
      <c r="FU105" s="57">
        <f t="shared" si="166"/>
        <v>0</v>
      </c>
      <c r="FV105" s="62">
        <f t="shared" si="167"/>
        <v>0</v>
      </c>
      <c r="FW105" s="2">
        <v>25</v>
      </c>
      <c r="FX105" s="57">
        <f t="shared" si="170"/>
        <v>0</v>
      </c>
      <c r="FY105" s="62">
        <f t="shared" si="171"/>
        <v>0</v>
      </c>
      <c r="FZ105" s="2">
        <v>24</v>
      </c>
      <c r="GA105" s="57">
        <f t="shared" si="177"/>
        <v>0</v>
      </c>
      <c r="GB105" s="62">
        <f t="shared" si="174"/>
        <v>0</v>
      </c>
      <c r="GC105" s="2">
        <v>23</v>
      </c>
      <c r="GD105" s="57">
        <f t="shared" si="178"/>
        <v>0</v>
      </c>
      <c r="GE105" s="62">
        <f t="shared" si="179"/>
        <v>0</v>
      </c>
      <c r="GF105" s="2">
        <v>22</v>
      </c>
      <c r="GG105" s="57">
        <f t="shared" si="185"/>
        <v>0</v>
      </c>
      <c r="GH105" s="62">
        <f t="shared" si="182"/>
        <v>0</v>
      </c>
      <c r="GI105" s="2">
        <v>21</v>
      </c>
      <c r="GJ105" s="57">
        <f t="shared" si="186"/>
        <v>0</v>
      </c>
      <c r="GK105" s="62">
        <f t="shared" si="187"/>
        <v>0</v>
      </c>
      <c r="GL105" s="2">
        <v>20</v>
      </c>
      <c r="GM105" s="57">
        <f t="shared" si="193"/>
        <v>0</v>
      </c>
      <c r="GN105" s="62">
        <f t="shared" si="190"/>
        <v>0</v>
      </c>
      <c r="GO105" s="2">
        <v>19</v>
      </c>
      <c r="GP105" s="57">
        <f t="shared" si="194"/>
        <v>0</v>
      </c>
      <c r="GQ105" s="62">
        <f t="shared" si="195"/>
        <v>0</v>
      </c>
      <c r="GR105" s="2">
        <v>18</v>
      </c>
      <c r="GS105" s="57">
        <f t="shared" si="204"/>
        <v>0</v>
      </c>
      <c r="GT105" s="62">
        <f t="shared" si="198"/>
        <v>0</v>
      </c>
      <c r="GU105" s="2">
        <v>17</v>
      </c>
      <c r="GV105" s="57">
        <f t="shared" si="205"/>
        <v>0</v>
      </c>
      <c r="GW105" s="62">
        <f t="shared" si="206"/>
        <v>0</v>
      </c>
      <c r="GX105" s="2">
        <v>16</v>
      </c>
      <c r="GY105" s="57">
        <f t="shared" si="217"/>
        <v>0</v>
      </c>
      <c r="GZ105" s="62">
        <f t="shared" si="211"/>
        <v>0</v>
      </c>
      <c r="HA105" s="2">
        <v>15</v>
      </c>
      <c r="HB105" s="57">
        <f t="shared" si="218"/>
        <v>0</v>
      </c>
      <c r="HC105" s="62">
        <f t="shared" si="219"/>
        <v>0</v>
      </c>
      <c r="HD105" s="2">
        <v>14</v>
      </c>
      <c r="HE105" s="57">
        <f t="shared" si="229"/>
        <v>0</v>
      </c>
      <c r="HF105" s="62">
        <f t="shared" si="224"/>
        <v>0</v>
      </c>
      <c r="HG105" s="2">
        <v>13</v>
      </c>
      <c r="HH105" s="57">
        <f t="shared" si="230"/>
        <v>0</v>
      </c>
      <c r="HI105" s="62">
        <f t="shared" si="231"/>
        <v>0</v>
      </c>
      <c r="HJ105" s="2">
        <v>12</v>
      </c>
      <c r="HK105" s="57">
        <f t="shared" si="241"/>
        <v>0</v>
      </c>
      <c r="HL105" s="62">
        <f t="shared" si="236"/>
        <v>0</v>
      </c>
      <c r="HM105" s="2">
        <v>11</v>
      </c>
      <c r="HN105" s="57">
        <f t="shared" si="247"/>
        <v>0</v>
      </c>
      <c r="HO105" s="62">
        <f t="shared" si="242"/>
        <v>0</v>
      </c>
      <c r="HP105" s="2">
        <v>10</v>
      </c>
      <c r="HQ105" s="57">
        <f t="shared" si="248"/>
        <v>0</v>
      </c>
      <c r="HR105" s="62">
        <f t="shared" si="249"/>
        <v>0</v>
      </c>
      <c r="HS105" s="2">
        <v>9</v>
      </c>
      <c r="HT105" s="57">
        <f t="shared" si="257"/>
        <v>0</v>
      </c>
      <c r="HU105" s="62">
        <f t="shared" si="253"/>
        <v>0</v>
      </c>
      <c r="HV105" s="2">
        <v>8</v>
      </c>
      <c r="HW105" s="57">
        <f t="shared" si="258"/>
        <v>0</v>
      </c>
      <c r="HX105" s="62">
        <f t="shared" si="259"/>
        <v>0</v>
      </c>
      <c r="HY105" s="2">
        <v>7</v>
      </c>
      <c r="HZ105" s="57">
        <f t="shared" si="268"/>
        <v>0</v>
      </c>
      <c r="IA105" s="62">
        <f t="shared" si="263"/>
        <v>0</v>
      </c>
      <c r="IB105" s="2">
        <v>6</v>
      </c>
      <c r="IC105" s="57">
        <f t="shared" si="274"/>
        <v>0</v>
      </c>
      <c r="ID105" s="62">
        <f t="shared" si="269"/>
        <v>0</v>
      </c>
      <c r="IE105" s="2">
        <v>5</v>
      </c>
      <c r="IF105" s="57">
        <f t="shared" si="280"/>
        <v>0</v>
      </c>
      <c r="IG105" s="62">
        <f t="shared" si="275"/>
        <v>0</v>
      </c>
      <c r="IH105" s="2">
        <v>4</v>
      </c>
      <c r="II105" s="57">
        <f t="shared" si="281"/>
        <v>0</v>
      </c>
      <c r="IJ105" s="62">
        <f t="shared" si="282"/>
        <v>0</v>
      </c>
      <c r="IK105" s="2">
        <v>3</v>
      </c>
      <c r="IL105" s="57">
        <f t="shared" si="292"/>
        <v>0</v>
      </c>
      <c r="IM105" s="62">
        <f t="shared" si="287"/>
        <v>0</v>
      </c>
      <c r="IN105" s="2">
        <v>2</v>
      </c>
      <c r="IO105" s="57">
        <f t="shared" si="293"/>
        <v>0</v>
      </c>
      <c r="IP105" s="62">
        <f t="shared" si="294"/>
        <v>0</v>
      </c>
    </row>
    <row r="106" spans="2:250">
      <c r="D106" s="654"/>
      <c r="E106" s="654"/>
      <c r="F106" s="423"/>
      <c r="G106" s="284"/>
      <c r="H106" s="284"/>
      <c r="I106" s="2">
        <f t="shared" si="212"/>
        <v>2101</v>
      </c>
      <c r="J106" s="379">
        <f t="shared" si="264"/>
        <v>4235721.7379623326</v>
      </c>
      <c r="K106" s="2">
        <f t="shared" si="212"/>
        <v>82</v>
      </c>
      <c r="L106" s="57">
        <f t="shared" si="200"/>
        <v>189082</v>
      </c>
      <c r="M106" s="62">
        <f t="shared" si="201"/>
        <v>27953.464450400625</v>
      </c>
      <c r="N106" s="2">
        <f t="shared" si="270"/>
        <v>81</v>
      </c>
      <c r="O106" s="57">
        <f t="shared" si="207"/>
        <v>293489</v>
      </c>
      <c r="P106" s="62">
        <f t="shared" si="208"/>
        <v>45159.493344229762</v>
      </c>
      <c r="Q106" s="2">
        <f t="shared" si="276"/>
        <v>80</v>
      </c>
      <c r="R106" s="57">
        <f t="shared" si="213"/>
        <v>283523</v>
      </c>
      <c r="S106" s="62">
        <f t="shared" si="214"/>
        <v>45406.424727463884</v>
      </c>
      <c r="T106" s="2">
        <f t="shared" si="283"/>
        <v>79</v>
      </c>
      <c r="U106" s="57">
        <f t="shared" si="220"/>
        <v>143321</v>
      </c>
      <c r="V106" s="62">
        <f t="shared" si="221"/>
        <v>23889.695851156463</v>
      </c>
      <c r="W106" s="2">
        <f t="shared" si="288"/>
        <v>78</v>
      </c>
      <c r="X106" s="57">
        <f t="shared" si="225"/>
        <v>227851</v>
      </c>
      <c r="Y106" s="62">
        <f t="shared" si="226"/>
        <v>39529.699157095281</v>
      </c>
      <c r="Z106" s="2">
        <f t="shared" si="295"/>
        <v>77</v>
      </c>
      <c r="AA106" s="57">
        <f t="shared" si="232"/>
        <v>238727</v>
      </c>
      <c r="AB106" s="62">
        <f t="shared" si="233"/>
        <v>43106.810457115047</v>
      </c>
      <c r="AC106" s="2">
        <f t="shared" si="299"/>
        <v>76</v>
      </c>
      <c r="AD106" s="57">
        <f t="shared" si="237"/>
        <v>250122</v>
      </c>
      <c r="AE106" s="62">
        <f t="shared" si="238"/>
        <v>47007.593808852464</v>
      </c>
      <c r="AF106" s="2">
        <f t="shared" ref="AF106:AF123" si="303">IF(AF105="","",(AF105+1))</f>
        <v>75</v>
      </c>
      <c r="AG106" s="57">
        <f t="shared" si="243"/>
        <v>262060</v>
      </c>
      <c r="AH106" s="62">
        <f t="shared" si="244"/>
        <v>51261.185374121138</v>
      </c>
      <c r="AI106" s="2">
        <v>74</v>
      </c>
      <c r="AJ106" s="57">
        <f t="shared" si="250"/>
        <v>274569</v>
      </c>
      <c r="AK106" s="62">
        <f t="shared" si="251"/>
        <v>55899.920373452282</v>
      </c>
      <c r="AL106" s="2">
        <v>73</v>
      </c>
      <c r="AM106" s="57">
        <f t="shared" si="254"/>
        <v>287675</v>
      </c>
      <c r="AN106" s="62">
        <f t="shared" si="255"/>
        <v>60958.404061405708</v>
      </c>
      <c r="AO106" s="2">
        <v>72</v>
      </c>
      <c r="AP106" s="57">
        <f t="shared" si="260"/>
        <v>301406</v>
      </c>
      <c r="AQ106" s="62">
        <f t="shared" si="261"/>
        <v>66474.509163473136</v>
      </c>
      <c r="AR106" s="2">
        <v>71</v>
      </c>
      <c r="AS106" s="57">
        <f t="shared" si="265"/>
        <v>315793</v>
      </c>
      <c r="AT106" s="62">
        <f t="shared" si="266"/>
        <v>72489.903919381875</v>
      </c>
      <c r="AU106" s="2">
        <v>70</v>
      </c>
      <c r="AV106" s="57">
        <f t="shared" si="271"/>
        <v>330866</v>
      </c>
      <c r="AW106" s="62">
        <f t="shared" si="272"/>
        <v>79049.466900336236</v>
      </c>
      <c r="AX106" s="2">
        <v>69</v>
      </c>
      <c r="AY106" s="57">
        <f t="shared" si="277"/>
        <v>346659</v>
      </c>
      <c r="AZ106" s="62">
        <f t="shared" si="278"/>
        <v>86202.738651950232</v>
      </c>
      <c r="BA106" s="2">
        <v>68</v>
      </c>
      <c r="BB106" s="57">
        <f t="shared" si="284"/>
        <v>363206</v>
      </c>
      <c r="BC106" s="62">
        <f t="shared" si="285"/>
        <v>94003.360031355754</v>
      </c>
      <c r="BD106" s="2">
        <v>67</v>
      </c>
      <c r="BE106" s="57">
        <f t="shared" si="289"/>
        <v>380542</v>
      </c>
      <c r="BF106" s="62">
        <f t="shared" si="290"/>
        <v>102509.64713284641</v>
      </c>
      <c r="BG106" s="2">
        <v>66</v>
      </c>
      <c r="BH106" s="57">
        <f t="shared" si="296"/>
        <v>398706</v>
      </c>
      <c r="BI106" s="62">
        <f t="shared" si="297"/>
        <v>111785.81378120901</v>
      </c>
      <c r="BJ106" s="2">
        <v>65</v>
      </c>
      <c r="BK106" s="57">
        <f t="shared" si="300"/>
        <v>417737</v>
      </c>
      <c r="BL106" s="62">
        <f t="shared" si="301"/>
        <v>121901.38621138487</v>
      </c>
      <c r="BM106" s="2">
        <v>64</v>
      </c>
      <c r="BN106" s="57">
        <f t="shared" ref="BN106:BN163" si="304">$E$41</f>
        <v>437677</v>
      </c>
      <c r="BO106" s="62">
        <f t="shared" ref="BO106:BO137" si="305">SUM($G$10*$G$11*BN106*(EXP(-($G$10*BM106))),$G$10*$G$11*BN106*(EXP(-($G$10*(BM106+0.1)))),$G$10*$G$11*BN106*(EXP(-($G$10*(BM106+0.2)))),$G$10*$G$11*BN106*(EXP(-($G$10*(BM106+0.3)))),$G$10*$G$11*BN106*(EXP(-($G$10*(BM106+0.4)))),$G$10*$G$11*BN106*(EXP(-($G$10*(BM106+0.5)))),$G$10*$G$11*BN106*(EXP(-($G$10*(BM106+0.6)))),$G$10*$G$11*BN106*(EXP(-($G$10*(BM106+0.7)))),$G$10*$G$11*BN106*(EXP(-($G$10*(BM106+0.8)))),$G$10*$G$11*BN106*(EXP(-($G$10*(BM106+0.9)))))/10</f>
        <v>132932.50997617168</v>
      </c>
      <c r="BP106" s="2">
        <v>63</v>
      </c>
      <c r="BQ106" s="57">
        <f t="shared" si="147"/>
        <v>458568</v>
      </c>
      <c r="BR106" s="62">
        <f t="shared" si="148"/>
        <v>144961.61027416063</v>
      </c>
      <c r="BS106" s="2">
        <v>62</v>
      </c>
      <c r="BT106" s="57">
        <f t="shared" si="152"/>
        <v>480456</v>
      </c>
      <c r="BU106" s="62">
        <f t="shared" si="153"/>
        <v>158079.1746932026</v>
      </c>
      <c r="BV106" s="2">
        <v>61</v>
      </c>
      <c r="BW106" s="57">
        <f t="shared" si="155"/>
        <v>503389</v>
      </c>
      <c r="BX106" s="62">
        <f t="shared" si="156"/>
        <v>172383.83533630482</v>
      </c>
      <c r="BY106" s="2">
        <v>60</v>
      </c>
      <c r="BZ106" s="57">
        <f t="shared" si="160"/>
        <v>527417</v>
      </c>
      <c r="CA106" s="62">
        <f t="shared" si="161"/>
        <v>187983.06279012887</v>
      </c>
      <c r="CB106" s="2">
        <v>59</v>
      </c>
      <c r="CC106" s="57">
        <f t="shared" si="163"/>
        <v>552592</v>
      </c>
      <c r="CD106" s="62">
        <f t="shared" si="164"/>
        <v>204993.91496450937</v>
      </c>
      <c r="CE106" s="2">
        <v>58</v>
      </c>
      <c r="CF106" s="57">
        <f t="shared" si="168"/>
        <v>578968</v>
      </c>
      <c r="CG106" s="62">
        <f t="shared" si="169"/>
        <v>223543.8448353128</v>
      </c>
      <c r="CH106" s="2">
        <v>57</v>
      </c>
      <c r="CI106" s="57">
        <f t="shared" si="172"/>
        <v>606603</v>
      </c>
      <c r="CJ106" s="62">
        <f t="shared" si="173"/>
        <v>243772.37513039913</v>
      </c>
      <c r="CK106" s="2">
        <v>56</v>
      </c>
      <c r="CL106" s="57">
        <f t="shared" si="175"/>
        <v>635558</v>
      </c>
      <c r="CM106" s="62">
        <f t="shared" si="176"/>
        <v>265831.78284481401</v>
      </c>
      <c r="CN106" s="2">
        <v>55</v>
      </c>
      <c r="CO106" s="57">
        <f t="shared" si="180"/>
        <v>665894</v>
      </c>
      <c r="CP106" s="62">
        <f t="shared" si="181"/>
        <v>289886.90348862624</v>
      </c>
      <c r="CQ106" s="2">
        <v>54</v>
      </c>
      <c r="CR106" s="57">
        <f t="shared" si="183"/>
        <v>697679</v>
      </c>
      <c r="CS106" s="62">
        <f t="shared" si="184"/>
        <v>316119.23609383701</v>
      </c>
      <c r="CT106" s="2">
        <v>53</v>
      </c>
      <c r="CU106" s="57">
        <f t="shared" si="188"/>
        <v>730980</v>
      </c>
      <c r="CV106" s="62">
        <f t="shared" si="189"/>
        <v>344724.81457167241</v>
      </c>
      <c r="CW106" s="2">
        <v>52</v>
      </c>
      <c r="CX106" s="57">
        <f t="shared" si="191"/>
        <v>765871</v>
      </c>
      <c r="CY106" s="62">
        <f t="shared" si="192"/>
        <v>375919.155565964</v>
      </c>
      <c r="CZ106" s="2">
        <v>51</v>
      </c>
      <c r="DA106" s="57">
        <f t="shared" si="196"/>
        <v>0</v>
      </c>
      <c r="DB106" s="62">
        <f t="shared" si="197"/>
        <v>0</v>
      </c>
      <c r="DC106" s="2">
        <v>50</v>
      </c>
      <c r="DD106" s="57">
        <f t="shared" si="202"/>
        <v>0</v>
      </c>
      <c r="DE106" s="62">
        <f t="shared" si="203"/>
        <v>0</v>
      </c>
      <c r="DF106" s="2">
        <v>49</v>
      </c>
      <c r="DG106" s="57">
        <f t="shared" si="209"/>
        <v>0</v>
      </c>
      <c r="DH106" s="62">
        <f t="shared" si="210"/>
        <v>0</v>
      </c>
      <c r="DI106" s="2">
        <v>48</v>
      </c>
      <c r="DJ106" s="57">
        <f t="shared" si="215"/>
        <v>0</v>
      </c>
      <c r="DK106" s="62">
        <f t="shared" si="216"/>
        <v>0</v>
      </c>
      <c r="DL106" s="2">
        <v>47</v>
      </c>
      <c r="DM106" s="57">
        <f t="shared" si="222"/>
        <v>0</v>
      </c>
      <c r="DN106" s="62">
        <f t="shared" si="223"/>
        <v>0</v>
      </c>
      <c r="DO106" s="2">
        <v>46</v>
      </c>
      <c r="DP106" s="57">
        <f t="shared" si="227"/>
        <v>0</v>
      </c>
      <c r="DQ106" s="62">
        <f t="shared" si="228"/>
        <v>0</v>
      </c>
      <c r="DR106" s="2">
        <v>45</v>
      </c>
      <c r="DS106" s="57">
        <f t="shared" si="234"/>
        <v>0</v>
      </c>
      <c r="DT106" s="62">
        <f t="shared" si="235"/>
        <v>0</v>
      </c>
      <c r="DU106" s="2">
        <v>44</v>
      </c>
      <c r="DV106" s="57">
        <f t="shared" si="239"/>
        <v>0</v>
      </c>
      <c r="DW106" s="62">
        <f t="shared" si="240"/>
        <v>0</v>
      </c>
      <c r="DX106" s="2">
        <v>43</v>
      </c>
      <c r="DY106" s="57">
        <f t="shared" si="245"/>
        <v>0</v>
      </c>
      <c r="DZ106" s="62">
        <f t="shared" si="246"/>
        <v>0</v>
      </c>
      <c r="EA106" s="2">
        <v>42</v>
      </c>
      <c r="EB106" s="57">
        <f t="shared" si="109"/>
        <v>0</v>
      </c>
      <c r="EC106" s="62">
        <f t="shared" si="252"/>
        <v>0</v>
      </c>
      <c r="ED106" s="2">
        <v>41</v>
      </c>
      <c r="EE106" s="57">
        <f t="shared" si="113"/>
        <v>0</v>
      </c>
      <c r="EF106" s="62">
        <f t="shared" si="256"/>
        <v>0</v>
      </c>
      <c r="EG106" s="2">
        <v>40</v>
      </c>
      <c r="EH106" s="57">
        <f t="shared" si="117"/>
        <v>0</v>
      </c>
      <c r="EI106" s="62">
        <f t="shared" si="262"/>
        <v>0</v>
      </c>
      <c r="EJ106" s="2">
        <v>39</v>
      </c>
      <c r="EK106" s="57">
        <f t="shared" si="121"/>
        <v>0</v>
      </c>
      <c r="EL106" s="62">
        <f t="shared" si="267"/>
        <v>0</v>
      </c>
      <c r="EM106" s="2">
        <v>38</v>
      </c>
      <c r="EN106" s="57">
        <f t="shared" si="125"/>
        <v>0</v>
      </c>
      <c r="EO106" s="62">
        <f t="shared" si="273"/>
        <v>0</v>
      </c>
      <c r="EP106" s="2">
        <v>37</v>
      </c>
      <c r="EQ106" s="57">
        <f t="shared" si="129"/>
        <v>0</v>
      </c>
      <c r="ER106" s="62">
        <f t="shared" si="279"/>
        <v>0</v>
      </c>
      <c r="ES106" s="2">
        <v>36</v>
      </c>
      <c r="ET106" s="57">
        <f t="shared" si="130"/>
        <v>0</v>
      </c>
      <c r="EU106" s="62">
        <f t="shared" si="286"/>
        <v>0</v>
      </c>
      <c r="EV106" s="2">
        <v>35</v>
      </c>
      <c r="EW106" s="57">
        <f t="shared" si="134"/>
        <v>0</v>
      </c>
      <c r="EX106" s="62">
        <f t="shared" si="291"/>
        <v>0</v>
      </c>
      <c r="EY106" s="2">
        <v>34</v>
      </c>
      <c r="EZ106" s="57">
        <f t="shared" si="141"/>
        <v>0</v>
      </c>
      <c r="FA106" s="62">
        <f t="shared" si="298"/>
        <v>0</v>
      </c>
      <c r="FB106" s="2">
        <v>33</v>
      </c>
      <c r="FC106" s="57">
        <f t="shared" si="142"/>
        <v>0</v>
      </c>
      <c r="FD106" s="62">
        <f t="shared" si="302"/>
        <v>0</v>
      </c>
      <c r="FE106" s="2">
        <v>32</v>
      </c>
      <c r="FF106" s="57">
        <f t="shared" si="149"/>
        <v>0</v>
      </c>
      <c r="FG106" s="62">
        <f t="shared" ref="FG106:FG137" si="306">SUM($G$10*$G$11*FF106*(EXP(-($G$10*FE106))),$G$10*$G$11*FF106*(EXP(-($G$10*(FE106+0.1)))),$G$10*$G$11*FF106*(EXP(-($G$10*(FE106+0.2)))),$G$10*$G$11*FF106*(EXP(-($G$10*(FE106+0.3)))),$G$10*$G$11*FF106*(EXP(-($G$10*(FE106+0.4)))),$G$10*$G$11*FF106*(EXP(-($G$10*(FE106+0.5)))),$G$10*$G$11*FF106*(EXP(-($G$10*(FE106+0.6)))),$G$10*$G$11*FF106*(EXP(-($G$10*(FE106+0.7)))),$G$10*$G$11*FF106*(EXP(-($G$10*(FE106+0.8)))),$G$10*$G$11*FF106*(EXP(-($G$10*(FE106+0.9)))))/10</f>
        <v>0</v>
      </c>
      <c r="FH106" s="2">
        <v>31</v>
      </c>
      <c r="FI106" s="57">
        <f t="shared" si="150"/>
        <v>0</v>
      </c>
      <c r="FJ106" s="62">
        <f t="shared" si="151"/>
        <v>0</v>
      </c>
      <c r="FK106" s="2">
        <v>30</v>
      </c>
      <c r="FL106" s="57">
        <f t="shared" si="157"/>
        <v>0</v>
      </c>
      <c r="FM106" s="62">
        <f t="shared" si="154"/>
        <v>0</v>
      </c>
      <c r="FN106" s="2">
        <v>29</v>
      </c>
      <c r="FO106" s="57">
        <f t="shared" si="158"/>
        <v>0</v>
      </c>
      <c r="FP106" s="62">
        <f t="shared" si="159"/>
        <v>0</v>
      </c>
      <c r="FQ106" s="2">
        <v>28</v>
      </c>
      <c r="FR106" s="57">
        <f t="shared" si="165"/>
        <v>0</v>
      </c>
      <c r="FS106" s="62">
        <f t="shared" si="162"/>
        <v>0</v>
      </c>
      <c r="FT106" s="2">
        <v>27</v>
      </c>
      <c r="FU106" s="57">
        <f t="shared" si="166"/>
        <v>0</v>
      </c>
      <c r="FV106" s="62">
        <f t="shared" si="167"/>
        <v>0</v>
      </c>
      <c r="FW106" s="2">
        <v>26</v>
      </c>
      <c r="FX106" s="57">
        <f t="shared" si="170"/>
        <v>0</v>
      </c>
      <c r="FY106" s="62">
        <f t="shared" si="171"/>
        <v>0</v>
      </c>
      <c r="FZ106" s="2">
        <v>25</v>
      </c>
      <c r="GA106" s="57">
        <f t="shared" si="177"/>
        <v>0</v>
      </c>
      <c r="GB106" s="62">
        <f t="shared" si="174"/>
        <v>0</v>
      </c>
      <c r="GC106" s="2">
        <v>24</v>
      </c>
      <c r="GD106" s="57">
        <f t="shared" si="178"/>
        <v>0</v>
      </c>
      <c r="GE106" s="62">
        <f t="shared" si="179"/>
        <v>0</v>
      </c>
      <c r="GF106" s="2">
        <v>23</v>
      </c>
      <c r="GG106" s="57">
        <f t="shared" si="185"/>
        <v>0</v>
      </c>
      <c r="GH106" s="62">
        <f t="shared" si="182"/>
        <v>0</v>
      </c>
      <c r="GI106" s="2">
        <v>22</v>
      </c>
      <c r="GJ106" s="57">
        <f t="shared" si="186"/>
        <v>0</v>
      </c>
      <c r="GK106" s="62">
        <f t="shared" si="187"/>
        <v>0</v>
      </c>
      <c r="GL106" s="2">
        <v>21</v>
      </c>
      <c r="GM106" s="57">
        <f t="shared" si="193"/>
        <v>0</v>
      </c>
      <c r="GN106" s="62">
        <f t="shared" si="190"/>
        <v>0</v>
      </c>
      <c r="GO106" s="2">
        <v>20</v>
      </c>
      <c r="GP106" s="57">
        <f t="shared" si="194"/>
        <v>0</v>
      </c>
      <c r="GQ106" s="62">
        <f t="shared" si="195"/>
        <v>0</v>
      </c>
      <c r="GR106" s="2">
        <v>19</v>
      </c>
      <c r="GS106" s="57">
        <f t="shared" si="204"/>
        <v>0</v>
      </c>
      <c r="GT106" s="62">
        <f t="shared" si="198"/>
        <v>0</v>
      </c>
      <c r="GU106" s="2">
        <v>18</v>
      </c>
      <c r="GV106" s="57">
        <f t="shared" si="205"/>
        <v>0</v>
      </c>
      <c r="GW106" s="62">
        <f t="shared" si="206"/>
        <v>0</v>
      </c>
      <c r="GX106" s="2">
        <v>17</v>
      </c>
      <c r="GY106" s="57">
        <f t="shared" si="217"/>
        <v>0</v>
      </c>
      <c r="GZ106" s="62">
        <f t="shared" si="211"/>
        <v>0</v>
      </c>
      <c r="HA106" s="2">
        <v>16</v>
      </c>
      <c r="HB106" s="57">
        <f t="shared" si="218"/>
        <v>0</v>
      </c>
      <c r="HC106" s="62">
        <f t="shared" si="219"/>
        <v>0</v>
      </c>
      <c r="HD106" s="2">
        <v>15</v>
      </c>
      <c r="HE106" s="57">
        <f t="shared" si="229"/>
        <v>0</v>
      </c>
      <c r="HF106" s="62">
        <f t="shared" si="224"/>
        <v>0</v>
      </c>
      <c r="HG106" s="2">
        <v>14</v>
      </c>
      <c r="HH106" s="57">
        <f t="shared" si="230"/>
        <v>0</v>
      </c>
      <c r="HI106" s="62">
        <f t="shared" si="231"/>
        <v>0</v>
      </c>
      <c r="HJ106" s="2">
        <v>13</v>
      </c>
      <c r="HK106" s="57">
        <f t="shared" si="241"/>
        <v>0</v>
      </c>
      <c r="HL106" s="62">
        <f t="shared" si="236"/>
        <v>0</v>
      </c>
      <c r="HM106" s="2">
        <v>12</v>
      </c>
      <c r="HN106" s="57">
        <f t="shared" si="247"/>
        <v>0</v>
      </c>
      <c r="HO106" s="62">
        <f t="shared" si="242"/>
        <v>0</v>
      </c>
      <c r="HP106" s="2">
        <v>11</v>
      </c>
      <c r="HQ106" s="57">
        <f t="shared" si="248"/>
        <v>0</v>
      </c>
      <c r="HR106" s="62">
        <f t="shared" si="249"/>
        <v>0</v>
      </c>
      <c r="HS106" s="2">
        <v>10</v>
      </c>
      <c r="HT106" s="57">
        <f t="shared" si="257"/>
        <v>0</v>
      </c>
      <c r="HU106" s="62">
        <f t="shared" si="253"/>
        <v>0</v>
      </c>
      <c r="HV106" s="2">
        <v>9</v>
      </c>
      <c r="HW106" s="57">
        <f t="shared" si="258"/>
        <v>0</v>
      </c>
      <c r="HX106" s="62">
        <f t="shared" si="259"/>
        <v>0</v>
      </c>
      <c r="HY106" s="2">
        <v>8</v>
      </c>
      <c r="HZ106" s="57">
        <f t="shared" si="268"/>
        <v>0</v>
      </c>
      <c r="IA106" s="62">
        <f t="shared" si="263"/>
        <v>0</v>
      </c>
      <c r="IB106" s="2">
        <v>7</v>
      </c>
      <c r="IC106" s="57">
        <f t="shared" si="274"/>
        <v>0</v>
      </c>
      <c r="ID106" s="62">
        <f t="shared" si="269"/>
        <v>0</v>
      </c>
      <c r="IE106" s="2">
        <v>6</v>
      </c>
      <c r="IF106" s="57">
        <f t="shared" si="280"/>
        <v>0</v>
      </c>
      <c r="IG106" s="62">
        <f t="shared" si="275"/>
        <v>0</v>
      </c>
      <c r="IH106" s="2">
        <v>5</v>
      </c>
      <c r="II106" s="57">
        <f t="shared" si="281"/>
        <v>0</v>
      </c>
      <c r="IJ106" s="62">
        <f t="shared" si="282"/>
        <v>0</v>
      </c>
      <c r="IK106" s="2">
        <v>4</v>
      </c>
      <c r="IL106" s="57">
        <f t="shared" si="292"/>
        <v>0</v>
      </c>
      <c r="IM106" s="62">
        <f t="shared" si="287"/>
        <v>0</v>
      </c>
      <c r="IN106" s="2">
        <v>3</v>
      </c>
      <c r="IO106" s="57">
        <f t="shared" si="293"/>
        <v>0</v>
      </c>
      <c r="IP106" s="62">
        <f t="shared" si="294"/>
        <v>0</v>
      </c>
    </row>
    <row r="107" spans="2:250">
      <c r="G107" s="284"/>
      <c r="H107" s="284"/>
      <c r="I107" s="2">
        <f t="shared" si="212"/>
        <v>2102</v>
      </c>
      <c r="J107" s="379">
        <f t="shared" si="264"/>
        <v>4069636.7130221338</v>
      </c>
      <c r="K107" s="2">
        <f t="shared" si="212"/>
        <v>83</v>
      </c>
      <c r="L107" s="57">
        <f t="shared" si="200"/>
        <v>189082</v>
      </c>
      <c r="M107" s="62">
        <f t="shared" si="201"/>
        <v>26857.393431664823</v>
      </c>
      <c r="N107" s="2">
        <f t="shared" si="270"/>
        <v>82</v>
      </c>
      <c r="O107" s="57">
        <f t="shared" si="207"/>
        <v>293489</v>
      </c>
      <c r="P107" s="62">
        <f t="shared" si="208"/>
        <v>43388.764282605589</v>
      </c>
      <c r="Q107" s="2">
        <f t="shared" si="276"/>
        <v>81</v>
      </c>
      <c r="R107" s="57">
        <f t="shared" si="213"/>
        <v>283523</v>
      </c>
      <c r="S107" s="62">
        <f t="shared" si="214"/>
        <v>43626.013347812208</v>
      </c>
      <c r="T107" s="2">
        <f t="shared" si="283"/>
        <v>80</v>
      </c>
      <c r="U107" s="57">
        <f t="shared" si="220"/>
        <v>143321</v>
      </c>
      <c r="V107" s="62">
        <f t="shared" si="221"/>
        <v>22952.967478352202</v>
      </c>
      <c r="W107" s="2">
        <f t="shared" si="288"/>
        <v>79</v>
      </c>
      <c r="X107" s="57">
        <f t="shared" si="225"/>
        <v>227851</v>
      </c>
      <c r="Y107" s="62">
        <f t="shared" si="226"/>
        <v>37979.717483005639</v>
      </c>
      <c r="Z107" s="2">
        <f t="shared" si="295"/>
        <v>78</v>
      </c>
      <c r="AA107" s="57">
        <f t="shared" si="232"/>
        <v>238727</v>
      </c>
      <c r="AB107" s="62">
        <f t="shared" si="233"/>
        <v>41416.568242737078</v>
      </c>
      <c r="AC107" s="2">
        <f t="shared" si="299"/>
        <v>77</v>
      </c>
      <c r="AD107" s="57">
        <f t="shared" si="237"/>
        <v>250122</v>
      </c>
      <c r="AE107" s="62">
        <f t="shared" si="238"/>
        <v>45164.399691507591</v>
      </c>
      <c r="AF107" s="2">
        <f t="shared" si="303"/>
        <v>76</v>
      </c>
      <c r="AG107" s="57">
        <f t="shared" si="243"/>
        <v>262060</v>
      </c>
      <c r="AH107" s="62">
        <f t="shared" si="244"/>
        <v>49251.205545885117</v>
      </c>
      <c r="AI107" s="2">
        <f t="shared" ref="AI107:AI123" si="307">IF(AI106="","",(AI106+1))</f>
        <v>75</v>
      </c>
      <c r="AJ107" s="57">
        <f t="shared" si="250"/>
        <v>274569</v>
      </c>
      <c r="AK107" s="62">
        <f t="shared" si="251"/>
        <v>53708.053144268735</v>
      </c>
      <c r="AL107" s="2">
        <v>74</v>
      </c>
      <c r="AM107" s="57">
        <f t="shared" si="254"/>
        <v>287675</v>
      </c>
      <c r="AN107" s="62">
        <f t="shared" si="255"/>
        <v>58568.190849778694</v>
      </c>
      <c r="AO107" s="2">
        <v>73</v>
      </c>
      <c r="AP107" s="57">
        <f t="shared" si="260"/>
        <v>301406</v>
      </c>
      <c r="AQ107" s="62">
        <f t="shared" si="261"/>
        <v>63868.006377099329</v>
      </c>
      <c r="AR107" s="2">
        <v>72</v>
      </c>
      <c r="AS107" s="57">
        <f t="shared" si="265"/>
        <v>315793</v>
      </c>
      <c r="AT107" s="62">
        <f t="shared" si="266"/>
        <v>69647.534130908709</v>
      </c>
      <c r="AU107" s="2">
        <v>71</v>
      </c>
      <c r="AV107" s="57">
        <f t="shared" si="271"/>
        <v>330866</v>
      </c>
      <c r="AW107" s="62">
        <f t="shared" si="272"/>
        <v>75949.892968464177</v>
      </c>
      <c r="AX107" s="2">
        <v>70</v>
      </c>
      <c r="AY107" s="57">
        <f t="shared" si="277"/>
        <v>346659</v>
      </c>
      <c r="AZ107" s="62">
        <f t="shared" si="278"/>
        <v>82822.680922801534</v>
      </c>
      <c r="BA107" s="2">
        <v>69</v>
      </c>
      <c r="BB107" s="57">
        <f t="shared" si="284"/>
        <v>363206</v>
      </c>
      <c r="BC107" s="62">
        <f t="shared" si="285"/>
        <v>90317.435562960236</v>
      </c>
      <c r="BD107" s="2">
        <v>68</v>
      </c>
      <c r="BE107" s="57">
        <f t="shared" si="289"/>
        <v>380542</v>
      </c>
      <c r="BF107" s="62">
        <f t="shared" si="290"/>
        <v>98490.186376470054</v>
      </c>
      <c r="BG107" s="2">
        <v>67</v>
      </c>
      <c r="BH107" s="57">
        <f t="shared" si="296"/>
        <v>398706</v>
      </c>
      <c r="BI107" s="62">
        <f t="shared" si="297"/>
        <v>107402.62932803386</v>
      </c>
      <c r="BJ107" s="2">
        <v>66</v>
      </c>
      <c r="BK107" s="57">
        <f t="shared" si="300"/>
        <v>417737</v>
      </c>
      <c r="BL107" s="62">
        <f t="shared" si="301"/>
        <v>117121.56448992719</v>
      </c>
      <c r="BM107" s="2">
        <v>65</v>
      </c>
      <c r="BN107" s="57">
        <f t="shared" si="304"/>
        <v>437677</v>
      </c>
      <c r="BO107" s="62">
        <f t="shared" si="305"/>
        <v>127720.15170511659</v>
      </c>
      <c r="BP107" s="2">
        <v>64</v>
      </c>
      <c r="BQ107" s="57">
        <f t="shared" ref="BQ107:BQ163" si="308">$E$42</f>
        <v>458568</v>
      </c>
      <c r="BR107" s="62">
        <f t="shared" ref="BR107:BR138" si="309">SUM($G$10*$G$11*BQ107*(EXP(-($G$10*BP107))),$G$10*$G$11*BQ107*(EXP(-($G$10*(BP107+0.1)))),$G$10*$G$11*BQ107*(EXP(-($G$10*(BP107+0.2)))),$G$10*$G$11*BQ107*(EXP(-($G$10*(BP107+0.3)))),$G$10*$G$11*BQ107*(EXP(-($G$10*(BP107+0.4)))),$G$10*$G$11*BQ107*(EXP(-($G$10*(BP107+0.5)))),$G$10*$G$11*BQ107*(EXP(-($G$10*(BP107+0.6)))),$G$10*$G$11*BQ107*(EXP(-($G$10*(BP107+0.7)))),$G$10*$G$11*BQ107*(EXP(-($G$10*(BP107+0.8)))),$G$10*$G$11*BQ107*(EXP(-($G$10*(BP107+0.9)))))/10</f>
        <v>139277.58423392844</v>
      </c>
      <c r="BS107" s="2">
        <v>63</v>
      </c>
      <c r="BT107" s="57">
        <f t="shared" si="152"/>
        <v>480456</v>
      </c>
      <c r="BU107" s="62">
        <f t="shared" si="153"/>
        <v>151880.80159514426</v>
      </c>
      <c r="BV107" s="2">
        <v>62</v>
      </c>
      <c r="BW107" s="57">
        <f t="shared" si="155"/>
        <v>503389</v>
      </c>
      <c r="BX107" s="62">
        <f t="shared" si="156"/>
        <v>165624.56847169477</v>
      </c>
      <c r="BY107" s="2">
        <v>61</v>
      </c>
      <c r="BZ107" s="57">
        <f t="shared" si="160"/>
        <v>527417</v>
      </c>
      <c r="CA107" s="62">
        <f t="shared" si="161"/>
        <v>180612.14146826387</v>
      </c>
      <c r="CB107" s="2">
        <v>60</v>
      </c>
      <c r="CC107" s="57">
        <f t="shared" si="163"/>
        <v>552592</v>
      </c>
      <c r="CD107" s="62">
        <f t="shared" si="164"/>
        <v>196955.98858839</v>
      </c>
      <c r="CE107" s="2">
        <v>59</v>
      </c>
      <c r="CF107" s="57">
        <f t="shared" si="168"/>
        <v>578968</v>
      </c>
      <c r="CG107" s="62">
        <f t="shared" si="169"/>
        <v>214778.56530527415</v>
      </c>
      <c r="CH107" s="2">
        <v>58</v>
      </c>
      <c r="CI107" s="57">
        <f t="shared" si="172"/>
        <v>606603</v>
      </c>
      <c r="CJ107" s="62">
        <f t="shared" si="173"/>
        <v>234213.92358236597</v>
      </c>
      <c r="CK107" s="2">
        <v>57</v>
      </c>
      <c r="CL107" s="57">
        <f t="shared" si="175"/>
        <v>635558</v>
      </c>
      <c r="CM107" s="62">
        <f t="shared" si="176"/>
        <v>255408.36954833101</v>
      </c>
      <c r="CN107" s="2">
        <v>56</v>
      </c>
      <c r="CO107" s="57">
        <f t="shared" si="180"/>
        <v>665894</v>
      </c>
      <c r="CP107" s="62">
        <f t="shared" si="181"/>
        <v>278520.27542044094</v>
      </c>
      <c r="CQ107" s="2">
        <v>55</v>
      </c>
      <c r="CR107" s="57">
        <f t="shared" si="183"/>
        <v>697679</v>
      </c>
      <c r="CS107" s="62">
        <f t="shared" si="184"/>
        <v>303724.02355185855</v>
      </c>
      <c r="CT107" s="2">
        <v>54</v>
      </c>
      <c r="CU107" s="57">
        <f t="shared" si="188"/>
        <v>730980</v>
      </c>
      <c r="CV107" s="62">
        <f t="shared" si="189"/>
        <v>331207.96125420567</v>
      </c>
      <c r="CW107" s="2">
        <v>53</v>
      </c>
      <c r="CX107" s="57">
        <f t="shared" si="191"/>
        <v>765871</v>
      </c>
      <c r="CY107" s="62">
        <f t="shared" si="192"/>
        <v>361179.15464283741</v>
      </c>
      <c r="CZ107" s="2">
        <v>52</v>
      </c>
      <c r="DA107" s="57">
        <f t="shared" si="196"/>
        <v>0</v>
      </c>
      <c r="DB107" s="62">
        <f t="shared" si="197"/>
        <v>0</v>
      </c>
      <c r="DC107" s="2">
        <v>51</v>
      </c>
      <c r="DD107" s="57">
        <f t="shared" si="202"/>
        <v>0</v>
      </c>
      <c r="DE107" s="62">
        <f t="shared" si="203"/>
        <v>0</v>
      </c>
      <c r="DF107" s="2">
        <v>50</v>
      </c>
      <c r="DG107" s="57">
        <f t="shared" si="209"/>
        <v>0</v>
      </c>
      <c r="DH107" s="62">
        <f t="shared" si="210"/>
        <v>0</v>
      </c>
      <c r="DI107" s="2">
        <v>49</v>
      </c>
      <c r="DJ107" s="57">
        <f t="shared" si="215"/>
        <v>0</v>
      </c>
      <c r="DK107" s="62">
        <f t="shared" si="216"/>
        <v>0</v>
      </c>
      <c r="DL107" s="2">
        <v>48</v>
      </c>
      <c r="DM107" s="57">
        <f t="shared" si="222"/>
        <v>0</v>
      </c>
      <c r="DN107" s="62">
        <f t="shared" si="223"/>
        <v>0</v>
      </c>
      <c r="DO107" s="2">
        <v>47</v>
      </c>
      <c r="DP107" s="57">
        <f t="shared" si="227"/>
        <v>0</v>
      </c>
      <c r="DQ107" s="62">
        <f t="shared" si="228"/>
        <v>0</v>
      </c>
      <c r="DR107" s="2">
        <v>46</v>
      </c>
      <c r="DS107" s="57">
        <f t="shared" si="234"/>
        <v>0</v>
      </c>
      <c r="DT107" s="62">
        <f t="shared" si="235"/>
        <v>0</v>
      </c>
      <c r="DU107" s="2">
        <v>45</v>
      </c>
      <c r="DV107" s="57">
        <f t="shared" si="239"/>
        <v>0</v>
      </c>
      <c r="DW107" s="62">
        <f t="shared" si="240"/>
        <v>0</v>
      </c>
      <c r="DX107" s="2">
        <v>44</v>
      </c>
      <c r="DY107" s="57">
        <f t="shared" si="245"/>
        <v>0</v>
      </c>
      <c r="DZ107" s="62">
        <f t="shared" si="246"/>
        <v>0</v>
      </c>
      <c r="EA107" s="2">
        <v>43</v>
      </c>
      <c r="EB107" s="57">
        <f t="shared" si="109"/>
        <v>0</v>
      </c>
      <c r="EC107" s="62">
        <f t="shared" si="252"/>
        <v>0</v>
      </c>
      <c r="ED107" s="2">
        <v>42</v>
      </c>
      <c r="EE107" s="57">
        <f t="shared" si="113"/>
        <v>0</v>
      </c>
      <c r="EF107" s="62">
        <f t="shared" si="256"/>
        <v>0</v>
      </c>
      <c r="EG107" s="2">
        <v>41</v>
      </c>
      <c r="EH107" s="57">
        <f t="shared" si="117"/>
        <v>0</v>
      </c>
      <c r="EI107" s="62">
        <f t="shared" si="262"/>
        <v>0</v>
      </c>
      <c r="EJ107" s="2">
        <v>40</v>
      </c>
      <c r="EK107" s="57">
        <f t="shared" si="121"/>
        <v>0</v>
      </c>
      <c r="EL107" s="62">
        <f t="shared" si="267"/>
        <v>0</v>
      </c>
      <c r="EM107" s="2">
        <v>39</v>
      </c>
      <c r="EN107" s="57">
        <f t="shared" si="125"/>
        <v>0</v>
      </c>
      <c r="EO107" s="62">
        <f t="shared" si="273"/>
        <v>0</v>
      </c>
      <c r="EP107" s="2">
        <v>38</v>
      </c>
      <c r="EQ107" s="57">
        <f t="shared" si="129"/>
        <v>0</v>
      </c>
      <c r="ER107" s="62">
        <f t="shared" si="279"/>
        <v>0</v>
      </c>
      <c r="ES107" s="2">
        <v>37</v>
      </c>
      <c r="ET107" s="57">
        <f t="shared" si="130"/>
        <v>0</v>
      </c>
      <c r="EU107" s="62">
        <f t="shared" si="286"/>
        <v>0</v>
      </c>
      <c r="EV107" s="2">
        <v>36</v>
      </c>
      <c r="EW107" s="57">
        <f t="shared" si="134"/>
        <v>0</v>
      </c>
      <c r="EX107" s="62">
        <f t="shared" si="291"/>
        <v>0</v>
      </c>
      <c r="EY107" s="2">
        <v>35</v>
      </c>
      <c r="EZ107" s="57">
        <f t="shared" si="141"/>
        <v>0</v>
      </c>
      <c r="FA107" s="62">
        <f t="shared" si="298"/>
        <v>0</v>
      </c>
      <c r="FB107" s="2">
        <v>34</v>
      </c>
      <c r="FC107" s="57">
        <f t="shared" si="142"/>
        <v>0</v>
      </c>
      <c r="FD107" s="62">
        <f t="shared" si="302"/>
        <v>0</v>
      </c>
      <c r="FE107" s="2">
        <v>33</v>
      </c>
      <c r="FF107" s="57">
        <f t="shared" si="149"/>
        <v>0</v>
      </c>
      <c r="FG107" s="62">
        <f t="shared" si="306"/>
        <v>0</v>
      </c>
      <c r="FH107" s="2">
        <v>32</v>
      </c>
      <c r="FI107" s="57">
        <f t="shared" si="150"/>
        <v>0</v>
      </c>
      <c r="FJ107" s="62">
        <f t="shared" ref="FJ107:FJ138" si="310">SUM($G$10*$G$11*FI107*(EXP(-($G$10*FH107))),$G$10*$G$11*FI107*(EXP(-($G$10*(FH107+0.1)))),$G$10*$G$11*FI107*(EXP(-($G$10*(FH107+0.2)))),$G$10*$G$11*FI107*(EXP(-($G$10*(FH107+0.3)))),$G$10*$G$11*FI107*(EXP(-($G$10*(FH107+0.4)))),$G$10*$G$11*FI107*(EXP(-($G$10*(FH107+0.5)))),$G$10*$G$11*FI107*(EXP(-($G$10*(FH107+0.6)))),$G$10*$G$11*FI107*(EXP(-($G$10*(FH107+0.7)))),$G$10*$G$11*FI107*(EXP(-($G$10*(FH107+0.8)))),$G$10*$G$11*FI107*(EXP(-($G$10*(FH107+0.9)))))/10</f>
        <v>0</v>
      </c>
      <c r="FK107" s="2">
        <v>31</v>
      </c>
      <c r="FL107" s="57">
        <f t="shared" si="157"/>
        <v>0</v>
      </c>
      <c r="FM107" s="62">
        <f t="shared" si="154"/>
        <v>0</v>
      </c>
      <c r="FN107" s="2">
        <v>30</v>
      </c>
      <c r="FO107" s="57">
        <f t="shared" si="158"/>
        <v>0</v>
      </c>
      <c r="FP107" s="62">
        <f t="shared" si="159"/>
        <v>0</v>
      </c>
      <c r="FQ107" s="2">
        <v>29</v>
      </c>
      <c r="FR107" s="57">
        <f t="shared" si="165"/>
        <v>0</v>
      </c>
      <c r="FS107" s="62">
        <f t="shared" si="162"/>
        <v>0</v>
      </c>
      <c r="FT107" s="2">
        <v>28</v>
      </c>
      <c r="FU107" s="57">
        <f t="shared" si="166"/>
        <v>0</v>
      </c>
      <c r="FV107" s="62">
        <f t="shared" si="167"/>
        <v>0</v>
      </c>
      <c r="FW107" s="2">
        <v>27</v>
      </c>
      <c r="FX107" s="57">
        <f t="shared" si="170"/>
        <v>0</v>
      </c>
      <c r="FY107" s="62">
        <f t="shared" si="171"/>
        <v>0</v>
      </c>
      <c r="FZ107" s="2">
        <v>26</v>
      </c>
      <c r="GA107" s="57">
        <f t="shared" si="177"/>
        <v>0</v>
      </c>
      <c r="GB107" s="62">
        <f t="shared" si="174"/>
        <v>0</v>
      </c>
      <c r="GC107" s="2">
        <v>25</v>
      </c>
      <c r="GD107" s="57">
        <f t="shared" si="178"/>
        <v>0</v>
      </c>
      <c r="GE107" s="62">
        <f t="shared" si="179"/>
        <v>0</v>
      </c>
      <c r="GF107" s="2">
        <v>24</v>
      </c>
      <c r="GG107" s="57">
        <f t="shared" si="185"/>
        <v>0</v>
      </c>
      <c r="GH107" s="62">
        <f t="shared" si="182"/>
        <v>0</v>
      </c>
      <c r="GI107" s="2">
        <v>23</v>
      </c>
      <c r="GJ107" s="57">
        <f t="shared" si="186"/>
        <v>0</v>
      </c>
      <c r="GK107" s="62">
        <f t="shared" si="187"/>
        <v>0</v>
      </c>
      <c r="GL107" s="2">
        <v>22</v>
      </c>
      <c r="GM107" s="57">
        <f t="shared" si="193"/>
        <v>0</v>
      </c>
      <c r="GN107" s="62">
        <f t="shared" si="190"/>
        <v>0</v>
      </c>
      <c r="GO107" s="2">
        <v>21</v>
      </c>
      <c r="GP107" s="57">
        <f t="shared" si="194"/>
        <v>0</v>
      </c>
      <c r="GQ107" s="62">
        <f t="shared" si="195"/>
        <v>0</v>
      </c>
      <c r="GR107" s="2">
        <v>20</v>
      </c>
      <c r="GS107" s="57">
        <f t="shared" si="204"/>
        <v>0</v>
      </c>
      <c r="GT107" s="62">
        <f t="shared" si="198"/>
        <v>0</v>
      </c>
      <c r="GU107" s="2">
        <v>19</v>
      </c>
      <c r="GV107" s="57">
        <f t="shared" si="205"/>
        <v>0</v>
      </c>
      <c r="GW107" s="62">
        <f t="shared" si="206"/>
        <v>0</v>
      </c>
      <c r="GX107" s="2">
        <v>18</v>
      </c>
      <c r="GY107" s="57">
        <f t="shared" si="217"/>
        <v>0</v>
      </c>
      <c r="GZ107" s="62">
        <f t="shared" si="211"/>
        <v>0</v>
      </c>
      <c r="HA107" s="2">
        <v>17</v>
      </c>
      <c r="HB107" s="57">
        <f t="shared" si="218"/>
        <v>0</v>
      </c>
      <c r="HC107" s="62">
        <f t="shared" si="219"/>
        <v>0</v>
      </c>
      <c r="HD107" s="2">
        <v>16</v>
      </c>
      <c r="HE107" s="57">
        <f t="shared" si="229"/>
        <v>0</v>
      </c>
      <c r="HF107" s="62">
        <f t="shared" si="224"/>
        <v>0</v>
      </c>
      <c r="HG107" s="2">
        <v>15</v>
      </c>
      <c r="HH107" s="57">
        <f t="shared" si="230"/>
        <v>0</v>
      </c>
      <c r="HI107" s="62">
        <f t="shared" si="231"/>
        <v>0</v>
      </c>
      <c r="HJ107" s="2">
        <v>14</v>
      </c>
      <c r="HK107" s="57">
        <f t="shared" si="241"/>
        <v>0</v>
      </c>
      <c r="HL107" s="62">
        <f t="shared" si="236"/>
        <v>0</v>
      </c>
      <c r="HM107" s="2">
        <v>13</v>
      </c>
      <c r="HN107" s="57">
        <f t="shared" si="247"/>
        <v>0</v>
      </c>
      <c r="HO107" s="62">
        <f t="shared" si="242"/>
        <v>0</v>
      </c>
      <c r="HP107" s="2">
        <v>12</v>
      </c>
      <c r="HQ107" s="57">
        <f t="shared" si="248"/>
        <v>0</v>
      </c>
      <c r="HR107" s="62">
        <f t="shared" si="249"/>
        <v>0</v>
      </c>
      <c r="HS107" s="2">
        <v>11</v>
      </c>
      <c r="HT107" s="57">
        <f t="shared" si="257"/>
        <v>0</v>
      </c>
      <c r="HU107" s="62">
        <f t="shared" si="253"/>
        <v>0</v>
      </c>
      <c r="HV107" s="2">
        <v>10</v>
      </c>
      <c r="HW107" s="57">
        <f t="shared" si="258"/>
        <v>0</v>
      </c>
      <c r="HX107" s="62">
        <f t="shared" si="259"/>
        <v>0</v>
      </c>
      <c r="HY107" s="2">
        <v>9</v>
      </c>
      <c r="HZ107" s="57">
        <f t="shared" si="268"/>
        <v>0</v>
      </c>
      <c r="IA107" s="62">
        <f t="shared" si="263"/>
        <v>0</v>
      </c>
      <c r="IB107" s="2">
        <v>8</v>
      </c>
      <c r="IC107" s="57">
        <f t="shared" si="274"/>
        <v>0</v>
      </c>
      <c r="ID107" s="62">
        <f t="shared" si="269"/>
        <v>0</v>
      </c>
      <c r="IE107" s="2">
        <v>7</v>
      </c>
      <c r="IF107" s="57">
        <f t="shared" si="280"/>
        <v>0</v>
      </c>
      <c r="IG107" s="62">
        <f t="shared" si="275"/>
        <v>0</v>
      </c>
      <c r="IH107" s="2">
        <v>6</v>
      </c>
      <c r="II107" s="57">
        <f t="shared" si="281"/>
        <v>0</v>
      </c>
      <c r="IJ107" s="62">
        <f t="shared" si="282"/>
        <v>0</v>
      </c>
      <c r="IK107" s="2">
        <v>5</v>
      </c>
      <c r="IL107" s="57">
        <f t="shared" si="292"/>
        <v>0</v>
      </c>
      <c r="IM107" s="62">
        <f t="shared" si="287"/>
        <v>0</v>
      </c>
      <c r="IN107" s="2">
        <v>4</v>
      </c>
      <c r="IO107" s="57">
        <f t="shared" si="293"/>
        <v>0</v>
      </c>
      <c r="IP107" s="62">
        <f t="shared" si="294"/>
        <v>0</v>
      </c>
    </row>
    <row r="108" spans="2:250">
      <c r="G108" s="284"/>
      <c r="H108" s="284"/>
      <c r="I108" s="2">
        <f t="shared" si="212"/>
        <v>2103</v>
      </c>
      <c r="J108" s="379">
        <f t="shared" si="264"/>
        <v>3910063.9750582399</v>
      </c>
      <c r="K108" s="2">
        <f t="shared" si="212"/>
        <v>84</v>
      </c>
      <c r="L108" s="57">
        <f t="shared" si="200"/>
        <v>189082</v>
      </c>
      <c r="M108" s="62">
        <f t="shared" si="201"/>
        <v>25804.299972302535</v>
      </c>
      <c r="N108" s="2">
        <f t="shared" si="270"/>
        <v>83</v>
      </c>
      <c r="O108" s="57">
        <f t="shared" si="207"/>
        <v>293489</v>
      </c>
      <c r="P108" s="62">
        <f t="shared" si="208"/>
        <v>41687.466500596973</v>
      </c>
      <c r="Q108" s="2">
        <f t="shared" si="276"/>
        <v>82</v>
      </c>
      <c r="R108" s="57">
        <f t="shared" si="213"/>
        <v>283523</v>
      </c>
      <c r="S108" s="62">
        <f t="shared" si="214"/>
        <v>41915.412896896247</v>
      </c>
      <c r="T108" s="2">
        <f t="shared" si="283"/>
        <v>81</v>
      </c>
      <c r="U108" s="57">
        <f t="shared" si="220"/>
        <v>143321</v>
      </c>
      <c r="V108" s="62">
        <f t="shared" si="221"/>
        <v>22052.968750407526</v>
      </c>
      <c r="W108" s="2">
        <f t="shared" si="288"/>
        <v>80</v>
      </c>
      <c r="X108" s="57">
        <f t="shared" si="225"/>
        <v>227851</v>
      </c>
      <c r="Y108" s="62">
        <f t="shared" si="226"/>
        <v>36490.511459660673</v>
      </c>
      <c r="Z108" s="2">
        <f t="shared" si="295"/>
        <v>79</v>
      </c>
      <c r="AA108" s="57">
        <f t="shared" si="232"/>
        <v>238727</v>
      </c>
      <c r="AB108" s="62">
        <f t="shared" si="233"/>
        <v>39792.601373553276</v>
      </c>
      <c r="AC108" s="2">
        <f t="shared" si="299"/>
        <v>78</v>
      </c>
      <c r="AD108" s="57">
        <f t="shared" si="237"/>
        <v>250122</v>
      </c>
      <c r="AE108" s="62">
        <f t="shared" si="238"/>
        <v>43393.478249254928</v>
      </c>
      <c r="AF108" s="2">
        <f t="shared" si="303"/>
        <v>77</v>
      </c>
      <c r="AG108" s="57">
        <f t="shared" si="243"/>
        <v>262060</v>
      </c>
      <c r="AH108" s="62">
        <f t="shared" si="244"/>
        <v>47320.038154006761</v>
      </c>
      <c r="AI108" s="2">
        <f t="shared" si="307"/>
        <v>76</v>
      </c>
      <c r="AJ108" s="57">
        <f t="shared" si="250"/>
        <v>274569</v>
      </c>
      <c r="AK108" s="62">
        <f t="shared" si="251"/>
        <v>51602.130258445126</v>
      </c>
      <c r="AL108" s="2">
        <f t="shared" ref="AL108:AL123" si="311">IF(AL107="","",(AL107+1))</f>
        <v>75</v>
      </c>
      <c r="AM108" s="57">
        <f t="shared" si="254"/>
        <v>287675</v>
      </c>
      <c r="AN108" s="62">
        <f t="shared" si="255"/>
        <v>56271.699238725101</v>
      </c>
      <c r="AO108" s="2">
        <v>74</v>
      </c>
      <c r="AP108" s="57">
        <f t="shared" si="260"/>
        <v>301406</v>
      </c>
      <c r="AQ108" s="62">
        <f t="shared" si="261"/>
        <v>61363.706026830267</v>
      </c>
      <c r="AR108" s="2">
        <v>73</v>
      </c>
      <c r="AS108" s="57">
        <f t="shared" si="265"/>
        <v>315793</v>
      </c>
      <c r="AT108" s="62">
        <f t="shared" si="266"/>
        <v>66916.615255978089</v>
      </c>
      <c r="AU108" s="2">
        <v>72</v>
      </c>
      <c r="AV108" s="57">
        <f t="shared" si="271"/>
        <v>330866</v>
      </c>
      <c r="AW108" s="62">
        <f t="shared" si="272"/>
        <v>72971.855068849662</v>
      </c>
      <c r="AX108" s="2">
        <v>71</v>
      </c>
      <c r="AY108" s="57">
        <f t="shared" si="277"/>
        <v>346659</v>
      </c>
      <c r="AZ108" s="62">
        <f t="shared" si="278"/>
        <v>79575.157152910309</v>
      </c>
      <c r="BA108" s="2">
        <v>70</v>
      </c>
      <c r="BB108" s="57">
        <f t="shared" si="284"/>
        <v>363206</v>
      </c>
      <c r="BC108" s="62">
        <f t="shared" si="285"/>
        <v>86776.038260212648</v>
      </c>
      <c r="BD108" s="2">
        <v>69</v>
      </c>
      <c r="BE108" s="57">
        <f t="shared" si="289"/>
        <v>380542</v>
      </c>
      <c r="BF108" s="62">
        <f t="shared" si="290"/>
        <v>94628.330930656433</v>
      </c>
      <c r="BG108" s="2">
        <v>68</v>
      </c>
      <c r="BH108" s="57">
        <f t="shared" si="296"/>
        <v>398706</v>
      </c>
      <c r="BI108" s="62">
        <f t="shared" si="297"/>
        <v>103191.3119955665</v>
      </c>
      <c r="BJ108" s="2">
        <v>67</v>
      </c>
      <c r="BK108" s="57">
        <f t="shared" si="300"/>
        <v>417737</v>
      </c>
      <c r="BL108" s="62">
        <f t="shared" si="301"/>
        <v>112529.16225891979</v>
      </c>
      <c r="BM108" s="2">
        <v>66</v>
      </c>
      <c r="BN108" s="57">
        <f t="shared" si="304"/>
        <v>437677</v>
      </c>
      <c r="BO108" s="62">
        <f t="shared" si="305"/>
        <v>122712.17292520861</v>
      </c>
      <c r="BP108" s="2">
        <v>65</v>
      </c>
      <c r="BQ108" s="57">
        <f t="shared" si="308"/>
        <v>458568</v>
      </c>
      <c r="BR108" s="62">
        <f t="shared" si="309"/>
        <v>133816.43204260655</v>
      </c>
      <c r="BS108" s="2">
        <v>64</v>
      </c>
      <c r="BT108" s="57">
        <f t="shared" ref="BT108:BT163" si="312">$E$43</f>
        <v>480456</v>
      </c>
      <c r="BU108" s="62">
        <f t="shared" ref="BU108:BU139" si="313">SUM($G$10*$G$11*BT108*(EXP(-($G$10*BS108))),$G$10*$G$11*BT108*(EXP(-($G$10*(BS108+0.1)))),$G$10*$G$11*BT108*(EXP(-($G$10*(BS108+0.2)))),$G$10*$G$11*BT108*(EXP(-($G$10*(BS108+0.3)))),$G$10*$G$11*BT108*(EXP(-($G$10*(BS108+0.4)))),$G$10*$G$11*BT108*(EXP(-($G$10*(BS108+0.5)))),$G$10*$G$11*BT108*(EXP(-($G$10*(BS108+0.6)))),$G$10*$G$11*BT108*(EXP(-($G$10*(BS108+0.7)))),$G$10*$G$11*BT108*(EXP(-($G$10*(BS108+0.8)))),$G$10*$G$11*BT108*(EXP(-($G$10*(BS108+0.9)))))/10</f>
        <v>145925.47018260392</v>
      </c>
      <c r="BV108" s="2">
        <v>63</v>
      </c>
      <c r="BW108" s="57">
        <f t="shared" si="155"/>
        <v>503389</v>
      </c>
      <c r="BX108" s="62">
        <f t="shared" si="156"/>
        <v>159130.33625176514</v>
      </c>
      <c r="BY108" s="2">
        <v>62</v>
      </c>
      <c r="BZ108" s="57">
        <f t="shared" si="160"/>
        <v>527417</v>
      </c>
      <c r="CA108" s="62">
        <f t="shared" si="161"/>
        <v>173530.23810539331</v>
      </c>
      <c r="CB108" s="2">
        <v>61</v>
      </c>
      <c r="CC108" s="57">
        <f t="shared" si="163"/>
        <v>552592</v>
      </c>
      <c r="CD108" s="62">
        <f t="shared" si="164"/>
        <v>189233.23381353059</v>
      </c>
      <c r="CE108" s="2">
        <v>60</v>
      </c>
      <c r="CF108" s="57">
        <f t="shared" si="168"/>
        <v>578968</v>
      </c>
      <c r="CG108" s="62">
        <f t="shared" si="169"/>
        <v>206356.97730159498</v>
      </c>
      <c r="CH108" s="2">
        <v>59</v>
      </c>
      <c r="CI108" s="57">
        <f t="shared" si="172"/>
        <v>606603</v>
      </c>
      <c r="CJ108" s="62">
        <f t="shared" si="173"/>
        <v>225030.26428036648</v>
      </c>
      <c r="CK108" s="2">
        <v>58</v>
      </c>
      <c r="CL108" s="57">
        <f t="shared" si="175"/>
        <v>635558</v>
      </c>
      <c r="CM108" s="62">
        <f t="shared" si="176"/>
        <v>245393.66413315028</v>
      </c>
      <c r="CN108" s="2">
        <v>57</v>
      </c>
      <c r="CO108" s="57">
        <f t="shared" si="180"/>
        <v>665894</v>
      </c>
      <c r="CP108" s="62">
        <f t="shared" si="181"/>
        <v>267599.33921375597</v>
      </c>
      <c r="CQ108" s="2">
        <v>56</v>
      </c>
      <c r="CR108" s="57">
        <f t="shared" si="183"/>
        <v>697679</v>
      </c>
      <c r="CS108" s="62">
        <f t="shared" si="184"/>
        <v>291814.83424547716</v>
      </c>
      <c r="CT108" s="2">
        <v>55</v>
      </c>
      <c r="CU108" s="57">
        <f t="shared" si="188"/>
        <v>730980</v>
      </c>
      <c r="CV108" s="62">
        <f t="shared" si="189"/>
        <v>318221.11133621272</v>
      </c>
      <c r="CW108" s="2">
        <v>54</v>
      </c>
      <c r="CX108" s="57">
        <f t="shared" si="191"/>
        <v>765871</v>
      </c>
      <c r="CY108" s="62">
        <f t="shared" si="192"/>
        <v>347017.11742280197</v>
      </c>
      <c r="CZ108" s="2">
        <v>53</v>
      </c>
      <c r="DA108" s="57">
        <f t="shared" si="196"/>
        <v>0</v>
      </c>
      <c r="DB108" s="62">
        <f t="shared" si="197"/>
        <v>0</v>
      </c>
      <c r="DC108" s="2">
        <v>52</v>
      </c>
      <c r="DD108" s="57">
        <f t="shared" si="202"/>
        <v>0</v>
      </c>
      <c r="DE108" s="62">
        <f t="shared" si="203"/>
        <v>0</v>
      </c>
      <c r="DF108" s="2">
        <v>51</v>
      </c>
      <c r="DG108" s="57">
        <f t="shared" si="209"/>
        <v>0</v>
      </c>
      <c r="DH108" s="62">
        <f t="shared" si="210"/>
        <v>0</v>
      </c>
      <c r="DI108" s="2">
        <v>50</v>
      </c>
      <c r="DJ108" s="57">
        <f t="shared" si="215"/>
        <v>0</v>
      </c>
      <c r="DK108" s="62">
        <f t="shared" si="216"/>
        <v>0</v>
      </c>
      <c r="DL108" s="2">
        <v>49</v>
      </c>
      <c r="DM108" s="57">
        <f t="shared" si="222"/>
        <v>0</v>
      </c>
      <c r="DN108" s="62">
        <f t="shared" si="223"/>
        <v>0</v>
      </c>
      <c r="DO108" s="2">
        <v>48</v>
      </c>
      <c r="DP108" s="57">
        <f t="shared" si="227"/>
        <v>0</v>
      </c>
      <c r="DQ108" s="62">
        <f t="shared" si="228"/>
        <v>0</v>
      </c>
      <c r="DR108" s="2">
        <v>47</v>
      </c>
      <c r="DS108" s="57">
        <f t="shared" si="234"/>
        <v>0</v>
      </c>
      <c r="DT108" s="62">
        <f t="shared" si="235"/>
        <v>0</v>
      </c>
      <c r="DU108" s="2">
        <v>46</v>
      </c>
      <c r="DV108" s="57">
        <f t="shared" si="239"/>
        <v>0</v>
      </c>
      <c r="DW108" s="62">
        <f t="shared" si="240"/>
        <v>0</v>
      </c>
      <c r="DX108" s="2">
        <v>45</v>
      </c>
      <c r="DY108" s="57">
        <f t="shared" si="245"/>
        <v>0</v>
      </c>
      <c r="DZ108" s="62">
        <f t="shared" si="246"/>
        <v>0</v>
      </c>
      <c r="EA108" s="2">
        <v>44</v>
      </c>
      <c r="EB108" s="57">
        <f t="shared" si="109"/>
        <v>0</v>
      </c>
      <c r="EC108" s="62">
        <f t="shared" si="252"/>
        <v>0</v>
      </c>
      <c r="ED108" s="2">
        <v>43</v>
      </c>
      <c r="EE108" s="57">
        <f t="shared" si="113"/>
        <v>0</v>
      </c>
      <c r="EF108" s="62">
        <f t="shared" si="256"/>
        <v>0</v>
      </c>
      <c r="EG108" s="2">
        <v>42</v>
      </c>
      <c r="EH108" s="57">
        <f t="shared" si="117"/>
        <v>0</v>
      </c>
      <c r="EI108" s="62">
        <f t="shared" si="262"/>
        <v>0</v>
      </c>
      <c r="EJ108" s="2">
        <v>41</v>
      </c>
      <c r="EK108" s="57">
        <f t="shared" si="121"/>
        <v>0</v>
      </c>
      <c r="EL108" s="62">
        <f t="shared" si="267"/>
        <v>0</v>
      </c>
      <c r="EM108" s="2">
        <v>40</v>
      </c>
      <c r="EN108" s="57">
        <f t="shared" si="125"/>
        <v>0</v>
      </c>
      <c r="EO108" s="62">
        <f t="shared" si="273"/>
        <v>0</v>
      </c>
      <c r="EP108" s="2">
        <v>39</v>
      </c>
      <c r="EQ108" s="57">
        <f t="shared" si="129"/>
        <v>0</v>
      </c>
      <c r="ER108" s="62">
        <f t="shared" si="279"/>
        <v>0</v>
      </c>
      <c r="ES108" s="2">
        <v>38</v>
      </c>
      <c r="ET108" s="57">
        <f t="shared" si="130"/>
        <v>0</v>
      </c>
      <c r="EU108" s="62">
        <f t="shared" si="286"/>
        <v>0</v>
      </c>
      <c r="EV108" s="2">
        <v>37</v>
      </c>
      <c r="EW108" s="57">
        <f t="shared" si="134"/>
        <v>0</v>
      </c>
      <c r="EX108" s="62">
        <f t="shared" si="291"/>
        <v>0</v>
      </c>
      <c r="EY108" s="2">
        <v>36</v>
      </c>
      <c r="EZ108" s="57">
        <f t="shared" si="141"/>
        <v>0</v>
      </c>
      <c r="FA108" s="62">
        <f t="shared" si="298"/>
        <v>0</v>
      </c>
      <c r="FB108" s="2">
        <v>35</v>
      </c>
      <c r="FC108" s="57">
        <f t="shared" si="142"/>
        <v>0</v>
      </c>
      <c r="FD108" s="62">
        <f t="shared" si="302"/>
        <v>0</v>
      </c>
      <c r="FE108" s="2">
        <v>34</v>
      </c>
      <c r="FF108" s="57">
        <f t="shared" si="149"/>
        <v>0</v>
      </c>
      <c r="FG108" s="62">
        <f t="shared" si="306"/>
        <v>0</v>
      </c>
      <c r="FH108" s="2">
        <v>33</v>
      </c>
      <c r="FI108" s="57">
        <f t="shared" si="150"/>
        <v>0</v>
      </c>
      <c r="FJ108" s="62">
        <f t="shared" si="310"/>
        <v>0</v>
      </c>
      <c r="FK108" s="2">
        <v>32</v>
      </c>
      <c r="FL108" s="57">
        <f t="shared" si="157"/>
        <v>0</v>
      </c>
      <c r="FM108" s="62">
        <f t="shared" ref="FM108:FM139" si="314">SUM($G$10*$G$11*FL108*(EXP(-($G$10*FK108))),$G$10*$G$11*FL108*(EXP(-($G$10*(FK108+0.1)))),$G$10*$G$11*FL108*(EXP(-($G$10*(FK108+0.2)))),$G$10*$G$11*FL108*(EXP(-($G$10*(FK108+0.3)))),$G$10*$G$11*FL108*(EXP(-($G$10*(FK108+0.4)))),$G$10*$G$11*FL108*(EXP(-($G$10*(FK108+0.5)))),$G$10*$G$11*FL108*(EXP(-($G$10*(FK108+0.6)))),$G$10*$G$11*FL108*(EXP(-($G$10*(FK108+0.7)))),$G$10*$G$11*FL108*(EXP(-($G$10*(FK108+0.8)))),$G$10*$G$11*FL108*(EXP(-($G$10*(FK108+0.9)))))/10</f>
        <v>0</v>
      </c>
      <c r="FN108" s="2">
        <v>31</v>
      </c>
      <c r="FO108" s="57">
        <f t="shared" si="158"/>
        <v>0</v>
      </c>
      <c r="FP108" s="62">
        <f t="shared" si="159"/>
        <v>0</v>
      </c>
      <c r="FQ108" s="2">
        <v>30</v>
      </c>
      <c r="FR108" s="57">
        <f t="shared" si="165"/>
        <v>0</v>
      </c>
      <c r="FS108" s="62">
        <f t="shared" si="162"/>
        <v>0</v>
      </c>
      <c r="FT108" s="2">
        <v>29</v>
      </c>
      <c r="FU108" s="57">
        <f t="shared" si="166"/>
        <v>0</v>
      </c>
      <c r="FV108" s="62">
        <f t="shared" si="167"/>
        <v>0</v>
      </c>
      <c r="FW108" s="2">
        <v>28</v>
      </c>
      <c r="FX108" s="57">
        <f t="shared" si="170"/>
        <v>0</v>
      </c>
      <c r="FY108" s="62">
        <f t="shared" si="171"/>
        <v>0</v>
      </c>
      <c r="FZ108" s="2">
        <v>27</v>
      </c>
      <c r="GA108" s="57">
        <f t="shared" si="177"/>
        <v>0</v>
      </c>
      <c r="GB108" s="62">
        <f t="shared" si="174"/>
        <v>0</v>
      </c>
      <c r="GC108" s="2">
        <v>26</v>
      </c>
      <c r="GD108" s="57">
        <f t="shared" si="178"/>
        <v>0</v>
      </c>
      <c r="GE108" s="62">
        <f t="shared" si="179"/>
        <v>0</v>
      </c>
      <c r="GF108" s="2">
        <v>25</v>
      </c>
      <c r="GG108" s="57">
        <f t="shared" si="185"/>
        <v>0</v>
      </c>
      <c r="GH108" s="62">
        <f t="shared" si="182"/>
        <v>0</v>
      </c>
      <c r="GI108" s="2">
        <v>24</v>
      </c>
      <c r="GJ108" s="57">
        <f t="shared" si="186"/>
        <v>0</v>
      </c>
      <c r="GK108" s="62">
        <f t="shared" si="187"/>
        <v>0</v>
      </c>
      <c r="GL108" s="2">
        <v>23</v>
      </c>
      <c r="GM108" s="57">
        <f t="shared" si="193"/>
        <v>0</v>
      </c>
      <c r="GN108" s="62">
        <f t="shared" si="190"/>
        <v>0</v>
      </c>
      <c r="GO108" s="2">
        <v>22</v>
      </c>
      <c r="GP108" s="57">
        <f t="shared" si="194"/>
        <v>0</v>
      </c>
      <c r="GQ108" s="62">
        <f t="shared" si="195"/>
        <v>0</v>
      </c>
      <c r="GR108" s="2">
        <v>21</v>
      </c>
      <c r="GS108" s="57">
        <f t="shared" si="204"/>
        <v>0</v>
      </c>
      <c r="GT108" s="62">
        <f t="shared" si="198"/>
        <v>0</v>
      </c>
      <c r="GU108" s="2">
        <v>20</v>
      </c>
      <c r="GV108" s="57">
        <f t="shared" si="205"/>
        <v>0</v>
      </c>
      <c r="GW108" s="62">
        <f t="shared" si="206"/>
        <v>0</v>
      </c>
      <c r="GX108" s="2">
        <v>19</v>
      </c>
      <c r="GY108" s="57">
        <f t="shared" si="217"/>
        <v>0</v>
      </c>
      <c r="GZ108" s="62">
        <f t="shared" si="211"/>
        <v>0</v>
      </c>
      <c r="HA108" s="2">
        <v>18</v>
      </c>
      <c r="HB108" s="57">
        <f t="shared" si="218"/>
        <v>0</v>
      </c>
      <c r="HC108" s="62">
        <f t="shared" si="219"/>
        <v>0</v>
      </c>
      <c r="HD108" s="2">
        <v>17</v>
      </c>
      <c r="HE108" s="57">
        <f t="shared" si="229"/>
        <v>0</v>
      </c>
      <c r="HF108" s="62">
        <f t="shared" si="224"/>
        <v>0</v>
      </c>
      <c r="HG108" s="2">
        <v>16</v>
      </c>
      <c r="HH108" s="57">
        <f t="shared" si="230"/>
        <v>0</v>
      </c>
      <c r="HI108" s="62">
        <f t="shared" si="231"/>
        <v>0</v>
      </c>
      <c r="HJ108" s="2">
        <v>15</v>
      </c>
      <c r="HK108" s="57">
        <f t="shared" si="241"/>
        <v>0</v>
      </c>
      <c r="HL108" s="62">
        <f t="shared" si="236"/>
        <v>0</v>
      </c>
      <c r="HM108" s="2">
        <v>14</v>
      </c>
      <c r="HN108" s="57">
        <f t="shared" si="247"/>
        <v>0</v>
      </c>
      <c r="HO108" s="62">
        <f t="shared" si="242"/>
        <v>0</v>
      </c>
      <c r="HP108" s="2">
        <v>13</v>
      </c>
      <c r="HQ108" s="57">
        <f t="shared" si="248"/>
        <v>0</v>
      </c>
      <c r="HR108" s="62">
        <f t="shared" si="249"/>
        <v>0</v>
      </c>
      <c r="HS108" s="2">
        <v>12</v>
      </c>
      <c r="HT108" s="57">
        <f t="shared" si="257"/>
        <v>0</v>
      </c>
      <c r="HU108" s="62">
        <f t="shared" si="253"/>
        <v>0</v>
      </c>
      <c r="HV108" s="2">
        <v>11</v>
      </c>
      <c r="HW108" s="57">
        <f t="shared" si="258"/>
        <v>0</v>
      </c>
      <c r="HX108" s="62">
        <f t="shared" si="259"/>
        <v>0</v>
      </c>
      <c r="HY108" s="2">
        <v>10</v>
      </c>
      <c r="HZ108" s="57">
        <f t="shared" si="268"/>
        <v>0</v>
      </c>
      <c r="IA108" s="62">
        <f t="shared" si="263"/>
        <v>0</v>
      </c>
      <c r="IB108" s="2">
        <v>9</v>
      </c>
      <c r="IC108" s="57">
        <f t="shared" si="274"/>
        <v>0</v>
      </c>
      <c r="ID108" s="62">
        <f t="shared" si="269"/>
        <v>0</v>
      </c>
      <c r="IE108" s="2">
        <v>8</v>
      </c>
      <c r="IF108" s="57">
        <f t="shared" si="280"/>
        <v>0</v>
      </c>
      <c r="IG108" s="62">
        <f t="shared" si="275"/>
        <v>0</v>
      </c>
      <c r="IH108" s="2">
        <v>7</v>
      </c>
      <c r="II108" s="57">
        <f t="shared" si="281"/>
        <v>0</v>
      </c>
      <c r="IJ108" s="62">
        <f t="shared" si="282"/>
        <v>0</v>
      </c>
      <c r="IK108" s="2">
        <v>6</v>
      </c>
      <c r="IL108" s="57">
        <f t="shared" si="292"/>
        <v>0</v>
      </c>
      <c r="IM108" s="62">
        <f t="shared" si="287"/>
        <v>0</v>
      </c>
      <c r="IN108" s="2">
        <v>5</v>
      </c>
      <c r="IO108" s="57">
        <f t="shared" si="293"/>
        <v>0</v>
      </c>
      <c r="IP108" s="62">
        <f t="shared" si="294"/>
        <v>0</v>
      </c>
    </row>
    <row r="109" spans="2:250">
      <c r="G109" s="284"/>
      <c r="H109" s="284"/>
      <c r="I109" s="2">
        <f t="shared" si="212"/>
        <v>2104</v>
      </c>
      <c r="J109" s="379">
        <f t="shared" si="264"/>
        <v>3756748.1736459108</v>
      </c>
      <c r="K109" s="2">
        <f t="shared" si="212"/>
        <v>85</v>
      </c>
      <c r="L109" s="57">
        <f t="shared" si="200"/>
        <v>189082</v>
      </c>
      <c r="M109" s="62">
        <f t="shared" si="201"/>
        <v>24792.498898106864</v>
      </c>
      <c r="N109" s="2">
        <f t="shared" si="270"/>
        <v>84</v>
      </c>
      <c r="O109" s="57">
        <f t="shared" si="207"/>
        <v>293489</v>
      </c>
      <c r="P109" s="62">
        <f t="shared" si="208"/>
        <v>40052.877558789834</v>
      </c>
      <c r="Q109" s="2">
        <f t="shared" si="276"/>
        <v>83</v>
      </c>
      <c r="R109" s="57">
        <f t="shared" si="213"/>
        <v>283523</v>
      </c>
      <c r="S109" s="62">
        <f t="shared" si="214"/>
        <v>40271.886049047003</v>
      </c>
      <c r="T109" s="2">
        <f t="shared" si="283"/>
        <v>82</v>
      </c>
      <c r="U109" s="57">
        <f t="shared" si="220"/>
        <v>143321</v>
      </c>
      <c r="V109" s="62">
        <f t="shared" si="221"/>
        <v>21188.259477347754</v>
      </c>
      <c r="W109" s="2">
        <f t="shared" si="288"/>
        <v>81</v>
      </c>
      <c r="X109" s="57">
        <f t="shared" si="225"/>
        <v>227851</v>
      </c>
      <c r="Y109" s="62">
        <f t="shared" si="226"/>
        <v>35059.698039708797</v>
      </c>
      <c r="Z109" s="2">
        <f t="shared" si="295"/>
        <v>80</v>
      </c>
      <c r="AA109" s="57">
        <f t="shared" si="232"/>
        <v>238727</v>
      </c>
      <c r="AB109" s="62">
        <f t="shared" si="233"/>
        <v>38232.311156108219</v>
      </c>
      <c r="AC109" s="2">
        <f t="shared" si="299"/>
        <v>79</v>
      </c>
      <c r="AD109" s="57">
        <f t="shared" si="237"/>
        <v>250122</v>
      </c>
      <c r="AE109" s="62">
        <f t="shared" si="238"/>
        <v>41691.995629970181</v>
      </c>
      <c r="AF109" s="2">
        <f t="shared" si="303"/>
        <v>78</v>
      </c>
      <c r="AG109" s="57">
        <f t="shared" si="243"/>
        <v>262060</v>
      </c>
      <c r="AH109" s="62">
        <f t="shared" si="244"/>
        <v>45464.592918654685</v>
      </c>
      <c r="AI109" s="2">
        <f t="shared" si="307"/>
        <v>77</v>
      </c>
      <c r="AJ109" s="57">
        <f t="shared" si="250"/>
        <v>274569</v>
      </c>
      <c r="AK109" s="62">
        <f t="shared" si="251"/>
        <v>49578.781790076624</v>
      </c>
      <c r="AL109" s="2">
        <f t="shared" si="311"/>
        <v>76</v>
      </c>
      <c r="AM109" s="57">
        <f t="shared" si="254"/>
        <v>287675</v>
      </c>
      <c r="AN109" s="62">
        <f t="shared" si="255"/>
        <v>54065.254351722891</v>
      </c>
      <c r="AO109" s="2">
        <f t="shared" ref="AO109:AO123" si="315">IF(AO108="","",(AO108+1))</f>
        <v>75</v>
      </c>
      <c r="AP109" s="57">
        <f t="shared" si="260"/>
        <v>301406</v>
      </c>
      <c r="AQ109" s="62">
        <f t="shared" si="261"/>
        <v>58957.600697826281</v>
      </c>
      <c r="AR109" s="2">
        <v>74</v>
      </c>
      <c r="AS109" s="57">
        <f t="shared" si="265"/>
        <v>315793</v>
      </c>
      <c r="AT109" s="62">
        <f t="shared" si="266"/>
        <v>64292.777241762975</v>
      </c>
      <c r="AU109" s="2">
        <v>73</v>
      </c>
      <c r="AV109" s="57">
        <f t="shared" si="271"/>
        <v>330866</v>
      </c>
      <c r="AW109" s="62">
        <f t="shared" si="272"/>
        <v>70110.587705504688</v>
      </c>
      <c r="AX109" s="2">
        <v>72</v>
      </c>
      <c r="AY109" s="57">
        <f t="shared" si="277"/>
        <v>346659</v>
      </c>
      <c r="AZ109" s="62">
        <f t="shared" si="278"/>
        <v>76454.970611402678</v>
      </c>
      <c r="BA109" s="2">
        <v>71</v>
      </c>
      <c r="BB109" s="57">
        <f t="shared" si="284"/>
        <v>363206</v>
      </c>
      <c r="BC109" s="62">
        <f t="shared" si="285"/>
        <v>83373.501131890254</v>
      </c>
      <c r="BD109" s="2">
        <v>70</v>
      </c>
      <c r="BE109" s="57">
        <f t="shared" si="289"/>
        <v>380542</v>
      </c>
      <c r="BF109" s="62">
        <f t="shared" si="290"/>
        <v>90917.90100278586</v>
      </c>
      <c r="BG109" s="2">
        <v>69</v>
      </c>
      <c r="BH109" s="57">
        <f t="shared" si="296"/>
        <v>398706</v>
      </c>
      <c r="BI109" s="62">
        <f t="shared" si="297"/>
        <v>99145.122777612734</v>
      </c>
      <c r="BJ109" s="2">
        <v>68</v>
      </c>
      <c r="BK109" s="57">
        <f t="shared" si="300"/>
        <v>417737</v>
      </c>
      <c r="BL109" s="62">
        <f t="shared" si="301"/>
        <v>108116.83069502834</v>
      </c>
      <c r="BM109" s="2">
        <v>67</v>
      </c>
      <c r="BN109" s="57">
        <f t="shared" si="304"/>
        <v>437677</v>
      </c>
      <c r="BO109" s="62">
        <f t="shared" si="305"/>
        <v>117900.5598019741</v>
      </c>
      <c r="BP109" s="2">
        <v>66</v>
      </c>
      <c r="BQ109" s="57">
        <f t="shared" si="308"/>
        <v>458568</v>
      </c>
      <c r="BR109" s="62">
        <f t="shared" si="309"/>
        <v>128569.41469158093</v>
      </c>
      <c r="BS109" s="2">
        <v>65</v>
      </c>
      <c r="BT109" s="57">
        <f t="shared" si="312"/>
        <v>480456</v>
      </c>
      <c r="BU109" s="62">
        <f t="shared" si="313"/>
        <v>140203.65065478309</v>
      </c>
      <c r="BV109" s="2">
        <v>64</v>
      </c>
      <c r="BW109" s="57">
        <f t="shared" ref="BW109:BW163" si="316">$E$44</f>
        <v>503389</v>
      </c>
      <c r="BX109" s="62">
        <f t="shared" ref="BX109:BX140" si="317">SUM($G$10*$G$11*BW109*(EXP(-($G$10*BV109))),$G$10*$G$11*BW109*(EXP(-($G$10*(BV109+0.1)))),$G$10*$G$11*BW109*(EXP(-($G$10*(BV109+0.2)))),$G$10*$G$11*BW109*(EXP(-($G$10*(BV109+0.3)))),$G$10*$G$11*BW109*(EXP(-($G$10*(BV109+0.4)))),$G$10*$G$11*BW109*(EXP(-($G$10*(BV109+0.5)))),$G$10*$G$11*BW109*(EXP(-($G$10*(BV109+0.6)))),$G$10*$G$11*BW109*(EXP(-($G$10*(BV109+0.7)))),$G$10*$G$11*BW109*(EXP(-($G$10*(BV109+0.8)))),$G$10*$G$11*BW109*(EXP(-($G$10*(BV109+0.9)))))/10</f>
        <v>152890.74651945406</v>
      </c>
      <c r="BY109" s="2">
        <v>63</v>
      </c>
      <c r="BZ109" s="57">
        <f t="shared" si="160"/>
        <v>527417</v>
      </c>
      <c r="CA109" s="62">
        <f t="shared" si="161"/>
        <v>166726.02014524993</v>
      </c>
      <c r="CB109" s="2">
        <v>62</v>
      </c>
      <c r="CC109" s="57">
        <f t="shared" si="163"/>
        <v>552592</v>
      </c>
      <c r="CD109" s="62">
        <f t="shared" si="164"/>
        <v>181813.29258468249</v>
      </c>
      <c r="CE109" s="2">
        <v>61</v>
      </c>
      <c r="CF109" s="57">
        <f t="shared" si="168"/>
        <v>578968</v>
      </c>
      <c r="CG109" s="62">
        <f t="shared" si="169"/>
        <v>198265.60448676816</v>
      </c>
      <c r="CH109" s="2">
        <v>60</v>
      </c>
      <c r="CI109" s="57">
        <f t="shared" si="172"/>
        <v>606603</v>
      </c>
      <c r="CJ109" s="62">
        <f t="shared" si="173"/>
        <v>216206.7014102324</v>
      </c>
      <c r="CK109" s="2">
        <v>59</v>
      </c>
      <c r="CL109" s="57">
        <f t="shared" si="175"/>
        <v>635558</v>
      </c>
      <c r="CM109" s="62">
        <f t="shared" si="176"/>
        <v>235771.64093402299</v>
      </c>
      <c r="CN109" s="2">
        <v>58</v>
      </c>
      <c r="CO109" s="57">
        <f t="shared" si="180"/>
        <v>665894</v>
      </c>
      <c r="CP109" s="62">
        <f t="shared" si="181"/>
        <v>257106.61904071691</v>
      </c>
      <c r="CQ109" s="2">
        <v>57</v>
      </c>
      <c r="CR109" s="57">
        <f t="shared" si="183"/>
        <v>697679</v>
      </c>
      <c r="CS109" s="62">
        <f t="shared" si="184"/>
        <v>280372.61093104014</v>
      </c>
      <c r="CT109" s="2">
        <v>56</v>
      </c>
      <c r="CU109" s="57">
        <f t="shared" si="188"/>
        <v>730980</v>
      </c>
      <c r="CV109" s="62">
        <f t="shared" si="189"/>
        <v>305743.48308714887</v>
      </c>
      <c r="CW109" s="2">
        <v>55</v>
      </c>
      <c r="CX109" s="57">
        <f t="shared" si="191"/>
        <v>765871</v>
      </c>
      <c r="CY109" s="62">
        <f t="shared" si="192"/>
        <v>333410.38162490976</v>
      </c>
      <c r="CZ109" s="2">
        <v>54</v>
      </c>
      <c r="DA109" s="57">
        <f t="shared" si="196"/>
        <v>0</v>
      </c>
      <c r="DB109" s="62">
        <f t="shared" si="197"/>
        <v>0</v>
      </c>
      <c r="DC109" s="2">
        <v>53</v>
      </c>
      <c r="DD109" s="57">
        <f t="shared" si="202"/>
        <v>0</v>
      </c>
      <c r="DE109" s="62">
        <f t="shared" si="203"/>
        <v>0</v>
      </c>
      <c r="DF109" s="2">
        <v>52</v>
      </c>
      <c r="DG109" s="57">
        <f t="shared" si="209"/>
        <v>0</v>
      </c>
      <c r="DH109" s="62">
        <f t="shared" si="210"/>
        <v>0</v>
      </c>
      <c r="DI109" s="2">
        <v>51</v>
      </c>
      <c r="DJ109" s="57">
        <f t="shared" si="215"/>
        <v>0</v>
      </c>
      <c r="DK109" s="62">
        <f t="shared" si="216"/>
        <v>0</v>
      </c>
      <c r="DL109" s="2">
        <v>50</v>
      </c>
      <c r="DM109" s="57">
        <f t="shared" si="222"/>
        <v>0</v>
      </c>
      <c r="DN109" s="62">
        <f t="shared" si="223"/>
        <v>0</v>
      </c>
      <c r="DO109" s="2">
        <v>49</v>
      </c>
      <c r="DP109" s="57">
        <f t="shared" si="227"/>
        <v>0</v>
      </c>
      <c r="DQ109" s="62">
        <f t="shared" si="228"/>
        <v>0</v>
      </c>
      <c r="DR109" s="2">
        <v>48</v>
      </c>
      <c r="DS109" s="57">
        <f t="shared" si="234"/>
        <v>0</v>
      </c>
      <c r="DT109" s="62">
        <f t="shared" si="235"/>
        <v>0</v>
      </c>
      <c r="DU109" s="2">
        <v>47</v>
      </c>
      <c r="DV109" s="57">
        <f t="shared" si="239"/>
        <v>0</v>
      </c>
      <c r="DW109" s="62">
        <f t="shared" si="240"/>
        <v>0</v>
      </c>
      <c r="DX109" s="2">
        <v>46</v>
      </c>
      <c r="DY109" s="57">
        <f t="shared" si="245"/>
        <v>0</v>
      </c>
      <c r="DZ109" s="62">
        <f t="shared" si="246"/>
        <v>0</v>
      </c>
      <c r="EA109" s="2">
        <v>45</v>
      </c>
      <c r="EB109" s="57">
        <f t="shared" si="109"/>
        <v>0</v>
      </c>
      <c r="EC109" s="62">
        <f t="shared" si="252"/>
        <v>0</v>
      </c>
      <c r="ED109" s="2">
        <v>44</v>
      </c>
      <c r="EE109" s="57">
        <f t="shared" si="113"/>
        <v>0</v>
      </c>
      <c r="EF109" s="62">
        <f t="shared" si="256"/>
        <v>0</v>
      </c>
      <c r="EG109" s="2">
        <v>43</v>
      </c>
      <c r="EH109" s="57">
        <f t="shared" si="117"/>
        <v>0</v>
      </c>
      <c r="EI109" s="62">
        <f t="shared" si="262"/>
        <v>0</v>
      </c>
      <c r="EJ109" s="2">
        <v>42</v>
      </c>
      <c r="EK109" s="57">
        <f t="shared" si="121"/>
        <v>0</v>
      </c>
      <c r="EL109" s="62">
        <f t="shared" si="267"/>
        <v>0</v>
      </c>
      <c r="EM109" s="2">
        <v>41</v>
      </c>
      <c r="EN109" s="57">
        <f t="shared" si="125"/>
        <v>0</v>
      </c>
      <c r="EO109" s="62">
        <f t="shared" si="273"/>
        <v>0</v>
      </c>
      <c r="EP109" s="2">
        <v>40</v>
      </c>
      <c r="EQ109" s="57">
        <f t="shared" si="129"/>
        <v>0</v>
      </c>
      <c r="ER109" s="62">
        <f t="shared" si="279"/>
        <v>0</v>
      </c>
      <c r="ES109" s="2">
        <v>39</v>
      </c>
      <c r="ET109" s="57">
        <f t="shared" si="130"/>
        <v>0</v>
      </c>
      <c r="EU109" s="62">
        <f t="shared" si="286"/>
        <v>0</v>
      </c>
      <c r="EV109" s="2">
        <v>38</v>
      </c>
      <c r="EW109" s="57">
        <f t="shared" si="134"/>
        <v>0</v>
      </c>
      <c r="EX109" s="62">
        <f t="shared" si="291"/>
        <v>0</v>
      </c>
      <c r="EY109" s="2">
        <v>37</v>
      </c>
      <c r="EZ109" s="57">
        <f t="shared" si="141"/>
        <v>0</v>
      </c>
      <c r="FA109" s="62">
        <f t="shared" si="298"/>
        <v>0</v>
      </c>
      <c r="FB109" s="2">
        <v>36</v>
      </c>
      <c r="FC109" s="57">
        <f t="shared" si="142"/>
        <v>0</v>
      </c>
      <c r="FD109" s="62">
        <f t="shared" si="302"/>
        <v>0</v>
      </c>
      <c r="FE109" s="2">
        <v>35</v>
      </c>
      <c r="FF109" s="57">
        <f t="shared" si="149"/>
        <v>0</v>
      </c>
      <c r="FG109" s="62">
        <f t="shared" si="306"/>
        <v>0</v>
      </c>
      <c r="FH109" s="2">
        <v>34</v>
      </c>
      <c r="FI109" s="57">
        <f t="shared" si="150"/>
        <v>0</v>
      </c>
      <c r="FJ109" s="62">
        <f t="shared" si="310"/>
        <v>0</v>
      </c>
      <c r="FK109" s="2">
        <v>33</v>
      </c>
      <c r="FL109" s="57">
        <f t="shared" si="157"/>
        <v>0</v>
      </c>
      <c r="FM109" s="62">
        <f t="shared" si="314"/>
        <v>0</v>
      </c>
      <c r="FN109" s="2">
        <v>32</v>
      </c>
      <c r="FO109" s="57">
        <f t="shared" si="158"/>
        <v>0</v>
      </c>
      <c r="FP109" s="62">
        <f t="shared" ref="FP109:FP140" si="318">SUM($G$10*$G$11*FO109*(EXP(-($G$10*FN109))),$G$10*$G$11*FO109*(EXP(-($G$10*(FN109+0.1)))),$G$10*$G$11*FO109*(EXP(-($G$10*(FN109+0.2)))),$G$10*$G$11*FO109*(EXP(-($G$10*(FN109+0.3)))),$G$10*$G$11*FO109*(EXP(-($G$10*(FN109+0.4)))),$G$10*$G$11*FO109*(EXP(-($G$10*(FN109+0.5)))),$G$10*$G$11*FO109*(EXP(-($G$10*(FN109+0.6)))),$G$10*$G$11*FO109*(EXP(-($G$10*(FN109+0.7)))),$G$10*$G$11*FO109*(EXP(-($G$10*(FN109+0.8)))),$G$10*$G$11*FO109*(EXP(-($G$10*(FN109+0.9)))))/10</f>
        <v>0</v>
      </c>
      <c r="FQ109" s="2">
        <v>31</v>
      </c>
      <c r="FR109" s="57">
        <f t="shared" si="165"/>
        <v>0</v>
      </c>
      <c r="FS109" s="62">
        <f t="shared" si="162"/>
        <v>0</v>
      </c>
      <c r="FT109" s="2">
        <v>30</v>
      </c>
      <c r="FU109" s="57">
        <f t="shared" si="166"/>
        <v>0</v>
      </c>
      <c r="FV109" s="62">
        <f t="shared" si="167"/>
        <v>0</v>
      </c>
      <c r="FW109" s="2">
        <v>29</v>
      </c>
      <c r="FX109" s="57">
        <f t="shared" si="170"/>
        <v>0</v>
      </c>
      <c r="FY109" s="62">
        <f t="shared" si="171"/>
        <v>0</v>
      </c>
      <c r="FZ109" s="2">
        <v>28</v>
      </c>
      <c r="GA109" s="57">
        <f t="shared" si="177"/>
        <v>0</v>
      </c>
      <c r="GB109" s="62">
        <f t="shared" si="174"/>
        <v>0</v>
      </c>
      <c r="GC109" s="2">
        <v>27</v>
      </c>
      <c r="GD109" s="57">
        <f t="shared" si="178"/>
        <v>0</v>
      </c>
      <c r="GE109" s="62">
        <f t="shared" si="179"/>
        <v>0</v>
      </c>
      <c r="GF109" s="2">
        <v>26</v>
      </c>
      <c r="GG109" s="57">
        <f t="shared" si="185"/>
        <v>0</v>
      </c>
      <c r="GH109" s="62">
        <f t="shared" si="182"/>
        <v>0</v>
      </c>
      <c r="GI109" s="2">
        <v>25</v>
      </c>
      <c r="GJ109" s="57">
        <f t="shared" si="186"/>
        <v>0</v>
      </c>
      <c r="GK109" s="62">
        <f t="shared" si="187"/>
        <v>0</v>
      </c>
      <c r="GL109" s="2">
        <v>24</v>
      </c>
      <c r="GM109" s="57">
        <f t="shared" si="193"/>
        <v>0</v>
      </c>
      <c r="GN109" s="62">
        <f t="shared" si="190"/>
        <v>0</v>
      </c>
      <c r="GO109" s="2">
        <v>23</v>
      </c>
      <c r="GP109" s="57">
        <f t="shared" si="194"/>
        <v>0</v>
      </c>
      <c r="GQ109" s="62">
        <f t="shared" si="195"/>
        <v>0</v>
      </c>
      <c r="GR109" s="2">
        <v>22</v>
      </c>
      <c r="GS109" s="57">
        <f t="shared" si="204"/>
        <v>0</v>
      </c>
      <c r="GT109" s="62">
        <f t="shared" si="198"/>
        <v>0</v>
      </c>
      <c r="GU109" s="2">
        <v>21</v>
      </c>
      <c r="GV109" s="57">
        <f t="shared" si="205"/>
        <v>0</v>
      </c>
      <c r="GW109" s="62">
        <f t="shared" si="206"/>
        <v>0</v>
      </c>
      <c r="GX109" s="2">
        <v>20</v>
      </c>
      <c r="GY109" s="57">
        <f t="shared" si="217"/>
        <v>0</v>
      </c>
      <c r="GZ109" s="62">
        <f t="shared" si="211"/>
        <v>0</v>
      </c>
      <c r="HA109" s="2">
        <v>19</v>
      </c>
      <c r="HB109" s="57">
        <f t="shared" si="218"/>
        <v>0</v>
      </c>
      <c r="HC109" s="62">
        <f t="shared" si="219"/>
        <v>0</v>
      </c>
      <c r="HD109" s="2">
        <v>18</v>
      </c>
      <c r="HE109" s="57">
        <f t="shared" si="229"/>
        <v>0</v>
      </c>
      <c r="HF109" s="62">
        <f t="shared" si="224"/>
        <v>0</v>
      </c>
      <c r="HG109" s="2">
        <v>17</v>
      </c>
      <c r="HH109" s="57">
        <f t="shared" si="230"/>
        <v>0</v>
      </c>
      <c r="HI109" s="62">
        <f t="shared" si="231"/>
        <v>0</v>
      </c>
      <c r="HJ109" s="2">
        <v>16</v>
      </c>
      <c r="HK109" s="57">
        <f t="shared" si="241"/>
        <v>0</v>
      </c>
      <c r="HL109" s="62">
        <f t="shared" si="236"/>
        <v>0</v>
      </c>
      <c r="HM109" s="2">
        <v>15</v>
      </c>
      <c r="HN109" s="57">
        <f t="shared" si="247"/>
        <v>0</v>
      </c>
      <c r="HO109" s="62">
        <f t="shared" si="242"/>
        <v>0</v>
      </c>
      <c r="HP109" s="2">
        <v>14</v>
      </c>
      <c r="HQ109" s="57">
        <f t="shared" si="248"/>
        <v>0</v>
      </c>
      <c r="HR109" s="62">
        <f t="shared" si="249"/>
        <v>0</v>
      </c>
      <c r="HS109" s="2">
        <v>13</v>
      </c>
      <c r="HT109" s="57">
        <f t="shared" si="257"/>
        <v>0</v>
      </c>
      <c r="HU109" s="62">
        <f t="shared" si="253"/>
        <v>0</v>
      </c>
      <c r="HV109" s="2">
        <v>12</v>
      </c>
      <c r="HW109" s="57">
        <f t="shared" si="258"/>
        <v>0</v>
      </c>
      <c r="HX109" s="62">
        <f t="shared" si="259"/>
        <v>0</v>
      </c>
      <c r="HY109" s="2">
        <v>11</v>
      </c>
      <c r="HZ109" s="57">
        <f t="shared" si="268"/>
        <v>0</v>
      </c>
      <c r="IA109" s="62">
        <f t="shared" si="263"/>
        <v>0</v>
      </c>
      <c r="IB109" s="2">
        <v>10</v>
      </c>
      <c r="IC109" s="57">
        <f t="shared" si="274"/>
        <v>0</v>
      </c>
      <c r="ID109" s="62">
        <f t="shared" si="269"/>
        <v>0</v>
      </c>
      <c r="IE109" s="2">
        <v>9</v>
      </c>
      <c r="IF109" s="57">
        <f t="shared" si="280"/>
        <v>0</v>
      </c>
      <c r="IG109" s="62">
        <f t="shared" si="275"/>
        <v>0</v>
      </c>
      <c r="IH109" s="2">
        <v>8</v>
      </c>
      <c r="II109" s="57">
        <f t="shared" si="281"/>
        <v>0</v>
      </c>
      <c r="IJ109" s="62">
        <f t="shared" si="282"/>
        <v>0</v>
      </c>
      <c r="IK109" s="2">
        <v>7</v>
      </c>
      <c r="IL109" s="57">
        <f t="shared" si="292"/>
        <v>0</v>
      </c>
      <c r="IM109" s="62">
        <f t="shared" si="287"/>
        <v>0</v>
      </c>
      <c r="IN109" s="2">
        <v>6</v>
      </c>
      <c r="IO109" s="57">
        <f t="shared" si="293"/>
        <v>0</v>
      </c>
      <c r="IP109" s="62">
        <f t="shared" si="294"/>
        <v>0</v>
      </c>
    </row>
    <row r="110" spans="2:250">
      <c r="G110" s="284"/>
      <c r="H110" s="284"/>
      <c r="I110" s="2">
        <f t="shared" si="212"/>
        <v>2105</v>
      </c>
      <c r="J110" s="379">
        <f t="shared" si="264"/>
        <v>3609443.9707937692</v>
      </c>
      <c r="K110" s="2">
        <f t="shared" si="212"/>
        <v>86</v>
      </c>
      <c r="L110" s="57">
        <f t="shared" si="200"/>
        <v>189082</v>
      </c>
      <c r="M110" s="62">
        <f t="shared" si="201"/>
        <v>23820.371111496679</v>
      </c>
      <c r="N110" s="2">
        <f t="shared" si="270"/>
        <v>85</v>
      </c>
      <c r="O110" s="57">
        <f t="shared" si="207"/>
        <v>293489</v>
      </c>
      <c r="P110" s="62">
        <f t="shared" si="208"/>
        <v>38482.381766146354</v>
      </c>
      <c r="Q110" s="2">
        <f t="shared" si="276"/>
        <v>84</v>
      </c>
      <c r="R110" s="57">
        <f t="shared" si="213"/>
        <v>283523</v>
      </c>
      <c r="S110" s="62">
        <f t="shared" si="214"/>
        <v>38692.802810670131</v>
      </c>
      <c r="T110" s="2">
        <f t="shared" si="283"/>
        <v>83</v>
      </c>
      <c r="U110" s="57">
        <f t="shared" si="220"/>
        <v>143321</v>
      </c>
      <c r="V110" s="62">
        <f t="shared" si="221"/>
        <v>20357.455939854848</v>
      </c>
      <c r="W110" s="2">
        <f t="shared" si="288"/>
        <v>82</v>
      </c>
      <c r="X110" s="57">
        <f t="shared" si="225"/>
        <v>227851</v>
      </c>
      <c r="Y110" s="62">
        <f t="shared" si="226"/>
        <v>33684.987616421626</v>
      </c>
      <c r="Z110" s="2">
        <f t="shared" si="295"/>
        <v>81</v>
      </c>
      <c r="AA110" s="57">
        <f t="shared" si="232"/>
        <v>238727</v>
      </c>
      <c r="AB110" s="62">
        <f t="shared" si="233"/>
        <v>36733.200793174321</v>
      </c>
      <c r="AC110" s="2">
        <f t="shared" si="299"/>
        <v>80</v>
      </c>
      <c r="AD110" s="57">
        <f t="shared" si="237"/>
        <v>250122</v>
      </c>
      <c r="AE110" s="62">
        <f t="shared" si="238"/>
        <v>40057.229098460157</v>
      </c>
      <c r="AF110" s="2">
        <f t="shared" si="303"/>
        <v>79</v>
      </c>
      <c r="AG110" s="57">
        <f t="shared" si="243"/>
        <v>262060</v>
      </c>
      <c r="AH110" s="62">
        <f t="shared" si="244"/>
        <v>43681.900731602924</v>
      </c>
      <c r="AI110" s="2">
        <f t="shared" si="307"/>
        <v>78</v>
      </c>
      <c r="AJ110" s="57">
        <f t="shared" si="250"/>
        <v>274569</v>
      </c>
      <c r="AK110" s="62">
        <f t="shared" si="251"/>
        <v>47634.76994994314</v>
      </c>
      <c r="AL110" s="2">
        <f t="shared" si="311"/>
        <v>77</v>
      </c>
      <c r="AM110" s="57">
        <f t="shared" si="254"/>
        <v>287675</v>
      </c>
      <c r="AN110" s="62">
        <f t="shared" si="255"/>
        <v>51945.325406219556</v>
      </c>
      <c r="AO110" s="2">
        <f t="shared" si="315"/>
        <v>76</v>
      </c>
      <c r="AP110" s="57">
        <f t="shared" si="260"/>
        <v>301406</v>
      </c>
      <c r="AQ110" s="62">
        <f t="shared" si="261"/>
        <v>56645.840108231132</v>
      </c>
      <c r="AR110" s="2">
        <f t="shared" ref="AR110:AR123" si="319">IF(AR109="","",(AR109+1))</f>
        <v>75</v>
      </c>
      <c r="AS110" s="57">
        <f t="shared" si="265"/>
        <v>315793</v>
      </c>
      <c r="AT110" s="62">
        <f t="shared" si="266"/>
        <v>61771.821387658689</v>
      </c>
      <c r="AU110" s="2">
        <v>74</v>
      </c>
      <c r="AV110" s="57">
        <f t="shared" si="271"/>
        <v>330866</v>
      </c>
      <c r="AW110" s="62">
        <f t="shared" si="272"/>
        <v>67361.512240211625</v>
      </c>
      <c r="AX110" s="2">
        <v>73</v>
      </c>
      <c r="AY110" s="57">
        <f t="shared" si="277"/>
        <v>346659</v>
      </c>
      <c r="AZ110" s="62">
        <f t="shared" si="278"/>
        <v>73457.128334136927</v>
      </c>
      <c r="BA110" s="2">
        <v>72</v>
      </c>
      <c r="BB110" s="57">
        <f t="shared" si="284"/>
        <v>363206</v>
      </c>
      <c r="BC110" s="62">
        <f t="shared" si="285"/>
        <v>80104.379392674411</v>
      </c>
      <c r="BD110" s="2">
        <v>71</v>
      </c>
      <c r="BE110" s="57">
        <f t="shared" si="289"/>
        <v>380542</v>
      </c>
      <c r="BF110" s="62">
        <f t="shared" si="290"/>
        <v>87352.959113373072</v>
      </c>
      <c r="BG110" s="2">
        <v>70</v>
      </c>
      <c r="BH110" s="57">
        <f t="shared" si="296"/>
        <v>398706</v>
      </c>
      <c r="BI110" s="62">
        <f t="shared" si="297"/>
        <v>95257.586908190788</v>
      </c>
      <c r="BJ110" s="2">
        <v>69</v>
      </c>
      <c r="BK110" s="57">
        <f t="shared" si="300"/>
        <v>417737</v>
      </c>
      <c r="BL110" s="62">
        <f t="shared" si="301"/>
        <v>103877.50912640298</v>
      </c>
      <c r="BM110" s="2">
        <v>68</v>
      </c>
      <c r="BN110" s="57">
        <f t="shared" si="304"/>
        <v>437677</v>
      </c>
      <c r="BO110" s="62">
        <f t="shared" si="305"/>
        <v>113277.61272788362</v>
      </c>
      <c r="BP110" s="2">
        <v>67</v>
      </c>
      <c r="BQ110" s="57">
        <f t="shared" si="308"/>
        <v>458568</v>
      </c>
      <c r="BR110" s="62">
        <f t="shared" si="309"/>
        <v>123528.1358336665</v>
      </c>
      <c r="BS110" s="2">
        <v>66</v>
      </c>
      <c r="BT110" s="57">
        <f t="shared" si="312"/>
        <v>480456</v>
      </c>
      <c r="BU110" s="62">
        <f t="shared" si="313"/>
        <v>134706.18687971728</v>
      </c>
      <c r="BV110" s="2">
        <v>65</v>
      </c>
      <c r="BW110" s="57">
        <f t="shared" si="316"/>
        <v>503389</v>
      </c>
      <c r="BX110" s="62">
        <f t="shared" si="317"/>
        <v>146895.81460000627</v>
      </c>
      <c r="BY110" s="2">
        <v>64</v>
      </c>
      <c r="BZ110" s="57">
        <f t="shared" ref="BZ110:BZ163" si="320">$E$45</f>
        <v>527417</v>
      </c>
      <c r="CA110" s="62">
        <f t="shared" ref="CA110:CA141" si="321">SUM($G$10*$G$11*BZ110*(EXP(-($G$10*BY110))),$G$10*$G$11*BZ110*(EXP(-($G$10*(BY110+0.1)))),$G$10*$G$11*BZ110*(EXP(-($G$10*(BY110+0.2)))),$G$10*$G$11*BZ110*(EXP(-($G$10*(BY110+0.3)))),$G$10*$G$11*BZ110*(EXP(-($G$10*(BY110+0.4)))),$G$10*$G$11*BZ110*(EXP(-($G$10*(BY110+0.5)))),$G$10*$G$11*BZ110*(EXP(-($G$10*(BY110+0.6)))),$G$10*$G$11*BZ110*(EXP(-($G$10*(BY110+0.7)))),$G$10*$G$11*BZ110*(EXP(-($G$10*(BY110+0.8)))),$G$10*$G$11*BZ110*(EXP(-($G$10*(BY110+0.9)))))/10</f>
        <v>160188.59938745361</v>
      </c>
      <c r="CB110" s="2">
        <v>63</v>
      </c>
      <c r="CC110" s="57">
        <f t="shared" si="163"/>
        <v>552592</v>
      </c>
      <c r="CD110" s="62">
        <f t="shared" si="164"/>
        <v>174684.29141287433</v>
      </c>
      <c r="CE110" s="2">
        <v>62</v>
      </c>
      <c r="CF110" s="57">
        <f t="shared" si="168"/>
        <v>578968</v>
      </c>
      <c r="CG110" s="62">
        <f t="shared" si="169"/>
        <v>190491.4989380383</v>
      </c>
      <c r="CH110" s="2">
        <v>61</v>
      </c>
      <c r="CI110" s="57">
        <f t="shared" si="172"/>
        <v>606603</v>
      </c>
      <c r="CJ110" s="62">
        <f t="shared" si="173"/>
        <v>207729.11538891098</v>
      </c>
      <c r="CK110" s="2">
        <v>60</v>
      </c>
      <c r="CL110" s="57">
        <f t="shared" si="175"/>
        <v>635558</v>
      </c>
      <c r="CM110" s="62">
        <f t="shared" si="176"/>
        <v>226526.9026610229</v>
      </c>
      <c r="CN110" s="2">
        <v>59</v>
      </c>
      <c r="CO110" s="57">
        <f t="shared" si="180"/>
        <v>665894</v>
      </c>
      <c r="CP110" s="62">
        <f t="shared" si="181"/>
        <v>247025.32431048044</v>
      </c>
      <c r="CQ110" s="2">
        <v>58</v>
      </c>
      <c r="CR110" s="57">
        <f t="shared" si="183"/>
        <v>697679</v>
      </c>
      <c r="CS110" s="62">
        <f t="shared" si="184"/>
        <v>269379.04361010657</v>
      </c>
      <c r="CT110" s="2">
        <v>57</v>
      </c>
      <c r="CU110" s="57">
        <f t="shared" si="188"/>
        <v>730980</v>
      </c>
      <c r="CV110" s="62">
        <f t="shared" si="189"/>
        <v>293755.10963977955</v>
      </c>
      <c r="CW110" s="2">
        <v>56</v>
      </c>
      <c r="CX110" s="57">
        <f t="shared" si="191"/>
        <v>765871</v>
      </c>
      <c r="CY110" s="62">
        <f t="shared" si="192"/>
        <v>320337.17356895917</v>
      </c>
      <c r="CZ110" s="2">
        <v>55</v>
      </c>
      <c r="DA110" s="57">
        <f t="shared" si="196"/>
        <v>0</v>
      </c>
      <c r="DB110" s="62">
        <f t="shared" si="197"/>
        <v>0</v>
      </c>
      <c r="DC110" s="2">
        <v>54</v>
      </c>
      <c r="DD110" s="57">
        <f t="shared" si="202"/>
        <v>0</v>
      </c>
      <c r="DE110" s="62">
        <f t="shared" si="203"/>
        <v>0</v>
      </c>
      <c r="DF110" s="2">
        <v>53</v>
      </c>
      <c r="DG110" s="57">
        <f t="shared" si="209"/>
        <v>0</v>
      </c>
      <c r="DH110" s="62">
        <f t="shared" si="210"/>
        <v>0</v>
      </c>
      <c r="DI110" s="2">
        <v>52</v>
      </c>
      <c r="DJ110" s="57">
        <f t="shared" si="215"/>
        <v>0</v>
      </c>
      <c r="DK110" s="62">
        <f t="shared" si="216"/>
        <v>0</v>
      </c>
      <c r="DL110" s="2">
        <v>51</v>
      </c>
      <c r="DM110" s="57">
        <f t="shared" si="222"/>
        <v>0</v>
      </c>
      <c r="DN110" s="62">
        <f t="shared" si="223"/>
        <v>0</v>
      </c>
      <c r="DO110" s="2">
        <v>50</v>
      </c>
      <c r="DP110" s="57">
        <f t="shared" si="227"/>
        <v>0</v>
      </c>
      <c r="DQ110" s="62">
        <f t="shared" si="228"/>
        <v>0</v>
      </c>
      <c r="DR110" s="2">
        <v>49</v>
      </c>
      <c r="DS110" s="57">
        <f t="shared" si="234"/>
        <v>0</v>
      </c>
      <c r="DT110" s="62">
        <f t="shared" si="235"/>
        <v>0</v>
      </c>
      <c r="DU110" s="2">
        <v>48</v>
      </c>
      <c r="DV110" s="57">
        <f t="shared" si="239"/>
        <v>0</v>
      </c>
      <c r="DW110" s="62">
        <f t="shared" si="240"/>
        <v>0</v>
      </c>
      <c r="DX110" s="2">
        <v>47</v>
      </c>
      <c r="DY110" s="57">
        <f t="shared" si="245"/>
        <v>0</v>
      </c>
      <c r="DZ110" s="62">
        <f t="shared" si="246"/>
        <v>0</v>
      </c>
      <c r="EA110" s="2">
        <v>46</v>
      </c>
      <c r="EB110" s="57">
        <f t="shared" si="109"/>
        <v>0</v>
      </c>
      <c r="EC110" s="62">
        <f t="shared" si="252"/>
        <v>0</v>
      </c>
      <c r="ED110" s="2">
        <v>45</v>
      </c>
      <c r="EE110" s="57">
        <f t="shared" si="113"/>
        <v>0</v>
      </c>
      <c r="EF110" s="62">
        <f t="shared" si="256"/>
        <v>0</v>
      </c>
      <c r="EG110" s="2">
        <v>44</v>
      </c>
      <c r="EH110" s="57">
        <f t="shared" si="117"/>
        <v>0</v>
      </c>
      <c r="EI110" s="62">
        <f t="shared" si="262"/>
        <v>0</v>
      </c>
      <c r="EJ110" s="2">
        <v>43</v>
      </c>
      <c r="EK110" s="57">
        <f t="shared" si="121"/>
        <v>0</v>
      </c>
      <c r="EL110" s="62">
        <f t="shared" si="267"/>
        <v>0</v>
      </c>
      <c r="EM110" s="2">
        <v>42</v>
      </c>
      <c r="EN110" s="57">
        <f t="shared" si="125"/>
        <v>0</v>
      </c>
      <c r="EO110" s="62">
        <f t="shared" si="273"/>
        <v>0</v>
      </c>
      <c r="EP110" s="2">
        <v>41</v>
      </c>
      <c r="EQ110" s="57">
        <f t="shared" si="129"/>
        <v>0</v>
      </c>
      <c r="ER110" s="62">
        <f t="shared" si="279"/>
        <v>0</v>
      </c>
      <c r="ES110" s="2">
        <v>40</v>
      </c>
      <c r="ET110" s="57">
        <f t="shared" si="130"/>
        <v>0</v>
      </c>
      <c r="EU110" s="62">
        <f t="shared" si="286"/>
        <v>0</v>
      </c>
      <c r="EV110" s="2">
        <v>39</v>
      </c>
      <c r="EW110" s="57">
        <f t="shared" si="134"/>
        <v>0</v>
      </c>
      <c r="EX110" s="62">
        <f t="shared" si="291"/>
        <v>0</v>
      </c>
      <c r="EY110" s="2">
        <v>38</v>
      </c>
      <c r="EZ110" s="57">
        <f t="shared" si="141"/>
        <v>0</v>
      </c>
      <c r="FA110" s="62">
        <f t="shared" si="298"/>
        <v>0</v>
      </c>
      <c r="FB110" s="2">
        <v>37</v>
      </c>
      <c r="FC110" s="57">
        <f t="shared" si="142"/>
        <v>0</v>
      </c>
      <c r="FD110" s="62">
        <f t="shared" si="302"/>
        <v>0</v>
      </c>
      <c r="FE110" s="2">
        <v>36</v>
      </c>
      <c r="FF110" s="57">
        <f t="shared" si="149"/>
        <v>0</v>
      </c>
      <c r="FG110" s="62">
        <f t="shared" si="306"/>
        <v>0</v>
      </c>
      <c r="FH110" s="2">
        <v>35</v>
      </c>
      <c r="FI110" s="57">
        <f t="shared" si="150"/>
        <v>0</v>
      </c>
      <c r="FJ110" s="62">
        <f t="shared" si="310"/>
        <v>0</v>
      </c>
      <c r="FK110" s="2">
        <v>34</v>
      </c>
      <c r="FL110" s="57">
        <f t="shared" si="157"/>
        <v>0</v>
      </c>
      <c r="FM110" s="62">
        <f t="shared" si="314"/>
        <v>0</v>
      </c>
      <c r="FN110" s="2">
        <v>33</v>
      </c>
      <c r="FO110" s="57">
        <f t="shared" si="158"/>
        <v>0</v>
      </c>
      <c r="FP110" s="62">
        <f t="shared" si="318"/>
        <v>0</v>
      </c>
      <c r="FQ110" s="2">
        <v>32</v>
      </c>
      <c r="FR110" s="57">
        <f t="shared" si="165"/>
        <v>0</v>
      </c>
      <c r="FS110" s="62">
        <f t="shared" ref="FS110:FS141" si="322">SUM($G$10*$G$11*FR110*(EXP(-($G$10*FQ110))),$G$10*$G$11*FR110*(EXP(-($G$10*(FQ110+0.1)))),$G$10*$G$11*FR110*(EXP(-($G$10*(FQ110+0.2)))),$G$10*$G$11*FR110*(EXP(-($G$10*(FQ110+0.3)))),$G$10*$G$11*FR110*(EXP(-($G$10*(FQ110+0.4)))),$G$10*$G$11*FR110*(EXP(-($G$10*(FQ110+0.5)))),$G$10*$G$11*FR110*(EXP(-($G$10*(FQ110+0.6)))),$G$10*$G$11*FR110*(EXP(-($G$10*(FQ110+0.7)))),$G$10*$G$11*FR110*(EXP(-($G$10*(FQ110+0.8)))),$G$10*$G$11*FR110*(EXP(-($G$10*(FQ110+0.9)))))/10</f>
        <v>0</v>
      </c>
      <c r="FT110" s="2">
        <v>31</v>
      </c>
      <c r="FU110" s="57">
        <f t="shared" si="166"/>
        <v>0</v>
      </c>
      <c r="FV110" s="62">
        <f t="shared" si="167"/>
        <v>0</v>
      </c>
      <c r="FW110" s="2">
        <v>30</v>
      </c>
      <c r="FX110" s="57">
        <f t="shared" si="170"/>
        <v>0</v>
      </c>
      <c r="FY110" s="62">
        <f t="shared" si="171"/>
        <v>0</v>
      </c>
      <c r="FZ110" s="2">
        <v>29</v>
      </c>
      <c r="GA110" s="57">
        <f t="shared" si="177"/>
        <v>0</v>
      </c>
      <c r="GB110" s="62">
        <f t="shared" si="174"/>
        <v>0</v>
      </c>
      <c r="GC110" s="2">
        <v>28</v>
      </c>
      <c r="GD110" s="57">
        <f t="shared" si="178"/>
        <v>0</v>
      </c>
      <c r="GE110" s="62">
        <f t="shared" si="179"/>
        <v>0</v>
      </c>
      <c r="GF110" s="2">
        <v>27</v>
      </c>
      <c r="GG110" s="57">
        <f t="shared" si="185"/>
        <v>0</v>
      </c>
      <c r="GH110" s="62">
        <f t="shared" si="182"/>
        <v>0</v>
      </c>
      <c r="GI110" s="2">
        <v>26</v>
      </c>
      <c r="GJ110" s="57">
        <f t="shared" si="186"/>
        <v>0</v>
      </c>
      <c r="GK110" s="62">
        <f t="shared" si="187"/>
        <v>0</v>
      </c>
      <c r="GL110" s="2">
        <v>25</v>
      </c>
      <c r="GM110" s="57">
        <f t="shared" si="193"/>
        <v>0</v>
      </c>
      <c r="GN110" s="62">
        <f t="shared" si="190"/>
        <v>0</v>
      </c>
      <c r="GO110" s="2">
        <v>24</v>
      </c>
      <c r="GP110" s="57">
        <f t="shared" si="194"/>
        <v>0</v>
      </c>
      <c r="GQ110" s="62">
        <f t="shared" si="195"/>
        <v>0</v>
      </c>
      <c r="GR110" s="2">
        <v>23</v>
      </c>
      <c r="GS110" s="57">
        <f t="shared" si="204"/>
        <v>0</v>
      </c>
      <c r="GT110" s="62">
        <f t="shared" si="198"/>
        <v>0</v>
      </c>
      <c r="GU110" s="2">
        <v>22</v>
      </c>
      <c r="GV110" s="57">
        <f t="shared" si="205"/>
        <v>0</v>
      </c>
      <c r="GW110" s="62">
        <f t="shared" si="206"/>
        <v>0</v>
      </c>
      <c r="GX110" s="2">
        <v>21</v>
      </c>
      <c r="GY110" s="57">
        <f t="shared" si="217"/>
        <v>0</v>
      </c>
      <c r="GZ110" s="62">
        <f t="shared" si="211"/>
        <v>0</v>
      </c>
      <c r="HA110" s="2">
        <v>20</v>
      </c>
      <c r="HB110" s="57">
        <f t="shared" si="218"/>
        <v>0</v>
      </c>
      <c r="HC110" s="62">
        <f t="shared" si="219"/>
        <v>0</v>
      </c>
      <c r="HD110" s="2">
        <v>19</v>
      </c>
      <c r="HE110" s="57">
        <f t="shared" si="229"/>
        <v>0</v>
      </c>
      <c r="HF110" s="62">
        <f t="shared" si="224"/>
        <v>0</v>
      </c>
      <c r="HG110" s="2">
        <v>18</v>
      </c>
      <c r="HH110" s="57">
        <f t="shared" si="230"/>
        <v>0</v>
      </c>
      <c r="HI110" s="62">
        <f t="shared" si="231"/>
        <v>0</v>
      </c>
      <c r="HJ110" s="2">
        <v>17</v>
      </c>
      <c r="HK110" s="57">
        <f t="shared" si="241"/>
        <v>0</v>
      </c>
      <c r="HL110" s="62">
        <f t="shared" si="236"/>
        <v>0</v>
      </c>
      <c r="HM110" s="2">
        <v>16</v>
      </c>
      <c r="HN110" s="57">
        <f t="shared" si="247"/>
        <v>0</v>
      </c>
      <c r="HO110" s="62">
        <f t="shared" si="242"/>
        <v>0</v>
      </c>
      <c r="HP110" s="2">
        <v>15</v>
      </c>
      <c r="HQ110" s="57">
        <f t="shared" si="248"/>
        <v>0</v>
      </c>
      <c r="HR110" s="62">
        <f t="shared" si="249"/>
        <v>0</v>
      </c>
      <c r="HS110" s="2">
        <v>14</v>
      </c>
      <c r="HT110" s="57">
        <f t="shared" si="257"/>
        <v>0</v>
      </c>
      <c r="HU110" s="62">
        <f t="shared" si="253"/>
        <v>0</v>
      </c>
      <c r="HV110" s="2">
        <v>13</v>
      </c>
      <c r="HW110" s="57">
        <f t="shared" si="258"/>
        <v>0</v>
      </c>
      <c r="HX110" s="62">
        <f t="shared" si="259"/>
        <v>0</v>
      </c>
      <c r="HY110" s="2">
        <v>12</v>
      </c>
      <c r="HZ110" s="57">
        <f t="shared" si="268"/>
        <v>0</v>
      </c>
      <c r="IA110" s="62">
        <f t="shared" si="263"/>
        <v>0</v>
      </c>
      <c r="IB110" s="2">
        <v>11</v>
      </c>
      <c r="IC110" s="57">
        <f t="shared" si="274"/>
        <v>0</v>
      </c>
      <c r="ID110" s="62">
        <f t="shared" si="269"/>
        <v>0</v>
      </c>
      <c r="IE110" s="2">
        <v>10</v>
      </c>
      <c r="IF110" s="57">
        <f t="shared" si="280"/>
        <v>0</v>
      </c>
      <c r="IG110" s="62">
        <f t="shared" si="275"/>
        <v>0</v>
      </c>
      <c r="IH110" s="2">
        <v>9</v>
      </c>
      <c r="II110" s="57">
        <f t="shared" si="281"/>
        <v>0</v>
      </c>
      <c r="IJ110" s="62">
        <f t="shared" si="282"/>
        <v>0</v>
      </c>
      <c r="IK110" s="2">
        <v>8</v>
      </c>
      <c r="IL110" s="57">
        <f t="shared" si="292"/>
        <v>0</v>
      </c>
      <c r="IM110" s="62">
        <f t="shared" si="287"/>
        <v>0</v>
      </c>
      <c r="IN110" s="2">
        <v>7</v>
      </c>
      <c r="IO110" s="57">
        <f t="shared" si="293"/>
        <v>0</v>
      </c>
      <c r="IP110" s="62">
        <f t="shared" si="294"/>
        <v>0</v>
      </c>
    </row>
    <row r="111" spans="2:250">
      <c r="G111" s="284"/>
      <c r="H111" s="284"/>
      <c r="I111" s="2">
        <f t="shared" si="212"/>
        <v>2106</v>
      </c>
      <c r="J111" s="379">
        <f t="shared" si="264"/>
        <v>3467915.6483506798</v>
      </c>
      <c r="K111" s="2">
        <f t="shared" si="212"/>
        <v>87</v>
      </c>
      <c r="L111" s="57">
        <f t="shared" si="200"/>
        <v>189082</v>
      </c>
      <c r="M111" s="62">
        <f t="shared" si="201"/>
        <v>22886.361000615099</v>
      </c>
      <c r="N111" s="2">
        <f t="shared" si="270"/>
        <v>86</v>
      </c>
      <c r="O111" s="57">
        <f t="shared" si="207"/>
        <v>293489</v>
      </c>
      <c r="P111" s="62">
        <f t="shared" si="208"/>
        <v>36973.465994341343</v>
      </c>
      <c r="Q111" s="2">
        <f t="shared" si="276"/>
        <v>85</v>
      </c>
      <c r="R111" s="57">
        <f t="shared" si="213"/>
        <v>283523</v>
      </c>
      <c r="S111" s="62">
        <f t="shared" si="214"/>
        <v>37175.636311695198</v>
      </c>
      <c r="T111" s="2">
        <f t="shared" si="283"/>
        <v>84</v>
      </c>
      <c r="U111" s="57">
        <f t="shared" si="220"/>
        <v>143321</v>
      </c>
      <c r="V111" s="62">
        <f t="shared" si="221"/>
        <v>19559.228675021266</v>
      </c>
      <c r="W111" s="2">
        <f t="shared" si="288"/>
        <v>83</v>
      </c>
      <c r="X111" s="57">
        <f t="shared" si="225"/>
        <v>227851</v>
      </c>
      <c r="Y111" s="62">
        <f t="shared" si="226"/>
        <v>32364.180359834681</v>
      </c>
      <c r="Z111" s="2">
        <f t="shared" si="295"/>
        <v>82</v>
      </c>
      <c r="AA111" s="57">
        <f t="shared" si="232"/>
        <v>238727</v>
      </c>
      <c r="AB111" s="62">
        <f t="shared" si="233"/>
        <v>35292.871388343636</v>
      </c>
      <c r="AC111" s="2">
        <f t="shared" si="299"/>
        <v>81</v>
      </c>
      <c r="AD111" s="57">
        <f t="shared" si="237"/>
        <v>250122</v>
      </c>
      <c r="AE111" s="62">
        <f t="shared" si="238"/>
        <v>38486.56267950566</v>
      </c>
      <c r="AF111" s="2">
        <f t="shared" si="303"/>
        <v>80</v>
      </c>
      <c r="AG111" s="57">
        <f t="shared" si="243"/>
        <v>262060</v>
      </c>
      <c r="AH111" s="62">
        <f t="shared" si="244"/>
        <v>41969.10890502423</v>
      </c>
      <c r="AI111" s="2">
        <f t="shared" si="307"/>
        <v>79</v>
      </c>
      <c r="AJ111" s="57">
        <f t="shared" si="250"/>
        <v>274569</v>
      </c>
      <c r="AK111" s="62">
        <f t="shared" si="251"/>
        <v>45766.983904355809</v>
      </c>
      <c r="AL111" s="2">
        <f t="shared" si="311"/>
        <v>78</v>
      </c>
      <c r="AM111" s="57">
        <f t="shared" si="254"/>
        <v>287675</v>
      </c>
      <c r="AN111" s="62">
        <f t="shared" si="255"/>
        <v>49908.520063626616</v>
      </c>
      <c r="AO111" s="2">
        <f t="shared" si="315"/>
        <v>77</v>
      </c>
      <c r="AP111" s="57">
        <f t="shared" si="260"/>
        <v>301406</v>
      </c>
      <c r="AQ111" s="62">
        <f t="shared" si="261"/>
        <v>54424.72494789958</v>
      </c>
      <c r="AR111" s="2">
        <f t="shared" si="319"/>
        <v>76</v>
      </c>
      <c r="AS111" s="57">
        <f t="shared" si="265"/>
        <v>315793</v>
      </c>
      <c r="AT111" s="62">
        <f t="shared" si="266"/>
        <v>59349.713626466066</v>
      </c>
      <c r="AU111" s="2">
        <f t="shared" ref="AU111:AU123" si="323">IF(AU110="","",(AU110+1))</f>
        <v>75</v>
      </c>
      <c r="AV111" s="57">
        <f t="shared" si="271"/>
        <v>330866</v>
      </c>
      <c r="AW111" s="62">
        <f t="shared" si="272"/>
        <v>64720.229565725269</v>
      </c>
      <c r="AX111" s="2">
        <v>74</v>
      </c>
      <c r="AY111" s="57">
        <f t="shared" si="277"/>
        <v>346659</v>
      </c>
      <c r="AZ111" s="62">
        <f t="shared" si="278"/>
        <v>70576.833133895663</v>
      </c>
      <c r="BA111" s="2">
        <v>73</v>
      </c>
      <c r="BB111" s="57">
        <f t="shared" si="284"/>
        <v>363206</v>
      </c>
      <c r="BC111" s="62">
        <f t="shared" si="285"/>
        <v>76963.441750332568</v>
      </c>
      <c r="BD111" s="2">
        <v>72</v>
      </c>
      <c r="BE111" s="57">
        <f t="shared" si="289"/>
        <v>380542</v>
      </c>
      <c r="BF111" s="62">
        <f t="shared" si="290"/>
        <v>83927.800594833534</v>
      </c>
      <c r="BG111" s="2">
        <v>71</v>
      </c>
      <c r="BH111" s="57">
        <f t="shared" si="296"/>
        <v>398706</v>
      </c>
      <c r="BI111" s="62">
        <f t="shared" si="297"/>
        <v>91522.483500524308</v>
      </c>
      <c r="BJ111" s="2">
        <v>70</v>
      </c>
      <c r="BK111" s="57">
        <f t="shared" si="300"/>
        <v>417737</v>
      </c>
      <c r="BL111" s="62">
        <f t="shared" si="301"/>
        <v>99804.413734097048</v>
      </c>
      <c r="BM111" s="2">
        <v>69</v>
      </c>
      <c r="BN111" s="57">
        <f t="shared" si="304"/>
        <v>437677</v>
      </c>
      <c r="BO111" s="62">
        <f t="shared" si="305"/>
        <v>108835.93400133736</v>
      </c>
      <c r="BP111" s="2">
        <v>68</v>
      </c>
      <c r="BQ111" s="57">
        <f t="shared" si="308"/>
        <v>458568</v>
      </c>
      <c r="BR111" s="62">
        <f t="shared" si="309"/>
        <v>118684.52834716041</v>
      </c>
      <c r="BS111" s="2">
        <v>67</v>
      </c>
      <c r="BT111" s="57">
        <f t="shared" si="312"/>
        <v>480456</v>
      </c>
      <c r="BU111" s="62">
        <f t="shared" si="313"/>
        <v>129424.28174251162</v>
      </c>
      <c r="BV111" s="2">
        <v>66</v>
      </c>
      <c r="BW111" s="57">
        <f t="shared" si="316"/>
        <v>503389</v>
      </c>
      <c r="BX111" s="62">
        <f t="shared" si="317"/>
        <v>141135.94732336365</v>
      </c>
      <c r="BY111" s="2">
        <v>65</v>
      </c>
      <c r="BZ111" s="57">
        <f t="shared" si="320"/>
        <v>527417</v>
      </c>
      <c r="CA111" s="62">
        <f t="shared" si="321"/>
        <v>153907.51456406777</v>
      </c>
      <c r="CB111" s="2">
        <v>64</v>
      </c>
      <c r="CC111" s="57">
        <f t="shared" ref="CC111:CC163" si="324">$E$46</f>
        <v>552592</v>
      </c>
      <c r="CD111" s="62">
        <f t="shared" ref="CD111:CD142" si="325">SUM($G$10*$G$11*CC111*(EXP(-($G$10*CB111))),$G$10*$G$11*CC111*(EXP(-($G$10*(CB111+0.1)))),$G$10*$G$11*CC111*(EXP(-($G$10*(CB111+0.2)))),$G$10*$G$11*CC111*(EXP(-($G$10*(CB111+0.3)))),$G$10*$G$11*CC111*(EXP(-($G$10*(CB111+0.4)))),$G$10*$G$11*CC111*(EXP(-($G$10*(CB111+0.5)))),$G$10*$G$11*CC111*(EXP(-($G$10*(CB111+0.6)))),$G$10*$G$11*CC111*(EXP(-($G$10*(CB111+0.7)))),$G$10*$G$11*CC111*(EXP(-($G$10*(CB111+0.8)))),$G$10*$G$11*CC111*(EXP(-($G$10*(CB111+0.9)))))/10</f>
        <v>167834.82237529653</v>
      </c>
      <c r="CE111" s="2">
        <v>63</v>
      </c>
      <c r="CF111" s="57">
        <f t="shared" si="168"/>
        <v>578968</v>
      </c>
      <c r="CG111" s="62">
        <f t="shared" si="169"/>
        <v>183022.22042796321</v>
      </c>
      <c r="CH111" s="2">
        <v>62</v>
      </c>
      <c r="CI111" s="57">
        <f t="shared" si="172"/>
        <v>606603</v>
      </c>
      <c r="CJ111" s="62">
        <f t="shared" si="173"/>
        <v>199583.94027012002</v>
      </c>
      <c r="CK111" s="2">
        <v>61</v>
      </c>
      <c r="CL111" s="57">
        <f t="shared" si="175"/>
        <v>635558</v>
      </c>
      <c r="CM111" s="62">
        <f t="shared" si="176"/>
        <v>217644.65576059712</v>
      </c>
      <c r="CN111" s="2">
        <v>60</v>
      </c>
      <c r="CO111" s="57">
        <f t="shared" si="180"/>
        <v>665894</v>
      </c>
      <c r="CP111" s="62">
        <f t="shared" si="181"/>
        <v>237339.32280068722</v>
      </c>
      <c r="CQ111" s="2">
        <v>59</v>
      </c>
      <c r="CR111" s="57">
        <f t="shared" si="183"/>
        <v>697679</v>
      </c>
      <c r="CS111" s="62">
        <f t="shared" si="184"/>
        <v>258816.54022954358</v>
      </c>
      <c r="CT111" s="2">
        <v>58</v>
      </c>
      <c r="CU111" s="57">
        <f t="shared" si="188"/>
        <v>730980</v>
      </c>
      <c r="CV111" s="62">
        <f t="shared" si="189"/>
        <v>282236.80703893298</v>
      </c>
      <c r="CW111" s="2">
        <v>57</v>
      </c>
      <c r="CX111" s="57">
        <f t="shared" si="191"/>
        <v>765871</v>
      </c>
      <c r="CY111" s="62">
        <f t="shared" si="192"/>
        <v>307776.57333296072</v>
      </c>
      <c r="CZ111" s="2">
        <v>56</v>
      </c>
      <c r="DA111" s="57">
        <f t="shared" si="196"/>
        <v>0</v>
      </c>
      <c r="DB111" s="62">
        <f t="shared" si="197"/>
        <v>0</v>
      </c>
      <c r="DC111" s="2">
        <v>55</v>
      </c>
      <c r="DD111" s="57">
        <f t="shared" si="202"/>
        <v>0</v>
      </c>
      <c r="DE111" s="62">
        <f t="shared" si="203"/>
        <v>0</v>
      </c>
      <c r="DF111" s="2">
        <v>54</v>
      </c>
      <c r="DG111" s="57">
        <f t="shared" si="209"/>
        <v>0</v>
      </c>
      <c r="DH111" s="62">
        <f t="shared" si="210"/>
        <v>0</v>
      </c>
      <c r="DI111" s="2">
        <v>53</v>
      </c>
      <c r="DJ111" s="57">
        <f t="shared" si="215"/>
        <v>0</v>
      </c>
      <c r="DK111" s="62">
        <f t="shared" si="216"/>
        <v>0</v>
      </c>
      <c r="DL111" s="2">
        <v>52</v>
      </c>
      <c r="DM111" s="57">
        <f t="shared" si="222"/>
        <v>0</v>
      </c>
      <c r="DN111" s="62">
        <f t="shared" si="223"/>
        <v>0</v>
      </c>
      <c r="DO111" s="2">
        <v>51</v>
      </c>
      <c r="DP111" s="57">
        <f t="shared" si="227"/>
        <v>0</v>
      </c>
      <c r="DQ111" s="62">
        <f t="shared" si="228"/>
        <v>0</v>
      </c>
      <c r="DR111" s="2">
        <v>50</v>
      </c>
      <c r="DS111" s="57">
        <f t="shared" si="234"/>
        <v>0</v>
      </c>
      <c r="DT111" s="62">
        <f t="shared" si="235"/>
        <v>0</v>
      </c>
      <c r="DU111" s="2">
        <v>49</v>
      </c>
      <c r="DV111" s="57">
        <f t="shared" si="239"/>
        <v>0</v>
      </c>
      <c r="DW111" s="62">
        <f t="shared" si="240"/>
        <v>0</v>
      </c>
      <c r="DX111" s="2">
        <v>48</v>
      </c>
      <c r="DY111" s="57">
        <f t="shared" si="245"/>
        <v>0</v>
      </c>
      <c r="DZ111" s="62">
        <f t="shared" si="246"/>
        <v>0</v>
      </c>
      <c r="EA111" s="2">
        <v>47</v>
      </c>
      <c r="EB111" s="57">
        <f t="shared" si="109"/>
        <v>0</v>
      </c>
      <c r="EC111" s="62">
        <f t="shared" si="252"/>
        <v>0</v>
      </c>
      <c r="ED111" s="2">
        <v>46</v>
      </c>
      <c r="EE111" s="57">
        <f t="shared" si="113"/>
        <v>0</v>
      </c>
      <c r="EF111" s="62">
        <f t="shared" si="256"/>
        <v>0</v>
      </c>
      <c r="EG111" s="2">
        <v>45</v>
      </c>
      <c r="EH111" s="57">
        <f t="shared" si="117"/>
        <v>0</v>
      </c>
      <c r="EI111" s="62">
        <f t="shared" si="262"/>
        <v>0</v>
      </c>
      <c r="EJ111" s="2">
        <v>44</v>
      </c>
      <c r="EK111" s="57">
        <f t="shared" si="121"/>
        <v>0</v>
      </c>
      <c r="EL111" s="62">
        <f t="shared" si="267"/>
        <v>0</v>
      </c>
      <c r="EM111" s="2">
        <v>43</v>
      </c>
      <c r="EN111" s="57">
        <f t="shared" si="125"/>
        <v>0</v>
      </c>
      <c r="EO111" s="62">
        <f t="shared" si="273"/>
        <v>0</v>
      </c>
      <c r="EP111" s="2">
        <v>42</v>
      </c>
      <c r="EQ111" s="57">
        <f t="shared" si="129"/>
        <v>0</v>
      </c>
      <c r="ER111" s="62">
        <f t="shared" si="279"/>
        <v>0</v>
      </c>
      <c r="ES111" s="2">
        <v>41</v>
      </c>
      <c r="ET111" s="57">
        <f t="shared" si="130"/>
        <v>0</v>
      </c>
      <c r="EU111" s="62">
        <f t="shared" si="286"/>
        <v>0</v>
      </c>
      <c r="EV111" s="2">
        <v>40</v>
      </c>
      <c r="EW111" s="57">
        <f t="shared" si="134"/>
        <v>0</v>
      </c>
      <c r="EX111" s="62">
        <f t="shared" si="291"/>
        <v>0</v>
      </c>
      <c r="EY111" s="2">
        <v>39</v>
      </c>
      <c r="EZ111" s="57">
        <f t="shared" si="141"/>
        <v>0</v>
      </c>
      <c r="FA111" s="62">
        <f t="shared" si="298"/>
        <v>0</v>
      </c>
      <c r="FB111" s="2">
        <v>38</v>
      </c>
      <c r="FC111" s="57">
        <f t="shared" si="142"/>
        <v>0</v>
      </c>
      <c r="FD111" s="62">
        <f t="shared" si="302"/>
        <v>0</v>
      </c>
      <c r="FE111" s="2">
        <v>37</v>
      </c>
      <c r="FF111" s="57">
        <f t="shared" si="149"/>
        <v>0</v>
      </c>
      <c r="FG111" s="62">
        <f t="shared" si="306"/>
        <v>0</v>
      </c>
      <c r="FH111" s="2">
        <v>36</v>
      </c>
      <c r="FI111" s="57">
        <f t="shared" si="150"/>
        <v>0</v>
      </c>
      <c r="FJ111" s="62">
        <f t="shared" si="310"/>
        <v>0</v>
      </c>
      <c r="FK111" s="2">
        <v>35</v>
      </c>
      <c r="FL111" s="57">
        <f t="shared" si="157"/>
        <v>0</v>
      </c>
      <c r="FM111" s="62">
        <f t="shared" si="314"/>
        <v>0</v>
      </c>
      <c r="FN111" s="2">
        <v>34</v>
      </c>
      <c r="FO111" s="57">
        <f t="shared" si="158"/>
        <v>0</v>
      </c>
      <c r="FP111" s="62">
        <f t="shared" si="318"/>
        <v>0</v>
      </c>
      <c r="FQ111" s="2">
        <v>33</v>
      </c>
      <c r="FR111" s="57">
        <f t="shared" si="165"/>
        <v>0</v>
      </c>
      <c r="FS111" s="62">
        <f t="shared" si="322"/>
        <v>0</v>
      </c>
      <c r="FT111" s="2">
        <v>32</v>
      </c>
      <c r="FU111" s="57">
        <f t="shared" si="166"/>
        <v>0</v>
      </c>
      <c r="FV111" s="62">
        <f t="shared" ref="FV111:FV142" si="326">SUM($G$10*$G$11*FU111*(EXP(-($G$10*FT111))),$G$10*$G$11*FU111*(EXP(-($G$10*(FT111+0.1)))),$G$10*$G$11*FU111*(EXP(-($G$10*(FT111+0.2)))),$G$10*$G$11*FU111*(EXP(-($G$10*(FT111+0.3)))),$G$10*$G$11*FU111*(EXP(-($G$10*(FT111+0.4)))),$G$10*$G$11*FU111*(EXP(-($G$10*(FT111+0.5)))),$G$10*$G$11*FU111*(EXP(-($G$10*(FT111+0.6)))),$G$10*$G$11*FU111*(EXP(-($G$10*(FT111+0.7)))),$G$10*$G$11*FU111*(EXP(-($G$10*(FT111+0.8)))),$G$10*$G$11*FU111*(EXP(-($G$10*(FT111+0.9)))))/10</f>
        <v>0</v>
      </c>
      <c r="FW111" s="2">
        <v>31</v>
      </c>
      <c r="FX111" s="57">
        <f t="shared" si="170"/>
        <v>0</v>
      </c>
      <c r="FY111" s="62">
        <f t="shared" si="171"/>
        <v>0</v>
      </c>
      <c r="FZ111" s="2">
        <v>30</v>
      </c>
      <c r="GA111" s="57">
        <f t="shared" si="177"/>
        <v>0</v>
      </c>
      <c r="GB111" s="62">
        <f t="shared" si="174"/>
        <v>0</v>
      </c>
      <c r="GC111" s="2">
        <v>29</v>
      </c>
      <c r="GD111" s="57">
        <f t="shared" si="178"/>
        <v>0</v>
      </c>
      <c r="GE111" s="62">
        <f t="shared" si="179"/>
        <v>0</v>
      </c>
      <c r="GF111" s="2">
        <v>28</v>
      </c>
      <c r="GG111" s="57">
        <f t="shared" si="185"/>
        <v>0</v>
      </c>
      <c r="GH111" s="62">
        <f t="shared" si="182"/>
        <v>0</v>
      </c>
      <c r="GI111" s="2">
        <v>27</v>
      </c>
      <c r="GJ111" s="57">
        <f t="shared" si="186"/>
        <v>0</v>
      </c>
      <c r="GK111" s="62">
        <f t="shared" si="187"/>
        <v>0</v>
      </c>
      <c r="GL111" s="2">
        <v>26</v>
      </c>
      <c r="GM111" s="57">
        <f t="shared" si="193"/>
        <v>0</v>
      </c>
      <c r="GN111" s="62">
        <f t="shared" si="190"/>
        <v>0</v>
      </c>
      <c r="GO111" s="2">
        <v>25</v>
      </c>
      <c r="GP111" s="57">
        <f t="shared" si="194"/>
        <v>0</v>
      </c>
      <c r="GQ111" s="62">
        <f t="shared" si="195"/>
        <v>0</v>
      </c>
      <c r="GR111" s="2">
        <v>24</v>
      </c>
      <c r="GS111" s="57">
        <f t="shared" si="204"/>
        <v>0</v>
      </c>
      <c r="GT111" s="62">
        <f t="shared" si="198"/>
        <v>0</v>
      </c>
      <c r="GU111" s="2">
        <v>23</v>
      </c>
      <c r="GV111" s="57">
        <f t="shared" si="205"/>
        <v>0</v>
      </c>
      <c r="GW111" s="62">
        <f t="shared" si="206"/>
        <v>0</v>
      </c>
      <c r="GX111" s="2">
        <v>22</v>
      </c>
      <c r="GY111" s="57">
        <f t="shared" si="217"/>
        <v>0</v>
      </c>
      <c r="GZ111" s="62">
        <f t="shared" si="211"/>
        <v>0</v>
      </c>
      <c r="HA111" s="2">
        <v>21</v>
      </c>
      <c r="HB111" s="57">
        <f t="shared" si="218"/>
        <v>0</v>
      </c>
      <c r="HC111" s="62">
        <f t="shared" si="219"/>
        <v>0</v>
      </c>
      <c r="HD111" s="2">
        <v>20</v>
      </c>
      <c r="HE111" s="57">
        <f t="shared" si="229"/>
        <v>0</v>
      </c>
      <c r="HF111" s="62">
        <f t="shared" si="224"/>
        <v>0</v>
      </c>
      <c r="HG111" s="2">
        <v>19</v>
      </c>
      <c r="HH111" s="57">
        <f t="shared" si="230"/>
        <v>0</v>
      </c>
      <c r="HI111" s="62">
        <f t="shared" si="231"/>
        <v>0</v>
      </c>
      <c r="HJ111" s="2">
        <v>18</v>
      </c>
      <c r="HK111" s="57">
        <f t="shared" si="241"/>
        <v>0</v>
      </c>
      <c r="HL111" s="62">
        <f t="shared" si="236"/>
        <v>0</v>
      </c>
      <c r="HM111" s="2">
        <v>17</v>
      </c>
      <c r="HN111" s="57">
        <f t="shared" si="247"/>
        <v>0</v>
      </c>
      <c r="HO111" s="62">
        <f t="shared" si="242"/>
        <v>0</v>
      </c>
      <c r="HP111" s="2">
        <v>16</v>
      </c>
      <c r="HQ111" s="57">
        <f t="shared" si="248"/>
        <v>0</v>
      </c>
      <c r="HR111" s="62">
        <f t="shared" si="249"/>
        <v>0</v>
      </c>
      <c r="HS111" s="2">
        <v>15</v>
      </c>
      <c r="HT111" s="57">
        <f t="shared" si="257"/>
        <v>0</v>
      </c>
      <c r="HU111" s="62">
        <f t="shared" si="253"/>
        <v>0</v>
      </c>
      <c r="HV111" s="2">
        <v>14</v>
      </c>
      <c r="HW111" s="57">
        <f t="shared" si="258"/>
        <v>0</v>
      </c>
      <c r="HX111" s="62">
        <f t="shared" si="259"/>
        <v>0</v>
      </c>
      <c r="HY111" s="2">
        <v>13</v>
      </c>
      <c r="HZ111" s="57">
        <f t="shared" si="268"/>
        <v>0</v>
      </c>
      <c r="IA111" s="62">
        <f t="shared" si="263"/>
        <v>0</v>
      </c>
      <c r="IB111" s="2">
        <v>12</v>
      </c>
      <c r="IC111" s="57">
        <f t="shared" si="274"/>
        <v>0</v>
      </c>
      <c r="ID111" s="62">
        <f t="shared" si="269"/>
        <v>0</v>
      </c>
      <c r="IE111" s="2">
        <v>11</v>
      </c>
      <c r="IF111" s="57">
        <f t="shared" si="280"/>
        <v>0</v>
      </c>
      <c r="IG111" s="62">
        <f t="shared" si="275"/>
        <v>0</v>
      </c>
      <c r="IH111" s="2">
        <v>10</v>
      </c>
      <c r="II111" s="57">
        <f t="shared" si="281"/>
        <v>0</v>
      </c>
      <c r="IJ111" s="62">
        <f t="shared" si="282"/>
        <v>0</v>
      </c>
      <c r="IK111" s="2">
        <v>9</v>
      </c>
      <c r="IL111" s="57">
        <f t="shared" si="292"/>
        <v>0</v>
      </c>
      <c r="IM111" s="62">
        <f t="shared" si="287"/>
        <v>0</v>
      </c>
      <c r="IN111" s="2">
        <v>8</v>
      </c>
      <c r="IO111" s="57">
        <f t="shared" si="293"/>
        <v>0</v>
      </c>
      <c r="IP111" s="62">
        <f t="shared" si="294"/>
        <v>0</v>
      </c>
    </row>
    <row r="112" spans="2:250">
      <c r="G112" s="284"/>
      <c r="H112" s="284"/>
      <c r="I112" s="2">
        <f t="shared" si="212"/>
        <v>2107</v>
      </c>
      <c r="J112" s="379">
        <f t="shared" si="264"/>
        <v>3331936.730806415</v>
      </c>
      <c r="K112" s="2">
        <f t="shared" si="212"/>
        <v>88</v>
      </c>
      <c r="L112" s="57">
        <f t="shared" si="200"/>
        <v>189082</v>
      </c>
      <c r="M112" s="62">
        <f t="shared" si="201"/>
        <v>21988.973950018582</v>
      </c>
      <c r="N112" s="2">
        <f t="shared" si="270"/>
        <v>87</v>
      </c>
      <c r="O112" s="57">
        <f t="shared" si="207"/>
        <v>293489</v>
      </c>
      <c r="P112" s="62">
        <f t="shared" si="208"/>
        <v>35523.715656220716</v>
      </c>
      <c r="Q112" s="2">
        <f t="shared" si="276"/>
        <v>86</v>
      </c>
      <c r="R112" s="57">
        <f t="shared" si="213"/>
        <v>283523</v>
      </c>
      <c r="S112" s="62">
        <f t="shared" si="214"/>
        <v>35717.958762044371</v>
      </c>
      <c r="T112" s="2">
        <f t="shared" si="283"/>
        <v>85</v>
      </c>
      <c r="U112" s="57">
        <f t="shared" si="220"/>
        <v>143321</v>
      </c>
      <c r="V112" s="62">
        <f t="shared" si="221"/>
        <v>18792.300348925721</v>
      </c>
      <c r="W112" s="2">
        <f t="shared" si="288"/>
        <v>84</v>
      </c>
      <c r="X112" s="57">
        <f t="shared" si="225"/>
        <v>227851</v>
      </c>
      <c r="Y112" s="62">
        <f t="shared" si="226"/>
        <v>31095.1626965502</v>
      </c>
      <c r="Z112" s="2">
        <f t="shared" si="295"/>
        <v>83</v>
      </c>
      <c r="AA112" s="57">
        <f t="shared" si="232"/>
        <v>238727</v>
      </c>
      <c r="AB112" s="62">
        <f t="shared" si="233"/>
        <v>33909.01810728175</v>
      </c>
      <c r="AC112" s="2">
        <f t="shared" si="299"/>
        <v>82</v>
      </c>
      <c r="AD112" s="57">
        <f t="shared" si="237"/>
        <v>250122</v>
      </c>
      <c r="AE112" s="62">
        <f t="shared" si="238"/>
        <v>36977.482971742975</v>
      </c>
      <c r="AF112" s="2">
        <f t="shared" si="303"/>
        <v>81</v>
      </c>
      <c r="AG112" s="57">
        <f t="shared" si="243"/>
        <v>262060</v>
      </c>
      <c r="AH112" s="62">
        <f t="shared" si="244"/>
        <v>40323.476606580996</v>
      </c>
      <c r="AI112" s="2">
        <f t="shared" si="307"/>
        <v>80</v>
      </c>
      <c r="AJ112" s="57">
        <f t="shared" si="250"/>
        <v>274569</v>
      </c>
      <c r="AK112" s="62">
        <f t="shared" si="251"/>
        <v>43972.434797159432</v>
      </c>
      <c r="AL112" s="2">
        <f t="shared" si="311"/>
        <v>79</v>
      </c>
      <c r="AM112" s="57">
        <f t="shared" si="254"/>
        <v>287675</v>
      </c>
      <c r="AN112" s="62">
        <f t="shared" si="255"/>
        <v>47951.579000854268</v>
      </c>
      <c r="AO112" s="2">
        <f t="shared" si="315"/>
        <v>78</v>
      </c>
      <c r="AP112" s="57">
        <f t="shared" si="260"/>
        <v>301406</v>
      </c>
      <c r="AQ112" s="62">
        <f t="shared" si="261"/>
        <v>52290.700958711888</v>
      </c>
      <c r="AR112" s="2">
        <f t="shared" si="319"/>
        <v>77</v>
      </c>
      <c r="AS112" s="57">
        <f t="shared" si="265"/>
        <v>315793</v>
      </c>
      <c r="AT112" s="62">
        <f t="shared" si="266"/>
        <v>57022.578069023344</v>
      </c>
      <c r="AU112" s="2">
        <f t="shared" si="323"/>
        <v>76</v>
      </c>
      <c r="AV112" s="57">
        <f t="shared" si="271"/>
        <v>330866</v>
      </c>
      <c r="AW112" s="62">
        <f t="shared" si="272"/>
        <v>62182.513066262785</v>
      </c>
      <c r="AX112" s="2">
        <f t="shared" ref="AX112:AX123" si="327">IF(AX111="","",(AX111+1))</f>
        <v>75</v>
      </c>
      <c r="AY112" s="57">
        <f t="shared" si="277"/>
        <v>346659</v>
      </c>
      <c r="AZ112" s="62">
        <f t="shared" si="278"/>
        <v>67809.475923862716</v>
      </c>
      <c r="BA112" s="2">
        <v>74</v>
      </c>
      <c r="BB112" s="57">
        <f t="shared" si="284"/>
        <v>363206</v>
      </c>
      <c r="BC112" s="62">
        <f t="shared" si="285"/>
        <v>73945.662034534529</v>
      </c>
      <c r="BD112" s="2">
        <v>73</v>
      </c>
      <c r="BE112" s="57">
        <f t="shared" si="289"/>
        <v>380542</v>
      </c>
      <c r="BF112" s="62">
        <f t="shared" si="290"/>
        <v>80636.944462798128</v>
      </c>
      <c r="BG112" s="2">
        <v>72</v>
      </c>
      <c r="BH112" s="57">
        <f t="shared" si="296"/>
        <v>398706</v>
      </c>
      <c r="BI112" s="62">
        <f t="shared" si="297"/>
        <v>87933.835592296498</v>
      </c>
      <c r="BJ112" s="2">
        <v>71</v>
      </c>
      <c r="BK112" s="57">
        <f t="shared" si="300"/>
        <v>417737</v>
      </c>
      <c r="BL112" s="62">
        <f t="shared" si="301"/>
        <v>95891.026696509522</v>
      </c>
      <c r="BM112" s="2">
        <v>70</v>
      </c>
      <c r="BN112" s="57">
        <f t="shared" si="304"/>
        <v>437677</v>
      </c>
      <c r="BO112" s="62">
        <f t="shared" si="305"/>
        <v>104568.41598876419</v>
      </c>
      <c r="BP112" s="2">
        <v>69</v>
      </c>
      <c r="BQ112" s="57">
        <f t="shared" si="308"/>
        <v>458568</v>
      </c>
      <c r="BR112" s="62">
        <f t="shared" si="309"/>
        <v>114030.84142672627</v>
      </c>
      <c r="BS112" s="2">
        <v>68</v>
      </c>
      <c r="BT112" s="57">
        <f t="shared" si="312"/>
        <v>480456</v>
      </c>
      <c r="BU112" s="62">
        <f t="shared" si="313"/>
        <v>124349.48306807996</v>
      </c>
      <c r="BV112" s="2">
        <v>67</v>
      </c>
      <c r="BW112" s="57">
        <f t="shared" si="316"/>
        <v>503389</v>
      </c>
      <c r="BX112" s="62">
        <f t="shared" si="317"/>
        <v>135601.92767304642</v>
      </c>
      <c r="BY112" s="2">
        <v>66</v>
      </c>
      <c r="BZ112" s="57">
        <f t="shared" si="320"/>
        <v>527417</v>
      </c>
      <c r="CA112" s="62">
        <f t="shared" si="321"/>
        <v>147872.71459933865</v>
      </c>
      <c r="CB112" s="2">
        <v>65</v>
      </c>
      <c r="CC112" s="57">
        <f t="shared" si="324"/>
        <v>552592</v>
      </c>
      <c r="CD112" s="62">
        <f t="shared" si="325"/>
        <v>161253.92486019095</v>
      </c>
      <c r="CE112" s="2">
        <v>64</v>
      </c>
      <c r="CF112" s="57">
        <f t="shared" ref="CF112:CF163" si="328">$E$47</f>
        <v>578968</v>
      </c>
      <c r="CG112" s="62">
        <f t="shared" ref="CG112:CG143" si="329">SUM($G$10*$G$11*CF112*(EXP(-($G$10*CE112))),$G$10*$G$11*CF112*(EXP(-($G$10*(CE112+0.1)))),$G$10*$G$11*CF112*(EXP(-($G$10*(CE112+0.2)))),$G$10*$G$11*CF112*(EXP(-($G$10*(CE112+0.3)))),$G$10*$G$11*CF112*(EXP(-($G$10*(CE112+0.4)))),$G$10*$G$11*CF112*(EXP(-($G$10*(CE112+0.5)))),$G$10*$G$11*CF112*(EXP(-($G$10*(CE112+0.6)))),$G$10*$G$11*CF112*(EXP(-($G$10*(CE112+0.7)))),$G$10*$G$11*CF112*(EXP(-($G$10*(CE112+0.8)))),$G$10*$G$11*CF112*(EXP(-($G$10*(CE112+0.9)))))/10</f>
        <v>175845.81651739561</v>
      </c>
      <c r="CH112" s="2">
        <v>63</v>
      </c>
      <c r="CI112" s="57">
        <f t="shared" si="172"/>
        <v>606603</v>
      </c>
      <c r="CJ112" s="62">
        <f t="shared" si="173"/>
        <v>191758.14203593941</v>
      </c>
      <c r="CK112" s="2">
        <v>62</v>
      </c>
      <c r="CL112" s="57">
        <f t="shared" si="175"/>
        <v>635558</v>
      </c>
      <c r="CM112" s="62">
        <f t="shared" si="176"/>
        <v>209110.68674272456</v>
      </c>
      <c r="CN112" s="2">
        <v>61</v>
      </c>
      <c r="CO112" s="57">
        <f t="shared" si="180"/>
        <v>665894</v>
      </c>
      <c r="CP112" s="62">
        <f t="shared" si="181"/>
        <v>228033.11484246451</v>
      </c>
      <c r="CQ112" s="2">
        <v>60</v>
      </c>
      <c r="CR112" s="57">
        <f t="shared" si="183"/>
        <v>697679</v>
      </c>
      <c r="CS112" s="62">
        <f t="shared" si="184"/>
        <v>248668.19853048786</v>
      </c>
      <c r="CT112" s="2">
        <v>59</v>
      </c>
      <c r="CU112" s="57">
        <f t="shared" si="188"/>
        <v>730980</v>
      </c>
      <c r="CV112" s="62">
        <f t="shared" si="189"/>
        <v>271170.14354307891</v>
      </c>
      <c r="CW112" s="2">
        <v>58</v>
      </c>
      <c r="CX112" s="57">
        <f t="shared" si="191"/>
        <v>765871</v>
      </c>
      <c r="CY112" s="62">
        <f t="shared" si="192"/>
        <v>295708.48127679923</v>
      </c>
      <c r="CZ112" s="2">
        <v>57</v>
      </c>
      <c r="DA112" s="57">
        <f t="shared" si="196"/>
        <v>0</v>
      </c>
      <c r="DB112" s="62">
        <f t="shared" si="197"/>
        <v>0</v>
      </c>
      <c r="DC112" s="2">
        <v>56</v>
      </c>
      <c r="DD112" s="57">
        <f t="shared" si="202"/>
        <v>0</v>
      </c>
      <c r="DE112" s="62">
        <f t="shared" si="203"/>
        <v>0</v>
      </c>
      <c r="DF112" s="2">
        <v>55</v>
      </c>
      <c r="DG112" s="57">
        <f t="shared" si="209"/>
        <v>0</v>
      </c>
      <c r="DH112" s="62">
        <f t="shared" si="210"/>
        <v>0</v>
      </c>
      <c r="DI112" s="2">
        <v>54</v>
      </c>
      <c r="DJ112" s="57">
        <f t="shared" si="215"/>
        <v>0</v>
      </c>
      <c r="DK112" s="62">
        <f t="shared" si="216"/>
        <v>0</v>
      </c>
      <c r="DL112" s="2">
        <v>53</v>
      </c>
      <c r="DM112" s="57">
        <f t="shared" si="222"/>
        <v>0</v>
      </c>
      <c r="DN112" s="62">
        <f t="shared" si="223"/>
        <v>0</v>
      </c>
      <c r="DO112" s="2">
        <v>52</v>
      </c>
      <c r="DP112" s="57">
        <f t="shared" si="227"/>
        <v>0</v>
      </c>
      <c r="DQ112" s="62">
        <f t="shared" si="228"/>
        <v>0</v>
      </c>
      <c r="DR112" s="2">
        <v>51</v>
      </c>
      <c r="DS112" s="57">
        <f t="shared" si="234"/>
        <v>0</v>
      </c>
      <c r="DT112" s="62">
        <f t="shared" si="235"/>
        <v>0</v>
      </c>
      <c r="DU112" s="2">
        <v>50</v>
      </c>
      <c r="DV112" s="57">
        <f t="shared" si="239"/>
        <v>0</v>
      </c>
      <c r="DW112" s="62">
        <f t="shared" si="240"/>
        <v>0</v>
      </c>
      <c r="DX112" s="2">
        <v>49</v>
      </c>
      <c r="DY112" s="57">
        <f t="shared" si="245"/>
        <v>0</v>
      </c>
      <c r="DZ112" s="62">
        <f t="shared" si="246"/>
        <v>0</v>
      </c>
      <c r="EA112" s="2">
        <v>48</v>
      </c>
      <c r="EB112" s="57">
        <f t="shared" si="109"/>
        <v>0</v>
      </c>
      <c r="EC112" s="62">
        <f t="shared" si="252"/>
        <v>0</v>
      </c>
      <c r="ED112" s="2">
        <v>47</v>
      </c>
      <c r="EE112" s="57">
        <f t="shared" si="113"/>
        <v>0</v>
      </c>
      <c r="EF112" s="62">
        <f t="shared" si="256"/>
        <v>0</v>
      </c>
      <c r="EG112" s="2">
        <v>46</v>
      </c>
      <c r="EH112" s="57">
        <f t="shared" si="117"/>
        <v>0</v>
      </c>
      <c r="EI112" s="62">
        <f t="shared" si="262"/>
        <v>0</v>
      </c>
      <c r="EJ112" s="2">
        <v>45</v>
      </c>
      <c r="EK112" s="57">
        <f t="shared" si="121"/>
        <v>0</v>
      </c>
      <c r="EL112" s="62">
        <f t="shared" si="267"/>
        <v>0</v>
      </c>
      <c r="EM112" s="2">
        <v>44</v>
      </c>
      <c r="EN112" s="57">
        <f t="shared" si="125"/>
        <v>0</v>
      </c>
      <c r="EO112" s="62">
        <f t="shared" si="273"/>
        <v>0</v>
      </c>
      <c r="EP112" s="2">
        <v>43</v>
      </c>
      <c r="EQ112" s="57">
        <f t="shared" si="129"/>
        <v>0</v>
      </c>
      <c r="ER112" s="62">
        <f t="shared" si="279"/>
        <v>0</v>
      </c>
      <c r="ES112" s="2">
        <v>42</v>
      </c>
      <c r="ET112" s="57">
        <f t="shared" si="130"/>
        <v>0</v>
      </c>
      <c r="EU112" s="62">
        <f t="shared" si="286"/>
        <v>0</v>
      </c>
      <c r="EV112" s="2">
        <v>41</v>
      </c>
      <c r="EW112" s="57">
        <f t="shared" si="134"/>
        <v>0</v>
      </c>
      <c r="EX112" s="62">
        <f t="shared" si="291"/>
        <v>0</v>
      </c>
      <c r="EY112" s="2">
        <v>40</v>
      </c>
      <c r="EZ112" s="57">
        <f t="shared" si="141"/>
        <v>0</v>
      </c>
      <c r="FA112" s="62">
        <f t="shared" si="298"/>
        <v>0</v>
      </c>
      <c r="FB112" s="2">
        <v>39</v>
      </c>
      <c r="FC112" s="57">
        <f t="shared" si="142"/>
        <v>0</v>
      </c>
      <c r="FD112" s="62">
        <f t="shared" si="302"/>
        <v>0</v>
      </c>
      <c r="FE112" s="2">
        <v>38</v>
      </c>
      <c r="FF112" s="57">
        <f t="shared" si="149"/>
        <v>0</v>
      </c>
      <c r="FG112" s="62">
        <f t="shared" si="306"/>
        <v>0</v>
      </c>
      <c r="FH112" s="2">
        <v>37</v>
      </c>
      <c r="FI112" s="57">
        <f t="shared" si="150"/>
        <v>0</v>
      </c>
      <c r="FJ112" s="62">
        <f t="shared" si="310"/>
        <v>0</v>
      </c>
      <c r="FK112" s="2">
        <v>36</v>
      </c>
      <c r="FL112" s="57">
        <f t="shared" si="157"/>
        <v>0</v>
      </c>
      <c r="FM112" s="62">
        <f t="shared" si="314"/>
        <v>0</v>
      </c>
      <c r="FN112" s="2">
        <v>35</v>
      </c>
      <c r="FO112" s="57">
        <f t="shared" si="158"/>
        <v>0</v>
      </c>
      <c r="FP112" s="62">
        <f t="shared" si="318"/>
        <v>0</v>
      </c>
      <c r="FQ112" s="2">
        <v>34</v>
      </c>
      <c r="FR112" s="57">
        <f t="shared" si="165"/>
        <v>0</v>
      </c>
      <c r="FS112" s="62">
        <f t="shared" si="322"/>
        <v>0</v>
      </c>
      <c r="FT112" s="2">
        <v>33</v>
      </c>
      <c r="FU112" s="57">
        <f t="shared" si="166"/>
        <v>0</v>
      </c>
      <c r="FV112" s="62">
        <f t="shared" si="326"/>
        <v>0</v>
      </c>
      <c r="FW112" s="2">
        <v>32</v>
      </c>
      <c r="FX112" s="57">
        <f t="shared" si="170"/>
        <v>0</v>
      </c>
      <c r="FY112" s="62">
        <f t="shared" ref="FY112:FY143" si="330">SUM($G$10*$G$11*FX112*(EXP(-($G$10*FW112))),$G$10*$G$11*FX112*(EXP(-($G$10*(FW112+0.1)))),$G$10*$G$11*FX112*(EXP(-($G$10*(FW112+0.2)))),$G$10*$G$11*FX112*(EXP(-($G$10*(FW112+0.3)))),$G$10*$G$11*FX112*(EXP(-($G$10*(FW112+0.4)))),$G$10*$G$11*FX112*(EXP(-($G$10*(FW112+0.5)))),$G$10*$G$11*FX112*(EXP(-($G$10*(FW112+0.6)))),$G$10*$G$11*FX112*(EXP(-($G$10*(FW112+0.7)))),$G$10*$G$11*FX112*(EXP(-($G$10*(FW112+0.8)))),$G$10*$G$11*FX112*(EXP(-($G$10*(FW112+0.9)))))/10</f>
        <v>0</v>
      </c>
      <c r="FZ112" s="2">
        <v>31</v>
      </c>
      <c r="GA112" s="57">
        <f t="shared" si="177"/>
        <v>0</v>
      </c>
      <c r="GB112" s="62">
        <f t="shared" si="174"/>
        <v>0</v>
      </c>
      <c r="GC112" s="2">
        <v>30</v>
      </c>
      <c r="GD112" s="57">
        <f t="shared" si="178"/>
        <v>0</v>
      </c>
      <c r="GE112" s="62">
        <f t="shared" si="179"/>
        <v>0</v>
      </c>
      <c r="GF112" s="2">
        <v>29</v>
      </c>
      <c r="GG112" s="57">
        <f t="shared" si="185"/>
        <v>0</v>
      </c>
      <c r="GH112" s="62">
        <f t="shared" si="182"/>
        <v>0</v>
      </c>
      <c r="GI112" s="2">
        <v>28</v>
      </c>
      <c r="GJ112" s="57">
        <f t="shared" si="186"/>
        <v>0</v>
      </c>
      <c r="GK112" s="62">
        <f t="shared" si="187"/>
        <v>0</v>
      </c>
      <c r="GL112" s="2">
        <v>27</v>
      </c>
      <c r="GM112" s="57">
        <f t="shared" si="193"/>
        <v>0</v>
      </c>
      <c r="GN112" s="62">
        <f t="shared" si="190"/>
        <v>0</v>
      </c>
      <c r="GO112" s="2">
        <v>26</v>
      </c>
      <c r="GP112" s="57">
        <f t="shared" si="194"/>
        <v>0</v>
      </c>
      <c r="GQ112" s="62">
        <f t="shared" si="195"/>
        <v>0</v>
      </c>
      <c r="GR112" s="2">
        <v>25</v>
      </c>
      <c r="GS112" s="57">
        <f t="shared" si="204"/>
        <v>0</v>
      </c>
      <c r="GT112" s="62">
        <f t="shared" si="198"/>
        <v>0</v>
      </c>
      <c r="GU112" s="2">
        <v>24</v>
      </c>
      <c r="GV112" s="57">
        <f t="shared" si="205"/>
        <v>0</v>
      </c>
      <c r="GW112" s="62">
        <f t="shared" si="206"/>
        <v>0</v>
      </c>
      <c r="GX112" s="2">
        <v>23</v>
      </c>
      <c r="GY112" s="57">
        <f t="shared" si="217"/>
        <v>0</v>
      </c>
      <c r="GZ112" s="62">
        <f t="shared" si="211"/>
        <v>0</v>
      </c>
      <c r="HA112" s="2">
        <v>22</v>
      </c>
      <c r="HB112" s="57">
        <f t="shared" si="218"/>
        <v>0</v>
      </c>
      <c r="HC112" s="62">
        <f t="shared" si="219"/>
        <v>0</v>
      </c>
      <c r="HD112" s="2">
        <v>21</v>
      </c>
      <c r="HE112" s="57">
        <f t="shared" si="229"/>
        <v>0</v>
      </c>
      <c r="HF112" s="62">
        <f t="shared" si="224"/>
        <v>0</v>
      </c>
      <c r="HG112" s="2">
        <v>20</v>
      </c>
      <c r="HH112" s="57">
        <f t="shared" si="230"/>
        <v>0</v>
      </c>
      <c r="HI112" s="62">
        <f t="shared" si="231"/>
        <v>0</v>
      </c>
      <c r="HJ112" s="2">
        <v>19</v>
      </c>
      <c r="HK112" s="57">
        <f t="shared" si="241"/>
        <v>0</v>
      </c>
      <c r="HL112" s="62">
        <f t="shared" si="236"/>
        <v>0</v>
      </c>
      <c r="HM112" s="2">
        <v>18</v>
      </c>
      <c r="HN112" s="57">
        <f t="shared" si="247"/>
        <v>0</v>
      </c>
      <c r="HO112" s="62">
        <f t="shared" si="242"/>
        <v>0</v>
      </c>
      <c r="HP112" s="2">
        <v>17</v>
      </c>
      <c r="HQ112" s="57">
        <f t="shared" si="248"/>
        <v>0</v>
      </c>
      <c r="HR112" s="62">
        <f t="shared" si="249"/>
        <v>0</v>
      </c>
      <c r="HS112" s="2">
        <v>16</v>
      </c>
      <c r="HT112" s="57">
        <f t="shared" si="257"/>
        <v>0</v>
      </c>
      <c r="HU112" s="62">
        <f t="shared" si="253"/>
        <v>0</v>
      </c>
      <c r="HV112" s="2">
        <v>15</v>
      </c>
      <c r="HW112" s="57">
        <f t="shared" si="258"/>
        <v>0</v>
      </c>
      <c r="HX112" s="62">
        <f t="shared" si="259"/>
        <v>0</v>
      </c>
      <c r="HY112" s="2">
        <v>14</v>
      </c>
      <c r="HZ112" s="57">
        <f t="shared" si="268"/>
        <v>0</v>
      </c>
      <c r="IA112" s="62">
        <f t="shared" si="263"/>
        <v>0</v>
      </c>
      <c r="IB112" s="2">
        <v>13</v>
      </c>
      <c r="IC112" s="57">
        <f t="shared" si="274"/>
        <v>0</v>
      </c>
      <c r="ID112" s="62">
        <f t="shared" si="269"/>
        <v>0</v>
      </c>
      <c r="IE112" s="2">
        <v>12</v>
      </c>
      <c r="IF112" s="57">
        <f t="shared" si="280"/>
        <v>0</v>
      </c>
      <c r="IG112" s="62">
        <f t="shared" si="275"/>
        <v>0</v>
      </c>
      <c r="IH112" s="2">
        <v>11</v>
      </c>
      <c r="II112" s="57">
        <f t="shared" si="281"/>
        <v>0</v>
      </c>
      <c r="IJ112" s="62">
        <f t="shared" si="282"/>
        <v>0</v>
      </c>
      <c r="IK112" s="2">
        <v>10</v>
      </c>
      <c r="IL112" s="57">
        <f t="shared" si="292"/>
        <v>0</v>
      </c>
      <c r="IM112" s="62">
        <f t="shared" si="287"/>
        <v>0</v>
      </c>
      <c r="IN112" s="2">
        <v>9</v>
      </c>
      <c r="IO112" s="57">
        <f t="shared" si="293"/>
        <v>0</v>
      </c>
      <c r="IP112" s="62">
        <f t="shared" si="294"/>
        <v>0</v>
      </c>
    </row>
    <row r="113" spans="7:250">
      <c r="G113" s="284"/>
      <c r="H113" s="284"/>
      <c r="I113" s="2">
        <f t="shared" si="212"/>
        <v>2108</v>
      </c>
      <c r="J113" s="379">
        <f t="shared" si="264"/>
        <v>3201289.6228825208</v>
      </c>
      <c r="K113" s="2">
        <f t="shared" si="212"/>
        <v>89</v>
      </c>
      <c r="L113" s="57">
        <f t="shared" si="200"/>
        <v>189082</v>
      </c>
      <c r="M113" s="62">
        <f t="shared" si="201"/>
        <v>21126.773948973401</v>
      </c>
      <c r="N113" s="2">
        <f t="shared" si="270"/>
        <v>88</v>
      </c>
      <c r="O113" s="57">
        <f t="shared" si="207"/>
        <v>293489</v>
      </c>
      <c r="P113" s="62">
        <f t="shared" si="208"/>
        <v>34130.810841946906</v>
      </c>
      <c r="Q113" s="2">
        <f t="shared" si="276"/>
        <v>87</v>
      </c>
      <c r="R113" s="57">
        <f t="shared" si="213"/>
        <v>283523</v>
      </c>
      <c r="S113" s="62">
        <f t="shared" si="214"/>
        <v>34317.43756665042</v>
      </c>
      <c r="T113" s="2">
        <f t="shared" si="283"/>
        <v>86</v>
      </c>
      <c r="U113" s="57">
        <f t="shared" si="220"/>
        <v>143321</v>
      </c>
      <c r="V113" s="62">
        <f t="shared" si="221"/>
        <v>18055.443712626351</v>
      </c>
      <c r="W113" s="2">
        <f t="shared" si="288"/>
        <v>85</v>
      </c>
      <c r="X113" s="57">
        <f t="shared" si="225"/>
        <v>227851</v>
      </c>
      <c r="Y113" s="62">
        <f t="shared" si="226"/>
        <v>29875.903927568706</v>
      </c>
      <c r="Z113" s="2">
        <f t="shared" si="295"/>
        <v>84</v>
      </c>
      <c r="AA113" s="57">
        <f t="shared" si="232"/>
        <v>238727</v>
      </c>
      <c r="AB113" s="62">
        <f t="shared" si="233"/>
        <v>32579.426489501202</v>
      </c>
      <c r="AC113" s="2">
        <f t="shared" si="299"/>
        <v>83</v>
      </c>
      <c r="AD113" s="57">
        <f t="shared" si="237"/>
        <v>250122</v>
      </c>
      <c r="AE113" s="62">
        <f t="shared" si="238"/>
        <v>35527.575125685507</v>
      </c>
      <c r="AF113" s="2">
        <f t="shared" si="303"/>
        <v>82</v>
      </c>
      <c r="AG113" s="57">
        <f t="shared" si="243"/>
        <v>262060</v>
      </c>
      <c r="AH113" s="62">
        <f t="shared" si="244"/>
        <v>38742.370473508789</v>
      </c>
      <c r="AI113" s="2">
        <f t="shared" si="307"/>
        <v>81</v>
      </c>
      <c r="AJ113" s="57">
        <f t="shared" si="250"/>
        <v>274569</v>
      </c>
      <c r="AK113" s="62">
        <f t="shared" si="251"/>
        <v>42248.250966924898</v>
      </c>
      <c r="AL113" s="2">
        <f t="shared" si="311"/>
        <v>80</v>
      </c>
      <c r="AM113" s="57">
        <f t="shared" si="254"/>
        <v>287675</v>
      </c>
      <c r="AN113" s="62">
        <f t="shared" si="255"/>
        <v>46071.370694699101</v>
      </c>
      <c r="AO113" s="2">
        <f t="shared" si="315"/>
        <v>79</v>
      </c>
      <c r="AP113" s="57">
        <f t="shared" si="260"/>
        <v>301406</v>
      </c>
      <c r="AQ113" s="62">
        <f t="shared" si="261"/>
        <v>50240.353247002633</v>
      </c>
      <c r="AR113" s="2">
        <f t="shared" si="319"/>
        <v>78</v>
      </c>
      <c r="AS113" s="57">
        <f t="shared" si="265"/>
        <v>315793</v>
      </c>
      <c r="AT113" s="62">
        <f t="shared" si="266"/>
        <v>54786.690801956494</v>
      </c>
      <c r="AU113" s="2">
        <f t="shared" si="323"/>
        <v>77</v>
      </c>
      <c r="AV113" s="57">
        <f t="shared" si="271"/>
        <v>330866</v>
      </c>
      <c r="AW113" s="62">
        <f t="shared" si="272"/>
        <v>59744.30185401663</v>
      </c>
      <c r="AX113" s="2">
        <f t="shared" si="327"/>
        <v>76</v>
      </c>
      <c r="AY113" s="57">
        <f t="shared" si="277"/>
        <v>346659</v>
      </c>
      <c r="AZ113" s="62">
        <f t="shared" si="278"/>
        <v>65150.628342101001</v>
      </c>
      <c r="BA113" s="2">
        <f t="shared" ref="BA113:BA123" si="331">IF(BA112="","",(BA112+1))</f>
        <v>75</v>
      </c>
      <c r="BB113" s="57">
        <f t="shared" si="284"/>
        <v>363206</v>
      </c>
      <c r="BC113" s="62">
        <f t="shared" si="285"/>
        <v>71046.211153907658</v>
      </c>
      <c r="BD113" s="2">
        <v>74</v>
      </c>
      <c r="BE113" s="57">
        <f t="shared" si="289"/>
        <v>380542</v>
      </c>
      <c r="BF113" s="62">
        <f t="shared" si="290"/>
        <v>77475.124645368851</v>
      </c>
      <c r="BG113" s="2">
        <v>73</v>
      </c>
      <c r="BH113" s="57">
        <f t="shared" si="296"/>
        <v>398706</v>
      </c>
      <c r="BI113" s="62">
        <f t="shared" si="297"/>
        <v>84485.900581235153</v>
      </c>
      <c r="BJ113" s="2">
        <v>72</v>
      </c>
      <c r="BK113" s="57">
        <f t="shared" si="300"/>
        <v>417737</v>
      </c>
      <c r="BL113" s="62">
        <f t="shared" si="301"/>
        <v>92131.085759479829</v>
      </c>
      <c r="BM113" s="2">
        <v>71</v>
      </c>
      <c r="BN113" s="57">
        <f t="shared" si="304"/>
        <v>437677</v>
      </c>
      <c r="BO113" s="62">
        <f t="shared" si="305"/>
        <v>100468.22975089159</v>
      </c>
      <c r="BP113" s="2">
        <v>70</v>
      </c>
      <c r="BQ113" s="57">
        <f t="shared" si="308"/>
        <v>458568</v>
      </c>
      <c r="BR113" s="62">
        <f t="shared" si="309"/>
        <v>109559.62818045185</v>
      </c>
      <c r="BS113" s="2">
        <v>69</v>
      </c>
      <c r="BT113" s="57">
        <f t="shared" si="312"/>
        <v>480456</v>
      </c>
      <c r="BU113" s="62">
        <f t="shared" si="313"/>
        <v>119473.67009586192</v>
      </c>
      <c r="BV113" s="2">
        <v>68</v>
      </c>
      <c r="BW113" s="57">
        <f t="shared" si="316"/>
        <v>503389</v>
      </c>
      <c r="BX113" s="62">
        <f t="shared" si="317"/>
        <v>130284.90003696014</v>
      </c>
      <c r="BY113" s="2">
        <v>67</v>
      </c>
      <c r="BZ113" s="57">
        <f t="shared" si="320"/>
        <v>527417</v>
      </c>
      <c r="CA113" s="62">
        <f t="shared" si="321"/>
        <v>142074.54252583015</v>
      </c>
      <c r="CB113" s="2">
        <v>66</v>
      </c>
      <c r="CC113" s="57">
        <f t="shared" si="324"/>
        <v>552592</v>
      </c>
      <c r="CD113" s="62">
        <f t="shared" si="325"/>
        <v>154931.06802753371</v>
      </c>
      <c r="CE113" s="2">
        <v>65</v>
      </c>
      <c r="CF113" s="57">
        <f t="shared" si="328"/>
        <v>578968</v>
      </c>
      <c r="CG113" s="62">
        <f t="shared" si="329"/>
        <v>168950.80342903087</v>
      </c>
      <c r="CH113" s="2">
        <v>64</v>
      </c>
      <c r="CI113" s="57">
        <f t="shared" ref="CI113:CI163" si="332">$E$48</f>
        <v>606603</v>
      </c>
      <c r="CJ113" s="62">
        <f t="shared" ref="CJ113:CJ144" si="333">SUM($G$10*$G$11*CI113*(EXP(-($G$10*CH113))),$G$10*$G$11*CI113*(EXP(-($G$10*(CH113+0.1)))),$G$10*$G$11*CI113*(EXP(-($G$10*(CH113+0.2)))),$G$10*$G$11*CI113*(EXP(-($G$10*(CH113+0.3)))),$G$10*$G$11*CI113*(EXP(-($G$10*(CH113+0.4)))),$G$10*$G$11*CI113*(EXP(-($G$10*(CH113+0.5)))),$G$10*$G$11*CI113*(EXP(-($G$10*(CH113+0.6)))),$G$10*$G$11*CI113*(EXP(-($G$10*(CH113+0.7)))),$G$10*$G$11*CI113*(EXP(-($G$10*(CH113+0.8)))),$G$10*$G$11*CI113*(EXP(-($G$10*(CH113+0.9)))))/10</f>
        <v>184239.19773960172</v>
      </c>
      <c r="CK113" s="2">
        <v>63</v>
      </c>
      <c r="CL113" s="57">
        <f t="shared" si="175"/>
        <v>635558</v>
      </c>
      <c r="CM113" s="62">
        <f t="shared" si="176"/>
        <v>200911.33943629949</v>
      </c>
      <c r="CN113" s="2">
        <v>62</v>
      </c>
      <c r="CO113" s="57">
        <f t="shared" si="180"/>
        <v>665894</v>
      </c>
      <c r="CP113" s="62">
        <f t="shared" si="181"/>
        <v>219091.80851764878</v>
      </c>
      <c r="CQ113" s="2">
        <v>61</v>
      </c>
      <c r="CR113" s="57">
        <f t="shared" si="183"/>
        <v>697679</v>
      </c>
      <c r="CS113" s="62">
        <f t="shared" si="184"/>
        <v>238917.77900112598</v>
      </c>
      <c r="CT113" s="2">
        <v>60</v>
      </c>
      <c r="CU113" s="57">
        <f t="shared" si="188"/>
        <v>730980</v>
      </c>
      <c r="CV113" s="62">
        <f t="shared" si="189"/>
        <v>260537.41012960975</v>
      </c>
      <c r="CW113" s="2">
        <v>59</v>
      </c>
      <c r="CX113" s="57">
        <f t="shared" si="191"/>
        <v>765871</v>
      </c>
      <c r="CY113" s="62">
        <f t="shared" si="192"/>
        <v>284113.58587852115</v>
      </c>
      <c r="CZ113" s="2">
        <v>58</v>
      </c>
      <c r="DA113" s="57">
        <f t="shared" si="196"/>
        <v>0</v>
      </c>
      <c r="DB113" s="62">
        <f t="shared" si="197"/>
        <v>0</v>
      </c>
      <c r="DC113" s="2">
        <v>57</v>
      </c>
      <c r="DD113" s="57">
        <f t="shared" si="202"/>
        <v>0</v>
      </c>
      <c r="DE113" s="62">
        <f t="shared" si="203"/>
        <v>0</v>
      </c>
      <c r="DF113" s="2">
        <v>56</v>
      </c>
      <c r="DG113" s="57">
        <f t="shared" si="209"/>
        <v>0</v>
      </c>
      <c r="DH113" s="62">
        <f t="shared" si="210"/>
        <v>0</v>
      </c>
      <c r="DI113" s="2">
        <v>55</v>
      </c>
      <c r="DJ113" s="57">
        <f t="shared" si="215"/>
        <v>0</v>
      </c>
      <c r="DK113" s="62">
        <f t="shared" si="216"/>
        <v>0</v>
      </c>
      <c r="DL113" s="2">
        <v>54</v>
      </c>
      <c r="DM113" s="57">
        <f t="shared" si="222"/>
        <v>0</v>
      </c>
      <c r="DN113" s="62">
        <f t="shared" si="223"/>
        <v>0</v>
      </c>
      <c r="DO113" s="2">
        <v>53</v>
      </c>
      <c r="DP113" s="57">
        <f t="shared" si="227"/>
        <v>0</v>
      </c>
      <c r="DQ113" s="62">
        <f t="shared" si="228"/>
        <v>0</v>
      </c>
      <c r="DR113" s="2">
        <v>52</v>
      </c>
      <c r="DS113" s="57">
        <f t="shared" si="234"/>
        <v>0</v>
      </c>
      <c r="DT113" s="62">
        <f t="shared" si="235"/>
        <v>0</v>
      </c>
      <c r="DU113" s="2">
        <v>51</v>
      </c>
      <c r="DV113" s="57">
        <f t="shared" si="239"/>
        <v>0</v>
      </c>
      <c r="DW113" s="62">
        <f t="shared" si="240"/>
        <v>0</v>
      </c>
      <c r="DX113" s="2">
        <v>50</v>
      </c>
      <c r="DY113" s="57">
        <f t="shared" si="245"/>
        <v>0</v>
      </c>
      <c r="DZ113" s="62">
        <f t="shared" si="246"/>
        <v>0</v>
      </c>
      <c r="EA113" s="2">
        <v>49</v>
      </c>
      <c r="EB113" s="57">
        <f t="shared" si="109"/>
        <v>0</v>
      </c>
      <c r="EC113" s="62">
        <f t="shared" si="252"/>
        <v>0</v>
      </c>
      <c r="ED113" s="2">
        <v>48</v>
      </c>
      <c r="EE113" s="57">
        <f t="shared" si="113"/>
        <v>0</v>
      </c>
      <c r="EF113" s="62">
        <f t="shared" si="256"/>
        <v>0</v>
      </c>
      <c r="EG113" s="2">
        <v>47</v>
      </c>
      <c r="EH113" s="57">
        <f t="shared" si="117"/>
        <v>0</v>
      </c>
      <c r="EI113" s="62">
        <f t="shared" si="262"/>
        <v>0</v>
      </c>
      <c r="EJ113" s="2">
        <v>46</v>
      </c>
      <c r="EK113" s="57">
        <f t="shared" si="121"/>
        <v>0</v>
      </c>
      <c r="EL113" s="62">
        <f t="shared" si="267"/>
        <v>0</v>
      </c>
      <c r="EM113" s="2">
        <v>45</v>
      </c>
      <c r="EN113" s="57">
        <f t="shared" si="125"/>
        <v>0</v>
      </c>
      <c r="EO113" s="62">
        <f t="shared" si="273"/>
        <v>0</v>
      </c>
      <c r="EP113" s="2">
        <v>44</v>
      </c>
      <c r="EQ113" s="57">
        <f t="shared" si="129"/>
        <v>0</v>
      </c>
      <c r="ER113" s="62">
        <f t="shared" si="279"/>
        <v>0</v>
      </c>
      <c r="ES113" s="2">
        <v>43</v>
      </c>
      <c r="ET113" s="57">
        <f t="shared" si="130"/>
        <v>0</v>
      </c>
      <c r="EU113" s="62">
        <f t="shared" si="286"/>
        <v>0</v>
      </c>
      <c r="EV113" s="2">
        <v>42</v>
      </c>
      <c r="EW113" s="57">
        <f t="shared" si="134"/>
        <v>0</v>
      </c>
      <c r="EX113" s="62">
        <f t="shared" si="291"/>
        <v>0</v>
      </c>
      <c r="EY113" s="2">
        <v>41</v>
      </c>
      <c r="EZ113" s="57">
        <f t="shared" si="141"/>
        <v>0</v>
      </c>
      <c r="FA113" s="62">
        <f t="shared" si="298"/>
        <v>0</v>
      </c>
      <c r="FB113" s="2">
        <v>40</v>
      </c>
      <c r="FC113" s="57">
        <f t="shared" si="142"/>
        <v>0</v>
      </c>
      <c r="FD113" s="62">
        <f t="shared" si="302"/>
        <v>0</v>
      </c>
      <c r="FE113" s="2">
        <v>39</v>
      </c>
      <c r="FF113" s="57">
        <f t="shared" si="149"/>
        <v>0</v>
      </c>
      <c r="FG113" s="62">
        <f t="shared" si="306"/>
        <v>0</v>
      </c>
      <c r="FH113" s="2">
        <v>38</v>
      </c>
      <c r="FI113" s="57">
        <f t="shared" si="150"/>
        <v>0</v>
      </c>
      <c r="FJ113" s="62">
        <f t="shared" si="310"/>
        <v>0</v>
      </c>
      <c r="FK113" s="2">
        <v>37</v>
      </c>
      <c r="FL113" s="57">
        <f t="shared" si="157"/>
        <v>0</v>
      </c>
      <c r="FM113" s="62">
        <f t="shared" si="314"/>
        <v>0</v>
      </c>
      <c r="FN113" s="2">
        <v>36</v>
      </c>
      <c r="FO113" s="57">
        <f t="shared" si="158"/>
        <v>0</v>
      </c>
      <c r="FP113" s="62">
        <f t="shared" si="318"/>
        <v>0</v>
      </c>
      <c r="FQ113" s="2">
        <v>35</v>
      </c>
      <c r="FR113" s="57">
        <f t="shared" si="165"/>
        <v>0</v>
      </c>
      <c r="FS113" s="62">
        <f t="shared" si="322"/>
        <v>0</v>
      </c>
      <c r="FT113" s="2">
        <v>34</v>
      </c>
      <c r="FU113" s="57">
        <f t="shared" si="166"/>
        <v>0</v>
      </c>
      <c r="FV113" s="62">
        <f t="shared" si="326"/>
        <v>0</v>
      </c>
      <c r="FW113" s="2">
        <v>33</v>
      </c>
      <c r="FX113" s="57">
        <f t="shared" si="170"/>
        <v>0</v>
      </c>
      <c r="FY113" s="62">
        <f t="shared" si="330"/>
        <v>0</v>
      </c>
      <c r="FZ113" s="2">
        <v>32</v>
      </c>
      <c r="GA113" s="57">
        <f t="shared" si="177"/>
        <v>0</v>
      </c>
      <c r="GB113" s="62">
        <f t="shared" ref="GB113:GB144" si="334">SUM($G$10*$G$11*GA113*(EXP(-($G$10*FZ113))),$G$10*$G$11*GA113*(EXP(-($G$10*(FZ113+0.1)))),$G$10*$G$11*GA113*(EXP(-($G$10*(FZ113+0.2)))),$G$10*$G$11*GA113*(EXP(-($G$10*(FZ113+0.3)))),$G$10*$G$11*GA113*(EXP(-($G$10*(FZ113+0.4)))),$G$10*$G$11*GA113*(EXP(-($G$10*(FZ113+0.5)))),$G$10*$G$11*GA113*(EXP(-($G$10*(FZ113+0.6)))),$G$10*$G$11*GA113*(EXP(-($G$10*(FZ113+0.7)))),$G$10*$G$11*GA113*(EXP(-($G$10*(FZ113+0.8)))),$G$10*$G$11*GA113*(EXP(-($G$10*(FZ113+0.9)))))/10</f>
        <v>0</v>
      </c>
      <c r="GC113" s="2">
        <v>31</v>
      </c>
      <c r="GD113" s="57">
        <f t="shared" si="178"/>
        <v>0</v>
      </c>
      <c r="GE113" s="62">
        <f t="shared" si="179"/>
        <v>0</v>
      </c>
      <c r="GF113" s="2">
        <v>30</v>
      </c>
      <c r="GG113" s="57">
        <f t="shared" si="185"/>
        <v>0</v>
      </c>
      <c r="GH113" s="62">
        <f t="shared" si="182"/>
        <v>0</v>
      </c>
      <c r="GI113" s="2">
        <v>29</v>
      </c>
      <c r="GJ113" s="57">
        <f t="shared" si="186"/>
        <v>0</v>
      </c>
      <c r="GK113" s="62">
        <f t="shared" si="187"/>
        <v>0</v>
      </c>
      <c r="GL113" s="2">
        <v>28</v>
      </c>
      <c r="GM113" s="57">
        <f t="shared" si="193"/>
        <v>0</v>
      </c>
      <c r="GN113" s="62">
        <f t="shared" si="190"/>
        <v>0</v>
      </c>
      <c r="GO113" s="2">
        <v>27</v>
      </c>
      <c r="GP113" s="57">
        <f t="shared" si="194"/>
        <v>0</v>
      </c>
      <c r="GQ113" s="62">
        <f t="shared" si="195"/>
        <v>0</v>
      </c>
      <c r="GR113" s="2">
        <v>26</v>
      </c>
      <c r="GS113" s="57">
        <f t="shared" si="204"/>
        <v>0</v>
      </c>
      <c r="GT113" s="62">
        <f t="shared" si="198"/>
        <v>0</v>
      </c>
      <c r="GU113" s="2">
        <v>25</v>
      </c>
      <c r="GV113" s="57">
        <f t="shared" si="205"/>
        <v>0</v>
      </c>
      <c r="GW113" s="62">
        <f t="shared" si="206"/>
        <v>0</v>
      </c>
      <c r="GX113" s="2">
        <v>24</v>
      </c>
      <c r="GY113" s="57">
        <f t="shared" si="217"/>
        <v>0</v>
      </c>
      <c r="GZ113" s="62">
        <f t="shared" si="211"/>
        <v>0</v>
      </c>
      <c r="HA113" s="2">
        <v>23</v>
      </c>
      <c r="HB113" s="57">
        <f t="shared" si="218"/>
        <v>0</v>
      </c>
      <c r="HC113" s="62">
        <f t="shared" si="219"/>
        <v>0</v>
      </c>
      <c r="HD113" s="2">
        <v>22</v>
      </c>
      <c r="HE113" s="57">
        <f t="shared" si="229"/>
        <v>0</v>
      </c>
      <c r="HF113" s="62">
        <f t="shared" si="224"/>
        <v>0</v>
      </c>
      <c r="HG113" s="2">
        <v>21</v>
      </c>
      <c r="HH113" s="57">
        <f t="shared" si="230"/>
        <v>0</v>
      </c>
      <c r="HI113" s="62">
        <f t="shared" si="231"/>
        <v>0</v>
      </c>
      <c r="HJ113" s="2">
        <v>20</v>
      </c>
      <c r="HK113" s="57">
        <f t="shared" si="241"/>
        <v>0</v>
      </c>
      <c r="HL113" s="62">
        <f t="shared" si="236"/>
        <v>0</v>
      </c>
      <c r="HM113" s="2">
        <v>19</v>
      </c>
      <c r="HN113" s="57">
        <f t="shared" si="247"/>
        <v>0</v>
      </c>
      <c r="HO113" s="62">
        <f t="shared" si="242"/>
        <v>0</v>
      </c>
      <c r="HP113" s="2">
        <v>18</v>
      </c>
      <c r="HQ113" s="57">
        <f t="shared" si="248"/>
        <v>0</v>
      </c>
      <c r="HR113" s="62">
        <f t="shared" si="249"/>
        <v>0</v>
      </c>
      <c r="HS113" s="2">
        <v>17</v>
      </c>
      <c r="HT113" s="57">
        <f t="shared" si="257"/>
        <v>0</v>
      </c>
      <c r="HU113" s="62">
        <f t="shared" si="253"/>
        <v>0</v>
      </c>
      <c r="HV113" s="2">
        <v>16</v>
      </c>
      <c r="HW113" s="57">
        <f t="shared" si="258"/>
        <v>0</v>
      </c>
      <c r="HX113" s="62">
        <f t="shared" si="259"/>
        <v>0</v>
      </c>
      <c r="HY113" s="2">
        <v>15</v>
      </c>
      <c r="HZ113" s="57">
        <f t="shared" si="268"/>
        <v>0</v>
      </c>
      <c r="IA113" s="62">
        <f t="shared" si="263"/>
        <v>0</v>
      </c>
      <c r="IB113" s="2">
        <v>14</v>
      </c>
      <c r="IC113" s="57">
        <f t="shared" si="274"/>
        <v>0</v>
      </c>
      <c r="ID113" s="62">
        <f t="shared" si="269"/>
        <v>0</v>
      </c>
      <c r="IE113" s="2">
        <v>13</v>
      </c>
      <c r="IF113" s="57">
        <f t="shared" si="280"/>
        <v>0</v>
      </c>
      <c r="IG113" s="62">
        <f t="shared" si="275"/>
        <v>0</v>
      </c>
      <c r="IH113" s="2">
        <v>12</v>
      </c>
      <c r="II113" s="57">
        <f t="shared" si="281"/>
        <v>0</v>
      </c>
      <c r="IJ113" s="62">
        <f t="shared" si="282"/>
        <v>0</v>
      </c>
      <c r="IK113" s="2">
        <v>11</v>
      </c>
      <c r="IL113" s="57">
        <f t="shared" si="292"/>
        <v>0</v>
      </c>
      <c r="IM113" s="62">
        <f t="shared" si="287"/>
        <v>0</v>
      </c>
      <c r="IN113" s="2">
        <v>10</v>
      </c>
      <c r="IO113" s="57">
        <f t="shared" si="293"/>
        <v>0</v>
      </c>
      <c r="IP113" s="62">
        <f t="shared" si="294"/>
        <v>0</v>
      </c>
    </row>
    <row r="114" spans="7:250">
      <c r="G114" s="284"/>
      <c r="H114" s="284"/>
      <c r="I114" s="2">
        <f t="shared" si="212"/>
        <v>2109</v>
      </c>
      <c r="J114" s="379">
        <f t="shared" si="264"/>
        <v>3075765.2613334488</v>
      </c>
      <c r="K114" s="2">
        <f t="shared" si="212"/>
        <v>90</v>
      </c>
      <c r="L114" s="57">
        <f t="shared" si="200"/>
        <v>189082</v>
      </c>
      <c r="M114" s="62">
        <f t="shared" si="201"/>
        <v>20298.381293532071</v>
      </c>
      <c r="N114" s="2">
        <f t="shared" si="270"/>
        <v>89</v>
      </c>
      <c r="O114" s="57">
        <f t="shared" si="207"/>
        <v>293489</v>
      </c>
      <c r="P114" s="62">
        <f t="shared" si="208"/>
        <v>32792.522606648199</v>
      </c>
      <c r="Q114" s="2">
        <f t="shared" si="276"/>
        <v>88</v>
      </c>
      <c r="R114" s="57">
        <f t="shared" si="213"/>
        <v>283523</v>
      </c>
      <c r="S114" s="62">
        <f t="shared" si="214"/>
        <v>32971.831592806921</v>
      </c>
      <c r="T114" s="2">
        <f t="shared" si="283"/>
        <v>87</v>
      </c>
      <c r="U114" s="57">
        <f t="shared" si="220"/>
        <v>143321</v>
      </c>
      <c r="V114" s="62">
        <f t="shared" si="221"/>
        <v>17347.479638300614</v>
      </c>
      <c r="W114" s="2">
        <f t="shared" si="288"/>
        <v>86</v>
      </c>
      <c r="X114" s="57">
        <f t="shared" si="225"/>
        <v>227851</v>
      </c>
      <c r="Y114" s="62">
        <f t="shared" si="226"/>
        <v>28704.45297873743</v>
      </c>
      <c r="Z114" s="2">
        <f t="shared" si="295"/>
        <v>85</v>
      </c>
      <c r="AA114" s="57">
        <f t="shared" si="232"/>
        <v>238727</v>
      </c>
      <c r="AB114" s="62">
        <f t="shared" si="233"/>
        <v>31301.968904752204</v>
      </c>
      <c r="AC114" s="2">
        <f t="shared" si="299"/>
        <v>84</v>
      </c>
      <c r="AD114" s="57">
        <f t="shared" si="237"/>
        <v>250122</v>
      </c>
      <c r="AE114" s="62">
        <f t="shared" si="238"/>
        <v>34134.518979449407</v>
      </c>
      <c r="AF114" s="2">
        <f t="shared" si="303"/>
        <v>83</v>
      </c>
      <c r="AG114" s="57">
        <f t="shared" si="243"/>
        <v>262060</v>
      </c>
      <c r="AH114" s="62">
        <f t="shared" si="244"/>
        <v>37223.260398674029</v>
      </c>
      <c r="AI114" s="2">
        <f t="shared" si="307"/>
        <v>82</v>
      </c>
      <c r="AJ114" s="57">
        <f t="shared" si="250"/>
        <v>274569</v>
      </c>
      <c r="AK114" s="62">
        <f t="shared" si="251"/>
        <v>40591.673351678372</v>
      </c>
      <c r="AL114" s="2">
        <f t="shared" si="311"/>
        <v>81</v>
      </c>
      <c r="AM114" s="57">
        <f t="shared" si="254"/>
        <v>287675</v>
      </c>
      <c r="AN114" s="62">
        <f t="shared" si="255"/>
        <v>44264.88641073872</v>
      </c>
      <c r="AO114" s="2">
        <f t="shared" si="315"/>
        <v>80</v>
      </c>
      <c r="AP114" s="57">
        <f t="shared" si="260"/>
        <v>301406</v>
      </c>
      <c r="AQ114" s="62">
        <f t="shared" si="261"/>
        <v>48270.400819002265</v>
      </c>
      <c r="AR114" s="2">
        <f t="shared" si="319"/>
        <v>79</v>
      </c>
      <c r="AS114" s="57">
        <f t="shared" si="265"/>
        <v>315793</v>
      </c>
      <c r="AT114" s="62">
        <f t="shared" si="266"/>
        <v>52638.47392862352</v>
      </c>
      <c r="AU114" s="2">
        <f t="shared" si="323"/>
        <v>78</v>
      </c>
      <c r="AV114" s="57">
        <f t="shared" si="271"/>
        <v>330866</v>
      </c>
      <c r="AW114" s="62">
        <f t="shared" si="272"/>
        <v>57401.694270867752</v>
      </c>
      <c r="AX114" s="2">
        <f t="shared" si="327"/>
        <v>77</v>
      </c>
      <c r="AY114" s="57">
        <f t="shared" si="277"/>
        <v>346659</v>
      </c>
      <c r="AZ114" s="62">
        <f t="shared" si="278"/>
        <v>62596.035665228686</v>
      </c>
      <c r="BA114" s="2">
        <f t="shared" si="331"/>
        <v>76</v>
      </c>
      <c r="BB114" s="57">
        <f t="shared" si="284"/>
        <v>363206</v>
      </c>
      <c r="BC114" s="62">
        <f t="shared" si="285"/>
        <v>68260.449368460482</v>
      </c>
      <c r="BD114" s="2">
        <f t="shared" ref="BD114:BD123" si="335">IF(BD113="","",(BD113+1))</f>
        <v>75</v>
      </c>
      <c r="BE114" s="57">
        <f t="shared" si="289"/>
        <v>380542</v>
      </c>
      <c r="BF114" s="62">
        <f t="shared" si="290"/>
        <v>74437.281556280272</v>
      </c>
      <c r="BG114" s="2">
        <v>74</v>
      </c>
      <c r="BH114" s="57">
        <f t="shared" si="296"/>
        <v>398706</v>
      </c>
      <c r="BI114" s="62">
        <f t="shared" si="297"/>
        <v>81173.161035723853</v>
      </c>
      <c r="BJ114" s="2">
        <v>73</v>
      </c>
      <c r="BK114" s="57">
        <f t="shared" si="300"/>
        <v>417737</v>
      </c>
      <c r="BL114" s="62">
        <f t="shared" si="301"/>
        <v>88518.574215345216</v>
      </c>
      <c r="BM114" s="2">
        <v>72</v>
      </c>
      <c r="BN114" s="57">
        <f t="shared" si="304"/>
        <v>437677</v>
      </c>
      <c r="BO114" s="62">
        <f t="shared" si="305"/>
        <v>96528.814114985871</v>
      </c>
      <c r="BP114" s="2">
        <v>71</v>
      </c>
      <c r="BQ114" s="57">
        <f t="shared" si="308"/>
        <v>458568</v>
      </c>
      <c r="BR114" s="62">
        <f t="shared" si="309"/>
        <v>105263.73371323341</v>
      </c>
      <c r="BS114" s="2">
        <v>70</v>
      </c>
      <c r="BT114" s="57">
        <f t="shared" si="312"/>
        <v>480456</v>
      </c>
      <c r="BU114" s="62">
        <f t="shared" si="313"/>
        <v>114789.04048487285</v>
      </c>
      <c r="BV114" s="2">
        <v>69</v>
      </c>
      <c r="BW114" s="57">
        <f t="shared" si="316"/>
        <v>503389</v>
      </c>
      <c r="BX114" s="62">
        <f t="shared" si="317"/>
        <v>125176.35603652743</v>
      </c>
      <c r="BY114" s="2">
        <v>68</v>
      </c>
      <c r="BZ114" s="57">
        <f t="shared" si="320"/>
        <v>527417</v>
      </c>
      <c r="CA114" s="62">
        <f t="shared" si="321"/>
        <v>136503.72003121526</v>
      </c>
      <c r="CB114" s="2">
        <v>67</v>
      </c>
      <c r="CC114" s="57">
        <f t="shared" si="324"/>
        <v>552592</v>
      </c>
      <c r="CD114" s="62">
        <f t="shared" si="325"/>
        <v>148856.13395744454</v>
      </c>
      <c r="CE114" s="2">
        <v>66</v>
      </c>
      <c r="CF114" s="57">
        <f t="shared" si="328"/>
        <v>578968</v>
      </c>
      <c r="CG114" s="62">
        <f t="shared" si="329"/>
        <v>162326.14767091296</v>
      </c>
      <c r="CH114" s="2">
        <v>65</v>
      </c>
      <c r="CI114" s="57">
        <f t="shared" si="332"/>
        <v>606603</v>
      </c>
      <c r="CJ114" s="62">
        <f t="shared" si="333"/>
        <v>177015.07546610595</v>
      </c>
      <c r="CK114" s="2">
        <v>64</v>
      </c>
      <c r="CL114" s="57">
        <f t="shared" ref="CL114:CL163" si="336">$E$49</f>
        <v>635558</v>
      </c>
      <c r="CM114" s="62">
        <f t="shared" ref="CM114:CM145" si="337">SUM($G$10*$G$11*CL114*(EXP(-($G$10*CK114))),$G$10*$G$11*CL114*(EXP(-($G$10*(CK114+0.1)))),$G$10*$G$11*CL114*(EXP(-($G$10*(CK114+0.2)))),$G$10*$G$11*CL114*(EXP(-($G$10*(CK114+0.3)))),$G$10*$G$11*CL114*(EXP(-($G$10*(CK114+0.4)))),$G$10*$G$11*CL114*(EXP(-($G$10*(CK114+0.5)))),$G$10*$G$11*CL114*(EXP(-($G$10*(CK114+0.6)))),$G$10*$G$11*CL114*(EXP(-($G$10*(CK114+0.7)))),$G$10*$G$11*CL114*(EXP(-($G$10*(CK114+0.8)))),$G$10*$G$11*CL114*(EXP(-($G$10*(CK114+0.9)))))/10</f>
        <v>193033.49313634419</v>
      </c>
      <c r="CN114" s="2">
        <v>63</v>
      </c>
      <c r="CO114" s="57">
        <f t="shared" si="180"/>
        <v>665894</v>
      </c>
      <c r="CP114" s="62">
        <f t="shared" si="181"/>
        <v>210501.09582853998</v>
      </c>
      <c r="CQ114" s="2">
        <v>62</v>
      </c>
      <c r="CR114" s="57">
        <f t="shared" si="183"/>
        <v>697679</v>
      </c>
      <c r="CS114" s="62">
        <f t="shared" si="184"/>
        <v>229549.67889001052</v>
      </c>
      <c r="CT114" s="2">
        <v>61</v>
      </c>
      <c r="CU114" s="57">
        <f t="shared" si="188"/>
        <v>730980</v>
      </c>
      <c r="CV114" s="62">
        <f t="shared" si="189"/>
        <v>250321.59215662652</v>
      </c>
      <c r="CW114" s="2">
        <v>60</v>
      </c>
      <c r="CX114" s="57">
        <f t="shared" si="191"/>
        <v>765871</v>
      </c>
      <c r="CY114" s="62">
        <f t="shared" si="192"/>
        <v>272973.33283177973</v>
      </c>
      <c r="CZ114" s="2">
        <v>59</v>
      </c>
      <c r="DA114" s="57">
        <f t="shared" si="196"/>
        <v>0</v>
      </c>
      <c r="DB114" s="62">
        <f t="shared" si="197"/>
        <v>0</v>
      </c>
      <c r="DC114" s="2">
        <v>58</v>
      </c>
      <c r="DD114" s="57">
        <f t="shared" si="202"/>
        <v>0</v>
      </c>
      <c r="DE114" s="62">
        <f t="shared" si="203"/>
        <v>0</v>
      </c>
      <c r="DF114" s="2">
        <v>57</v>
      </c>
      <c r="DG114" s="57">
        <f t="shared" si="209"/>
        <v>0</v>
      </c>
      <c r="DH114" s="62">
        <f t="shared" si="210"/>
        <v>0</v>
      </c>
      <c r="DI114" s="2">
        <v>56</v>
      </c>
      <c r="DJ114" s="57">
        <f t="shared" si="215"/>
        <v>0</v>
      </c>
      <c r="DK114" s="62">
        <f t="shared" si="216"/>
        <v>0</v>
      </c>
      <c r="DL114" s="2">
        <v>55</v>
      </c>
      <c r="DM114" s="57">
        <f t="shared" si="222"/>
        <v>0</v>
      </c>
      <c r="DN114" s="62">
        <f t="shared" si="223"/>
        <v>0</v>
      </c>
      <c r="DO114" s="2">
        <v>54</v>
      </c>
      <c r="DP114" s="57">
        <f t="shared" si="227"/>
        <v>0</v>
      </c>
      <c r="DQ114" s="62">
        <f t="shared" si="228"/>
        <v>0</v>
      </c>
      <c r="DR114" s="2">
        <v>53</v>
      </c>
      <c r="DS114" s="57">
        <f t="shared" si="234"/>
        <v>0</v>
      </c>
      <c r="DT114" s="62">
        <f t="shared" si="235"/>
        <v>0</v>
      </c>
      <c r="DU114" s="2">
        <v>52</v>
      </c>
      <c r="DV114" s="57">
        <f t="shared" si="239"/>
        <v>0</v>
      </c>
      <c r="DW114" s="62">
        <f t="shared" si="240"/>
        <v>0</v>
      </c>
      <c r="DX114" s="2">
        <v>51</v>
      </c>
      <c r="DY114" s="57">
        <f t="shared" si="245"/>
        <v>0</v>
      </c>
      <c r="DZ114" s="62">
        <f t="shared" si="246"/>
        <v>0</v>
      </c>
      <c r="EA114" s="2">
        <v>50</v>
      </c>
      <c r="EB114" s="57">
        <f t="shared" si="109"/>
        <v>0</v>
      </c>
      <c r="EC114" s="62">
        <f t="shared" si="252"/>
        <v>0</v>
      </c>
      <c r="ED114" s="2">
        <v>49</v>
      </c>
      <c r="EE114" s="57">
        <f t="shared" si="113"/>
        <v>0</v>
      </c>
      <c r="EF114" s="62">
        <f t="shared" si="256"/>
        <v>0</v>
      </c>
      <c r="EG114" s="63">
        <v>48</v>
      </c>
      <c r="EH114" s="57">
        <f t="shared" si="117"/>
        <v>0</v>
      </c>
      <c r="EI114" s="62">
        <f t="shared" si="262"/>
        <v>0</v>
      </c>
      <c r="EJ114" s="63">
        <v>47</v>
      </c>
      <c r="EK114" s="57">
        <f t="shared" si="121"/>
        <v>0</v>
      </c>
      <c r="EL114" s="62">
        <f t="shared" si="267"/>
        <v>0</v>
      </c>
      <c r="EM114" s="63">
        <v>46</v>
      </c>
      <c r="EN114" s="57">
        <f t="shared" si="125"/>
        <v>0</v>
      </c>
      <c r="EO114" s="62">
        <f t="shared" si="273"/>
        <v>0</v>
      </c>
      <c r="EP114" s="2">
        <v>45</v>
      </c>
      <c r="EQ114" s="57">
        <f t="shared" si="129"/>
        <v>0</v>
      </c>
      <c r="ER114" s="62">
        <f t="shared" si="279"/>
        <v>0</v>
      </c>
      <c r="ES114" s="2">
        <v>44</v>
      </c>
      <c r="ET114" s="57">
        <f t="shared" si="130"/>
        <v>0</v>
      </c>
      <c r="EU114" s="62">
        <f t="shared" si="286"/>
        <v>0</v>
      </c>
      <c r="EV114" s="2">
        <v>43</v>
      </c>
      <c r="EW114" s="57">
        <f t="shared" si="134"/>
        <v>0</v>
      </c>
      <c r="EX114" s="62">
        <f t="shared" si="291"/>
        <v>0</v>
      </c>
      <c r="EY114" s="2">
        <v>42</v>
      </c>
      <c r="EZ114" s="57">
        <f t="shared" si="141"/>
        <v>0</v>
      </c>
      <c r="FA114" s="62">
        <f t="shared" si="298"/>
        <v>0</v>
      </c>
      <c r="FB114" s="2">
        <v>41</v>
      </c>
      <c r="FC114" s="57">
        <f t="shared" si="142"/>
        <v>0</v>
      </c>
      <c r="FD114" s="62">
        <f t="shared" si="302"/>
        <v>0</v>
      </c>
      <c r="FE114" s="2">
        <v>40</v>
      </c>
      <c r="FF114" s="57">
        <f t="shared" si="149"/>
        <v>0</v>
      </c>
      <c r="FG114" s="62">
        <f t="shared" si="306"/>
        <v>0</v>
      </c>
      <c r="FH114" s="2">
        <v>39</v>
      </c>
      <c r="FI114" s="57">
        <f t="shared" si="150"/>
        <v>0</v>
      </c>
      <c r="FJ114" s="62">
        <f t="shared" si="310"/>
        <v>0</v>
      </c>
      <c r="FK114" s="2">
        <v>38</v>
      </c>
      <c r="FL114" s="57">
        <f t="shared" si="157"/>
        <v>0</v>
      </c>
      <c r="FM114" s="62">
        <f t="shared" si="314"/>
        <v>0</v>
      </c>
      <c r="FN114" s="2">
        <v>37</v>
      </c>
      <c r="FO114" s="57">
        <f t="shared" si="158"/>
        <v>0</v>
      </c>
      <c r="FP114" s="62">
        <f t="shared" si="318"/>
        <v>0</v>
      </c>
      <c r="FQ114" s="2">
        <v>36</v>
      </c>
      <c r="FR114" s="57">
        <f t="shared" si="165"/>
        <v>0</v>
      </c>
      <c r="FS114" s="62">
        <f t="shared" si="322"/>
        <v>0</v>
      </c>
      <c r="FT114" s="2">
        <v>35</v>
      </c>
      <c r="FU114" s="57">
        <f t="shared" si="166"/>
        <v>0</v>
      </c>
      <c r="FV114" s="62">
        <f t="shared" si="326"/>
        <v>0</v>
      </c>
      <c r="FW114" s="2">
        <v>34</v>
      </c>
      <c r="FX114" s="57">
        <f t="shared" si="170"/>
        <v>0</v>
      </c>
      <c r="FY114" s="62">
        <f t="shared" si="330"/>
        <v>0</v>
      </c>
      <c r="FZ114" s="2">
        <v>33</v>
      </c>
      <c r="GA114" s="57">
        <f t="shared" si="177"/>
        <v>0</v>
      </c>
      <c r="GB114" s="62">
        <f t="shared" si="334"/>
        <v>0</v>
      </c>
      <c r="GC114" s="2">
        <v>32</v>
      </c>
      <c r="GD114" s="57">
        <f t="shared" si="178"/>
        <v>0</v>
      </c>
      <c r="GE114" s="62">
        <f t="shared" ref="GE114:GE145" si="338">SUM($G$10*$G$11*GD114*(EXP(-($G$10*GC114))),$G$10*$G$11*GD114*(EXP(-($G$10*(GC114+0.1)))),$G$10*$G$11*GD114*(EXP(-($G$10*(GC114+0.2)))),$G$10*$G$11*GD114*(EXP(-($G$10*(GC114+0.3)))),$G$10*$G$11*GD114*(EXP(-($G$10*(GC114+0.4)))),$G$10*$G$11*GD114*(EXP(-($G$10*(GC114+0.5)))),$G$10*$G$11*GD114*(EXP(-($G$10*(GC114+0.6)))),$G$10*$G$11*GD114*(EXP(-($G$10*(GC114+0.7)))),$G$10*$G$11*GD114*(EXP(-($G$10*(GC114+0.8)))),$G$10*$G$11*GD114*(EXP(-($G$10*(GC114+0.9)))))/10</f>
        <v>0</v>
      </c>
      <c r="GF114" s="2">
        <v>31</v>
      </c>
      <c r="GG114" s="57">
        <f t="shared" si="185"/>
        <v>0</v>
      </c>
      <c r="GH114" s="62">
        <f t="shared" si="182"/>
        <v>0</v>
      </c>
      <c r="GI114" s="2">
        <v>30</v>
      </c>
      <c r="GJ114" s="57">
        <f t="shared" si="186"/>
        <v>0</v>
      </c>
      <c r="GK114" s="62">
        <f t="shared" si="187"/>
        <v>0</v>
      </c>
      <c r="GL114" s="2">
        <v>29</v>
      </c>
      <c r="GM114" s="57">
        <f t="shared" si="193"/>
        <v>0</v>
      </c>
      <c r="GN114" s="62">
        <f t="shared" si="190"/>
        <v>0</v>
      </c>
      <c r="GO114" s="2">
        <v>28</v>
      </c>
      <c r="GP114" s="57">
        <f t="shared" si="194"/>
        <v>0</v>
      </c>
      <c r="GQ114" s="62">
        <f t="shared" si="195"/>
        <v>0</v>
      </c>
      <c r="GR114" s="2">
        <v>27</v>
      </c>
      <c r="GS114" s="57">
        <f t="shared" si="204"/>
        <v>0</v>
      </c>
      <c r="GT114" s="62">
        <f t="shared" si="198"/>
        <v>0</v>
      </c>
      <c r="GU114" s="2">
        <v>26</v>
      </c>
      <c r="GV114" s="57">
        <f t="shared" si="205"/>
        <v>0</v>
      </c>
      <c r="GW114" s="62">
        <f t="shared" si="206"/>
        <v>0</v>
      </c>
      <c r="GX114" s="2">
        <v>25</v>
      </c>
      <c r="GY114" s="57">
        <f t="shared" si="217"/>
        <v>0</v>
      </c>
      <c r="GZ114" s="62">
        <f t="shared" si="211"/>
        <v>0</v>
      </c>
      <c r="HA114" s="2">
        <v>24</v>
      </c>
      <c r="HB114" s="57">
        <f t="shared" si="218"/>
        <v>0</v>
      </c>
      <c r="HC114" s="62">
        <f t="shared" si="219"/>
        <v>0</v>
      </c>
      <c r="HD114" s="2">
        <v>23</v>
      </c>
      <c r="HE114" s="57">
        <f t="shared" si="229"/>
        <v>0</v>
      </c>
      <c r="HF114" s="62">
        <f t="shared" si="224"/>
        <v>0</v>
      </c>
      <c r="HG114" s="2">
        <v>22</v>
      </c>
      <c r="HH114" s="57">
        <f t="shared" si="230"/>
        <v>0</v>
      </c>
      <c r="HI114" s="62">
        <f t="shared" si="231"/>
        <v>0</v>
      </c>
      <c r="HJ114" s="2">
        <v>21</v>
      </c>
      <c r="HK114" s="57">
        <f t="shared" si="241"/>
        <v>0</v>
      </c>
      <c r="HL114" s="62">
        <f t="shared" si="236"/>
        <v>0</v>
      </c>
      <c r="HM114" s="2">
        <v>20</v>
      </c>
      <c r="HN114" s="57">
        <f t="shared" si="247"/>
        <v>0</v>
      </c>
      <c r="HO114" s="62">
        <f t="shared" si="242"/>
        <v>0</v>
      </c>
      <c r="HP114" s="2">
        <v>19</v>
      </c>
      <c r="HQ114" s="57">
        <f t="shared" si="248"/>
        <v>0</v>
      </c>
      <c r="HR114" s="62">
        <f t="shared" si="249"/>
        <v>0</v>
      </c>
      <c r="HS114" s="2">
        <v>18</v>
      </c>
      <c r="HT114" s="57">
        <f t="shared" si="257"/>
        <v>0</v>
      </c>
      <c r="HU114" s="62">
        <f t="shared" si="253"/>
        <v>0</v>
      </c>
      <c r="HV114" s="2">
        <v>17</v>
      </c>
      <c r="HW114" s="57">
        <f t="shared" si="258"/>
        <v>0</v>
      </c>
      <c r="HX114" s="62">
        <f t="shared" si="259"/>
        <v>0</v>
      </c>
      <c r="HY114" s="2">
        <v>16</v>
      </c>
      <c r="HZ114" s="57">
        <f t="shared" si="268"/>
        <v>0</v>
      </c>
      <c r="IA114" s="62">
        <f t="shared" si="263"/>
        <v>0</v>
      </c>
      <c r="IB114" s="2">
        <v>15</v>
      </c>
      <c r="IC114" s="57">
        <f t="shared" si="274"/>
        <v>0</v>
      </c>
      <c r="ID114" s="62">
        <f t="shared" si="269"/>
        <v>0</v>
      </c>
      <c r="IE114" s="2">
        <v>14</v>
      </c>
      <c r="IF114" s="57">
        <f t="shared" si="280"/>
        <v>0</v>
      </c>
      <c r="IG114" s="62">
        <f t="shared" si="275"/>
        <v>0</v>
      </c>
      <c r="IH114" s="2">
        <v>13</v>
      </c>
      <c r="II114" s="57">
        <f t="shared" si="281"/>
        <v>0</v>
      </c>
      <c r="IJ114" s="62">
        <f t="shared" si="282"/>
        <v>0</v>
      </c>
      <c r="IK114" s="2">
        <v>12</v>
      </c>
      <c r="IL114" s="57">
        <f t="shared" si="292"/>
        <v>0</v>
      </c>
      <c r="IM114" s="62">
        <f t="shared" si="287"/>
        <v>0</v>
      </c>
      <c r="IN114" s="2">
        <v>11</v>
      </c>
      <c r="IO114" s="57">
        <f t="shared" si="293"/>
        <v>0</v>
      </c>
      <c r="IP114" s="62">
        <f t="shared" si="294"/>
        <v>0</v>
      </c>
    </row>
    <row r="115" spans="7:250">
      <c r="G115" s="284"/>
      <c r="H115" s="284"/>
      <c r="I115" s="2">
        <f t="shared" si="212"/>
        <v>2110</v>
      </c>
      <c r="J115" s="379">
        <f t="shared" si="264"/>
        <v>2955162.7804007637</v>
      </c>
      <c r="K115" s="2">
        <f t="shared" si="212"/>
        <v>91</v>
      </c>
      <c r="L115" s="57">
        <f t="shared" si="200"/>
        <v>189082</v>
      </c>
      <c r="M115" s="62">
        <f t="shared" si="201"/>
        <v>19502.470378712685</v>
      </c>
      <c r="N115" s="2">
        <f t="shared" si="270"/>
        <v>90</v>
      </c>
      <c r="O115" s="57">
        <f t="shared" si="207"/>
        <v>293489</v>
      </c>
      <c r="P115" s="62">
        <f t="shared" si="208"/>
        <v>31506.709403631405</v>
      </c>
      <c r="Q115" s="2">
        <f t="shared" si="276"/>
        <v>89</v>
      </c>
      <c r="R115" s="57">
        <f t="shared" si="213"/>
        <v>283523</v>
      </c>
      <c r="S115" s="62">
        <f t="shared" si="214"/>
        <v>31678.987583877821</v>
      </c>
      <c r="T115" s="2">
        <f t="shared" si="283"/>
        <v>88</v>
      </c>
      <c r="U115" s="57">
        <f t="shared" si="220"/>
        <v>143321</v>
      </c>
      <c r="V115" s="62">
        <f t="shared" si="221"/>
        <v>16667.275232389191</v>
      </c>
      <c r="W115" s="2">
        <f t="shared" si="288"/>
        <v>87</v>
      </c>
      <c r="X115" s="57">
        <f t="shared" si="225"/>
        <v>227851</v>
      </c>
      <c r="Y115" s="62">
        <f t="shared" si="226"/>
        <v>27578.935278615369</v>
      </c>
      <c r="Z115" s="2">
        <f t="shared" si="295"/>
        <v>86</v>
      </c>
      <c r="AA115" s="57">
        <f t="shared" si="232"/>
        <v>238727</v>
      </c>
      <c r="AB115" s="62">
        <f t="shared" si="233"/>
        <v>30074.601148360332</v>
      </c>
      <c r="AC115" s="2">
        <f t="shared" si="299"/>
        <v>85</v>
      </c>
      <c r="AD115" s="57">
        <f t="shared" si="237"/>
        <v>250122</v>
      </c>
      <c r="AE115" s="62">
        <f t="shared" si="238"/>
        <v>32796.085345999541</v>
      </c>
      <c r="AF115" s="2">
        <f t="shared" si="303"/>
        <v>84</v>
      </c>
      <c r="AG115" s="57">
        <f t="shared" si="243"/>
        <v>262060</v>
      </c>
      <c r="AH115" s="62">
        <f t="shared" si="244"/>
        <v>35763.715481862906</v>
      </c>
      <c r="AI115" s="2">
        <f t="shared" si="307"/>
        <v>83</v>
      </c>
      <c r="AJ115" s="57">
        <f t="shared" si="250"/>
        <v>274569</v>
      </c>
      <c r="AK115" s="62">
        <f t="shared" si="251"/>
        <v>39000.051073813367</v>
      </c>
      <c r="AL115" s="2">
        <f t="shared" si="311"/>
        <v>82</v>
      </c>
      <c r="AM115" s="57">
        <f t="shared" si="254"/>
        <v>287675</v>
      </c>
      <c r="AN115" s="62">
        <f t="shared" si="255"/>
        <v>42529.235388714951</v>
      </c>
      <c r="AO115" s="2">
        <f t="shared" si="315"/>
        <v>81</v>
      </c>
      <c r="AP115" s="57">
        <f t="shared" si="260"/>
        <v>301406</v>
      </c>
      <c r="AQ115" s="62">
        <f t="shared" si="261"/>
        <v>46377.691330547023</v>
      </c>
      <c r="AR115" s="2">
        <f t="shared" si="319"/>
        <v>80</v>
      </c>
      <c r="AS115" s="57">
        <f t="shared" si="265"/>
        <v>315793</v>
      </c>
      <c r="AT115" s="62">
        <f t="shared" si="266"/>
        <v>50574.489843716387</v>
      </c>
      <c r="AU115" s="2">
        <f t="shared" si="323"/>
        <v>79</v>
      </c>
      <c r="AV115" s="57">
        <f t="shared" si="271"/>
        <v>330866</v>
      </c>
      <c r="AW115" s="62">
        <f t="shared" si="272"/>
        <v>55150.941644900151</v>
      </c>
      <c r="AX115" s="2">
        <f t="shared" si="327"/>
        <v>78</v>
      </c>
      <c r="AY115" s="57">
        <f t="shared" si="277"/>
        <v>346659</v>
      </c>
      <c r="AZ115" s="62">
        <f t="shared" si="278"/>
        <v>60141.609999953886</v>
      </c>
      <c r="BA115" s="2">
        <f t="shared" si="331"/>
        <v>77</v>
      </c>
      <c r="BB115" s="57">
        <f t="shared" si="284"/>
        <v>363206</v>
      </c>
      <c r="BC115" s="62">
        <f t="shared" si="285"/>
        <v>65583.918865008702</v>
      </c>
      <c r="BD115" s="2">
        <f t="shared" si="335"/>
        <v>76</v>
      </c>
      <c r="BE115" s="57">
        <f t="shared" si="289"/>
        <v>380542</v>
      </c>
      <c r="BF115" s="62">
        <f t="shared" si="290"/>
        <v>71518.553998482093</v>
      </c>
      <c r="BG115" s="2">
        <f t="shared" ref="BG115:BG123" si="339">IF(BG114="","",(BG114+1))</f>
        <v>75</v>
      </c>
      <c r="BH115" s="57">
        <f t="shared" si="296"/>
        <v>398706</v>
      </c>
      <c r="BI115" s="62">
        <f t="shared" si="297"/>
        <v>77990.315865734345</v>
      </c>
      <c r="BJ115" s="2">
        <v>74</v>
      </c>
      <c r="BK115" s="57">
        <f t="shared" si="300"/>
        <v>417737</v>
      </c>
      <c r="BL115" s="62">
        <f t="shared" si="301"/>
        <v>85047.711274924834</v>
      </c>
      <c r="BM115" s="2">
        <v>73</v>
      </c>
      <c r="BN115" s="57">
        <f t="shared" si="304"/>
        <v>437677</v>
      </c>
      <c r="BO115" s="62">
        <f t="shared" si="305"/>
        <v>92743.865175576124</v>
      </c>
      <c r="BP115" s="2">
        <v>72</v>
      </c>
      <c r="BQ115" s="57">
        <f t="shared" si="308"/>
        <v>458568</v>
      </c>
      <c r="BR115" s="62">
        <f t="shared" si="309"/>
        <v>101136.283677417</v>
      </c>
      <c r="BS115" s="2">
        <v>71</v>
      </c>
      <c r="BT115" s="57">
        <f t="shared" si="312"/>
        <v>480456</v>
      </c>
      <c r="BU115" s="62">
        <f t="shared" si="313"/>
        <v>110288.0978282943</v>
      </c>
      <c r="BV115" s="2">
        <v>70</v>
      </c>
      <c r="BW115" s="57">
        <f t="shared" si="316"/>
        <v>503389</v>
      </c>
      <c r="BX115" s="62">
        <f t="shared" si="317"/>
        <v>120268.12091146673</v>
      </c>
      <c r="BY115" s="2">
        <v>69</v>
      </c>
      <c r="BZ115" s="57">
        <f t="shared" si="320"/>
        <v>527417</v>
      </c>
      <c r="CA115" s="62">
        <f t="shared" si="321"/>
        <v>131151.33261099705</v>
      </c>
      <c r="CB115" s="2">
        <v>68</v>
      </c>
      <c r="CC115" s="57">
        <f t="shared" si="324"/>
        <v>552592</v>
      </c>
      <c r="CD115" s="62">
        <f t="shared" si="325"/>
        <v>143019.40145935625</v>
      </c>
      <c r="CE115" s="2">
        <v>67</v>
      </c>
      <c r="CF115" s="57">
        <f t="shared" si="328"/>
        <v>578968</v>
      </c>
      <c r="CG115" s="62">
        <f t="shared" si="329"/>
        <v>155961.24838049366</v>
      </c>
      <c r="CH115" s="2">
        <v>66</v>
      </c>
      <c r="CI115" s="57">
        <f t="shared" si="332"/>
        <v>606603</v>
      </c>
      <c r="CJ115" s="62">
        <f t="shared" si="333"/>
        <v>170074.21507858607</v>
      </c>
      <c r="CK115" s="2">
        <v>65</v>
      </c>
      <c r="CL115" s="57">
        <f t="shared" si="336"/>
        <v>635558</v>
      </c>
      <c r="CM115" s="62">
        <f t="shared" si="337"/>
        <v>185464.54160808196</v>
      </c>
      <c r="CN115" s="2">
        <v>64</v>
      </c>
      <c r="CO115" s="57">
        <f t="shared" ref="CO115:CO163" si="340">$E$50</f>
        <v>665894</v>
      </c>
      <c r="CP115" s="62">
        <f t="shared" ref="CP115:CP146" si="341">SUM($G$10*$G$11*CO115*(EXP(-($G$10*CN115))),$G$10*$G$11*CO115*(EXP(-($G$10*(CN115+0.1)))),$G$10*$G$11*CO115*(EXP(-($G$10*(CN115+0.2)))),$G$10*$G$11*CO115*(EXP(-($G$10*(CN115+0.3)))),$G$10*$G$11*CO115*(EXP(-($G$10*(CN115+0.4)))),$G$10*$G$11*CO115*(EXP(-($G$10*(CN115+0.5)))),$G$10*$G$11*CO115*(EXP(-($G$10*(CN115+0.6)))),$G$10*$G$11*CO115*(EXP(-($G$10*(CN115+0.7)))),$G$10*$G$11*CO115*(EXP(-($G$10*(CN115+0.8)))),$G$10*$G$11*CO115*(EXP(-($G$10*(CN115+0.9)))))/10</f>
        <v>202247.22980205234</v>
      </c>
      <c r="CQ115" s="2">
        <v>63</v>
      </c>
      <c r="CR115" s="57">
        <f t="shared" si="183"/>
        <v>697679</v>
      </c>
      <c r="CS115" s="62">
        <f t="shared" si="184"/>
        <v>220548.90723832912</v>
      </c>
      <c r="CT115" s="2">
        <v>62</v>
      </c>
      <c r="CU115" s="57">
        <f t="shared" si="188"/>
        <v>730980</v>
      </c>
      <c r="CV115" s="62">
        <f t="shared" si="189"/>
        <v>240506.34213588186</v>
      </c>
      <c r="CW115" s="2">
        <v>61</v>
      </c>
      <c r="CX115" s="57">
        <f t="shared" si="191"/>
        <v>765871</v>
      </c>
      <c r="CY115" s="62">
        <f t="shared" si="192"/>
        <v>262269.89535498613</v>
      </c>
      <c r="CZ115" s="2">
        <v>60</v>
      </c>
      <c r="DA115" s="57">
        <f t="shared" si="196"/>
        <v>0</v>
      </c>
      <c r="DB115" s="62">
        <f t="shared" si="197"/>
        <v>0</v>
      </c>
      <c r="DC115" s="2">
        <v>59</v>
      </c>
      <c r="DD115" s="57">
        <f t="shared" si="202"/>
        <v>0</v>
      </c>
      <c r="DE115" s="62">
        <f t="shared" si="203"/>
        <v>0</v>
      </c>
      <c r="DF115" s="2">
        <v>58</v>
      </c>
      <c r="DG115" s="57">
        <f t="shared" si="209"/>
        <v>0</v>
      </c>
      <c r="DH115" s="62">
        <f t="shared" si="210"/>
        <v>0</v>
      </c>
      <c r="DI115" s="2">
        <v>57</v>
      </c>
      <c r="DJ115" s="57">
        <f t="shared" si="215"/>
        <v>0</v>
      </c>
      <c r="DK115" s="62">
        <f t="shared" si="216"/>
        <v>0</v>
      </c>
      <c r="DL115" s="2">
        <v>56</v>
      </c>
      <c r="DM115" s="57">
        <f t="shared" si="222"/>
        <v>0</v>
      </c>
      <c r="DN115" s="62">
        <f t="shared" si="223"/>
        <v>0</v>
      </c>
      <c r="DO115" s="2">
        <v>55</v>
      </c>
      <c r="DP115" s="57">
        <f t="shared" si="227"/>
        <v>0</v>
      </c>
      <c r="DQ115" s="62">
        <f t="shared" si="228"/>
        <v>0</v>
      </c>
      <c r="DR115" s="2">
        <v>54</v>
      </c>
      <c r="DS115" s="57">
        <f t="shared" si="234"/>
        <v>0</v>
      </c>
      <c r="DT115" s="62">
        <f t="shared" si="235"/>
        <v>0</v>
      </c>
      <c r="DU115" s="2">
        <v>53</v>
      </c>
      <c r="DV115" s="57">
        <f t="shared" si="239"/>
        <v>0</v>
      </c>
      <c r="DW115" s="62">
        <f t="shared" si="240"/>
        <v>0</v>
      </c>
      <c r="DX115" s="2">
        <v>52</v>
      </c>
      <c r="DY115" s="57">
        <f t="shared" si="245"/>
        <v>0</v>
      </c>
      <c r="DZ115" s="62">
        <f t="shared" si="246"/>
        <v>0</v>
      </c>
      <c r="EA115" s="2">
        <v>51</v>
      </c>
      <c r="EB115" s="57">
        <f t="shared" si="109"/>
        <v>0</v>
      </c>
      <c r="EC115" s="62">
        <f t="shared" si="252"/>
        <v>0</v>
      </c>
      <c r="ED115" s="2">
        <v>50</v>
      </c>
      <c r="EE115" s="57">
        <f t="shared" si="113"/>
        <v>0</v>
      </c>
      <c r="EF115" s="62">
        <f t="shared" si="256"/>
        <v>0</v>
      </c>
      <c r="EG115" s="2">
        <v>49</v>
      </c>
      <c r="EH115" s="57">
        <f t="shared" si="117"/>
        <v>0</v>
      </c>
      <c r="EI115" s="62">
        <f t="shared" si="262"/>
        <v>0</v>
      </c>
      <c r="EJ115" s="63">
        <v>48</v>
      </c>
      <c r="EK115" s="57">
        <f t="shared" si="121"/>
        <v>0</v>
      </c>
      <c r="EL115" s="62">
        <f t="shared" si="267"/>
        <v>0</v>
      </c>
      <c r="EM115" s="63">
        <v>47</v>
      </c>
      <c r="EN115" s="57">
        <f t="shared" si="125"/>
        <v>0</v>
      </c>
      <c r="EO115" s="62">
        <f t="shared" si="273"/>
        <v>0</v>
      </c>
      <c r="EP115" s="63">
        <v>46</v>
      </c>
      <c r="EQ115" s="57">
        <f t="shared" si="129"/>
        <v>0</v>
      </c>
      <c r="ER115" s="62">
        <f t="shared" si="279"/>
        <v>0</v>
      </c>
      <c r="ES115" s="2">
        <v>45</v>
      </c>
      <c r="ET115" s="57">
        <f t="shared" si="130"/>
        <v>0</v>
      </c>
      <c r="EU115" s="62">
        <f t="shared" si="286"/>
        <v>0</v>
      </c>
      <c r="EV115" s="2">
        <v>44</v>
      </c>
      <c r="EW115" s="57">
        <f t="shared" si="134"/>
        <v>0</v>
      </c>
      <c r="EX115" s="62">
        <f t="shared" si="291"/>
        <v>0</v>
      </c>
      <c r="EY115" s="2">
        <v>43</v>
      </c>
      <c r="EZ115" s="57">
        <f t="shared" si="141"/>
        <v>0</v>
      </c>
      <c r="FA115" s="62">
        <f t="shared" si="298"/>
        <v>0</v>
      </c>
      <c r="FB115" s="2">
        <v>42</v>
      </c>
      <c r="FC115" s="57">
        <f t="shared" si="142"/>
        <v>0</v>
      </c>
      <c r="FD115" s="62">
        <f t="shared" si="302"/>
        <v>0</v>
      </c>
      <c r="FE115" s="2">
        <v>41</v>
      </c>
      <c r="FF115" s="57">
        <f t="shared" si="149"/>
        <v>0</v>
      </c>
      <c r="FG115" s="62">
        <f t="shared" si="306"/>
        <v>0</v>
      </c>
      <c r="FH115" s="2">
        <v>40</v>
      </c>
      <c r="FI115" s="57">
        <f t="shared" si="150"/>
        <v>0</v>
      </c>
      <c r="FJ115" s="62">
        <f t="shared" si="310"/>
        <v>0</v>
      </c>
      <c r="FK115" s="2">
        <v>39</v>
      </c>
      <c r="FL115" s="57">
        <f t="shared" si="157"/>
        <v>0</v>
      </c>
      <c r="FM115" s="62">
        <f t="shared" si="314"/>
        <v>0</v>
      </c>
      <c r="FN115" s="2">
        <v>38</v>
      </c>
      <c r="FO115" s="57">
        <f t="shared" si="158"/>
        <v>0</v>
      </c>
      <c r="FP115" s="62">
        <f t="shared" si="318"/>
        <v>0</v>
      </c>
      <c r="FQ115" s="2">
        <v>37</v>
      </c>
      <c r="FR115" s="57">
        <f t="shared" si="165"/>
        <v>0</v>
      </c>
      <c r="FS115" s="62">
        <f t="shared" si="322"/>
        <v>0</v>
      </c>
      <c r="FT115" s="2">
        <v>36</v>
      </c>
      <c r="FU115" s="57">
        <f t="shared" si="166"/>
        <v>0</v>
      </c>
      <c r="FV115" s="62">
        <f t="shared" si="326"/>
        <v>0</v>
      </c>
      <c r="FW115" s="2">
        <v>35</v>
      </c>
      <c r="FX115" s="57">
        <f t="shared" si="170"/>
        <v>0</v>
      </c>
      <c r="FY115" s="62">
        <f t="shared" si="330"/>
        <v>0</v>
      </c>
      <c r="FZ115" s="2">
        <v>34</v>
      </c>
      <c r="GA115" s="57">
        <f t="shared" si="177"/>
        <v>0</v>
      </c>
      <c r="GB115" s="62">
        <f t="shared" si="334"/>
        <v>0</v>
      </c>
      <c r="GC115" s="2">
        <v>33</v>
      </c>
      <c r="GD115" s="57">
        <f t="shared" si="178"/>
        <v>0</v>
      </c>
      <c r="GE115" s="62">
        <f t="shared" si="338"/>
        <v>0</v>
      </c>
      <c r="GF115" s="2">
        <v>32</v>
      </c>
      <c r="GG115" s="57">
        <f t="shared" si="185"/>
        <v>0</v>
      </c>
      <c r="GH115" s="62">
        <f t="shared" ref="GH115:GH146" si="342">SUM($G$10*$G$11*GG115*(EXP(-($G$10*GF115))),$G$10*$G$11*GG115*(EXP(-($G$10*(GF115+0.1)))),$G$10*$G$11*GG115*(EXP(-($G$10*(GF115+0.2)))),$G$10*$G$11*GG115*(EXP(-($G$10*(GF115+0.3)))),$G$10*$G$11*GG115*(EXP(-($G$10*(GF115+0.4)))),$G$10*$G$11*GG115*(EXP(-($G$10*(GF115+0.5)))),$G$10*$G$11*GG115*(EXP(-($G$10*(GF115+0.6)))),$G$10*$G$11*GG115*(EXP(-($G$10*(GF115+0.7)))),$G$10*$G$11*GG115*(EXP(-($G$10*(GF115+0.8)))),$G$10*$G$11*GG115*(EXP(-($G$10*(GF115+0.9)))))/10</f>
        <v>0</v>
      </c>
      <c r="GI115" s="2">
        <v>31</v>
      </c>
      <c r="GJ115" s="57">
        <f t="shared" si="186"/>
        <v>0</v>
      </c>
      <c r="GK115" s="62">
        <f t="shared" si="187"/>
        <v>0</v>
      </c>
      <c r="GL115" s="2">
        <v>30</v>
      </c>
      <c r="GM115" s="57">
        <f t="shared" si="193"/>
        <v>0</v>
      </c>
      <c r="GN115" s="62">
        <f t="shared" si="190"/>
        <v>0</v>
      </c>
      <c r="GO115" s="2">
        <v>29</v>
      </c>
      <c r="GP115" s="57">
        <f t="shared" si="194"/>
        <v>0</v>
      </c>
      <c r="GQ115" s="62">
        <f t="shared" si="195"/>
        <v>0</v>
      </c>
      <c r="GR115" s="2">
        <v>28</v>
      </c>
      <c r="GS115" s="57">
        <f t="shared" si="204"/>
        <v>0</v>
      </c>
      <c r="GT115" s="62">
        <f t="shared" si="198"/>
        <v>0</v>
      </c>
      <c r="GU115" s="2">
        <v>27</v>
      </c>
      <c r="GV115" s="57">
        <f t="shared" si="205"/>
        <v>0</v>
      </c>
      <c r="GW115" s="62">
        <f t="shared" si="206"/>
        <v>0</v>
      </c>
      <c r="GX115" s="2">
        <v>26</v>
      </c>
      <c r="GY115" s="57">
        <f t="shared" si="217"/>
        <v>0</v>
      </c>
      <c r="GZ115" s="62">
        <f t="shared" si="211"/>
        <v>0</v>
      </c>
      <c r="HA115" s="2">
        <v>25</v>
      </c>
      <c r="HB115" s="57">
        <f t="shared" si="218"/>
        <v>0</v>
      </c>
      <c r="HC115" s="62">
        <f t="shared" si="219"/>
        <v>0</v>
      </c>
      <c r="HD115" s="2">
        <v>24</v>
      </c>
      <c r="HE115" s="57">
        <f t="shared" si="229"/>
        <v>0</v>
      </c>
      <c r="HF115" s="62">
        <f t="shared" si="224"/>
        <v>0</v>
      </c>
      <c r="HG115" s="2">
        <v>23</v>
      </c>
      <c r="HH115" s="57">
        <f t="shared" si="230"/>
        <v>0</v>
      </c>
      <c r="HI115" s="62">
        <f t="shared" si="231"/>
        <v>0</v>
      </c>
      <c r="HJ115" s="2">
        <v>22</v>
      </c>
      <c r="HK115" s="57">
        <f t="shared" si="241"/>
        <v>0</v>
      </c>
      <c r="HL115" s="62">
        <f t="shared" si="236"/>
        <v>0</v>
      </c>
      <c r="HM115" s="2">
        <v>21</v>
      </c>
      <c r="HN115" s="57">
        <f t="shared" si="247"/>
        <v>0</v>
      </c>
      <c r="HO115" s="62">
        <f t="shared" si="242"/>
        <v>0</v>
      </c>
      <c r="HP115" s="2">
        <v>20</v>
      </c>
      <c r="HQ115" s="57">
        <f t="shared" si="248"/>
        <v>0</v>
      </c>
      <c r="HR115" s="62">
        <f t="shared" si="249"/>
        <v>0</v>
      </c>
      <c r="HS115" s="2">
        <v>19</v>
      </c>
      <c r="HT115" s="57">
        <f t="shared" si="257"/>
        <v>0</v>
      </c>
      <c r="HU115" s="62">
        <f t="shared" si="253"/>
        <v>0</v>
      </c>
      <c r="HV115" s="2">
        <v>18</v>
      </c>
      <c r="HW115" s="57">
        <f t="shared" si="258"/>
        <v>0</v>
      </c>
      <c r="HX115" s="62">
        <f t="shared" si="259"/>
        <v>0</v>
      </c>
      <c r="HY115" s="2">
        <v>17</v>
      </c>
      <c r="HZ115" s="57">
        <f t="shared" si="268"/>
        <v>0</v>
      </c>
      <c r="IA115" s="62">
        <f t="shared" si="263"/>
        <v>0</v>
      </c>
      <c r="IB115" s="2">
        <v>16</v>
      </c>
      <c r="IC115" s="57">
        <f t="shared" si="274"/>
        <v>0</v>
      </c>
      <c r="ID115" s="62">
        <f t="shared" si="269"/>
        <v>0</v>
      </c>
      <c r="IE115" s="2">
        <v>15</v>
      </c>
      <c r="IF115" s="57">
        <f t="shared" si="280"/>
        <v>0</v>
      </c>
      <c r="IG115" s="62">
        <f t="shared" si="275"/>
        <v>0</v>
      </c>
      <c r="IH115" s="2">
        <v>14</v>
      </c>
      <c r="II115" s="57">
        <f t="shared" si="281"/>
        <v>0</v>
      </c>
      <c r="IJ115" s="62">
        <f t="shared" si="282"/>
        <v>0</v>
      </c>
      <c r="IK115" s="2">
        <v>13</v>
      </c>
      <c r="IL115" s="57">
        <f t="shared" si="292"/>
        <v>0</v>
      </c>
      <c r="IM115" s="62">
        <f t="shared" si="287"/>
        <v>0</v>
      </c>
      <c r="IN115" s="2">
        <v>12</v>
      </c>
      <c r="IO115" s="57">
        <f t="shared" si="293"/>
        <v>0</v>
      </c>
      <c r="IP115" s="62">
        <f t="shared" si="294"/>
        <v>0</v>
      </c>
    </row>
    <row r="116" spans="7:250">
      <c r="G116" s="284"/>
      <c r="H116" s="284"/>
      <c r="I116" s="2">
        <f t="shared" si="212"/>
        <v>2111</v>
      </c>
      <c r="J116" s="379">
        <f t="shared" si="264"/>
        <v>2839289.1903850697</v>
      </c>
      <c r="K116" s="2">
        <f t="shared" si="212"/>
        <v>92</v>
      </c>
      <c r="L116" s="57">
        <f t="shared" si="200"/>
        <v>189082</v>
      </c>
      <c r="M116" s="62">
        <f t="shared" si="201"/>
        <v>18737.767577248153</v>
      </c>
      <c r="N116" s="2">
        <f t="shared" si="270"/>
        <v>91</v>
      </c>
      <c r="O116" s="57">
        <f t="shared" si="207"/>
        <v>293489</v>
      </c>
      <c r="P116" s="62">
        <f t="shared" si="208"/>
        <v>30271.313657450246</v>
      </c>
      <c r="Q116" s="2">
        <f t="shared" si="276"/>
        <v>90</v>
      </c>
      <c r="R116" s="57">
        <f t="shared" si="213"/>
        <v>283523</v>
      </c>
      <c r="S116" s="62">
        <f t="shared" si="214"/>
        <v>30436.836713627377</v>
      </c>
      <c r="T116" s="2">
        <f t="shared" si="283"/>
        <v>89</v>
      </c>
      <c r="U116" s="57">
        <f t="shared" si="220"/>
        <v>143321</v>
      </c>
      <c r="V116" s="62">
        <f t="shared" si="221"/>
        <v>16013.742022724622</v>
      </c>
      <c r="W116" s="2">
        <f t="shared" si="288"/>
        <v>88</v>
      </c>
      <c r="X116" s="57">
        <f t="shared" si="225"/>
        <v>227851</v>
      </c>
      <c r="Y116" s="62">
        <f t="shared" si="226"/>
        <v>26497.549758759076</v>
      </c>
      <c r="Z116" s="2">
        <f t="shared" si="295"/>
        <v>87</v>
      </c>
      <c r="AA116" s="57">
        <f t="shared" si="232"/>
        <v>238727</v>
      </c>
      <c r="AB116" s="62">
        <f t="shared" si="233"/>
        <v>28895.35917006294</v>
      </c>
      <c r="AC116" s="2">
        <f t="shared" si="299"/>
        <v>86</v>
      </c>
      <c r="AD116" s="57">
        <f t="shared" si="237"/>
        <v>250122</v>
      </c>
      <c r="AE116" s="62">
        <f t="shared" si="238"/>
        <v>31510.132445974625</v>
      </c>
      <c r="AF116" s="2">
        <f t="shared" si="303"/>
        <v>85</v>
      </c>
      <c r="AG116" s="57">
        <f t="shared" si="243"/>
        <v>262060</v>
      </c>
      <c r="AH116" s="62">
        <f t="shared" si="244"/>
        <v>34361.400139822312</v>
      </c>
      <c r="AI116" s="2">
        <f t="shared" si="307"/>
        <v>84</v>
      </c>
      <c r="AJ116" s="57">
        <f t="shared" si="250"/>
        <v>274569</v>
      </c>
      <c r="AK116" s="62">
        <f t="shared" si="251"/>
        <v>37470.837198121109</v>
      </c>
      <c r="AL116" s="2">
        <f t="shared" si="311"/>
        <v>83</v>
      </c>
      <c r="AM116" s="57">
        <f t="shared" si="254"/>
        <v>287675</v>
      </c>
      <c r="AN116" s="62">
        <f t="shared" si="255"/>
        <v>40861.640216700573</v>
      </c>
      <c r="AO116" s="2">
        <f t="shared" si="315"/>
        <v>82</v>
      </c>
      <c r="AP116" s="57">
        <f t="shared" si="260"/>
        <v>301406</v>
      </c>
      <c r="AQ116" s="62">
        <f t="shared" si="261"/>
        <v>44559.196042655836</v>
      </c>
      <c r="AR116" s="2">
        <f t="shared" si="319"/>
        <v>81</v>
      </c>
      <c r="AS116" s="57">
        <f t="shared" si="265"/>
        <v>315793</v>
      </c>
      <c r="AT116" s="62">
        <f t="shared" si="266"/>
        <v>48591.435732359132</v>
      </c>
      <c r="AU116" s="2">
        <f t="shared" si="323"/>
        <v>80</v>
      </c>
      <c r="AV116" s="57">
        <f t="shared" si="271"/>
        <v>330866</v>
      </c>
      <c r="AW116" s="62">
        <f t="shared" si="272"/>
        <v>52988.442291726111</v>
      </c>
      <c r="AX116" s="2">
        <f t="shared" si="327"/>
        <v>79</v>
      </c>
      <c r="AY116" s="57">
        <f t="shared" si="277"/>
        <v>346659</v>
      </c>
      <c r="AZ116" s="62">
        <f t="shared" si="278"/>
        <v>57783.423741573446</v>
      </c>
      <c r="BA116" s="2">
        <f t="shared" si="331"/>
        <v>78</v>
      </c>
      <c r="BB116" s="57">
        <f t="shared" si="284"/>
        <v>363206</v>
      </c>
      <c r="BC116" s="62">
        <f t="shared" si="285"/>
        <v>63012.336623723175</v>
      </c>
      <c r="BD116" s="2">
        <f t="shared" si="335"/>
        <v>77</v>
      </c>
      <c r="BE116" s="57">
        <f t="shared" si="289"/>
        <v>380542</v>
      </c>
      <c r="BF116" s="62">
        <f t="shared" si="290"/>
        <v>68714.271385186759</v>
      </c>
      <c r="BG116" s="2">
        <f t="shared" si="339"/>
        <v>76</v>
      </c>
      <c r="BH116" s="57">
        <f t="shared" si="296"/>
        <v>398706</v>
      </c>
      <c r="BI116" s="62">
        <f t="shared" si="297"/>
        <v>74932.271839951427</v>
      </c>
      <c r="BJ116" s="2">
        <f t="shared" ref="BJ116:BJ123" si="343">IF(BJ115="","",(BJ115+1))</f>
        <v>75</v>
      </c>
      <c r="BK116" s="57">
        <f t="shared" si="300"/>
        <v>417737</v>
      </c>
      <c r="BL116" s="62">
        <f t="shared" si="301"/>
        <v>81712.942817023737</v>
      </c>
      <c r="BM116" s="2">
        <v>74</v>
      </c>
      <c r="BN116" s="57">
        <f t="shared" si="304"/>
        <v>437677</v>
      </c>
      <c r="BO116" s="62">
        <f t="shared" si="305"/>
        <v>89107.326206860482</v>
      </c>
      <c r="BP116" s="2">
        <v>73</v>
      </c>
      <c r="BQ116" s="57">
        <f t="shared" si="308"/>
        <v>458568</v>
      </c>
      <c r="BR116" s="62">
        <f t="shared" si="309"/>
        <v>97170.673272375745</v>
      </c>
      <c r="BS116" s="2">
        <v>72</v>
      </c>
      <c r="BT116" s="57">
        <f t="shared" si="312"/>
        <v>480456</v>
      </c>
      <c r="BU116" s="62">
        <f t="shared" si="313"/>
        <v>105963.63965762344</v>
      </c>
      <c r="BV116" s="2">
        <v>71</v>
      </c>
      <c r="BW116" s="57">
        <f t="shared" si="316"/>
        <v>503389</v>
      </c>
      <c r="BX116" s="62">
        <f t="shared" si="317"/>
        <v>115552.3404384319</v>
      </c>
      <c r="BY116" s="2">
        <v>70</v>
      </c>
      <c r="BZ116" s="57">
        <f t="shared" si="320"/>
        <v>527417</v>
      </c>
      <c r="CA116" s="62">
        <f t="shared" si="321"/>
        <v>126008.81530339965</v>
      </c>
      <c r="CB116" s="2">
        <v>69</v>
      </c>
      <c r="CC116" s="57">
        <f t="shared" si="324"/>
        <v>552592</v>
      </c>
      <c r="CD116" s="62">
        <f t="shared" si="325"/>
        <v>137411.53051603583</v>
      </c>
      <c r="CE116" s="2">
        <v>68</v>
      </c>
      <c r="CF116" s="57">
        <f t="shared" si="328"/>
        <v>578968</v>
      </c>
      <c r="CG116" s="62">
        <f t="shared" si="329"/>
        <v>149845.92036099071</v>
      </c>
      <c r="CH116" s="2">
        <v>67</v>
      </c>
      <c r="CI116" s="57">
        <f t="shared" si="332"/>
        <v>606603</v>
      </c>
      <c r="CJ116" s="62">
        <f t="shared" si="333"/>
        <v>163405.50971962634</v>
      </c>
      <c r="CK116" s="2">
        <v>66</v>
      </c>
      <c r="CL116" s="57">
        <f t="shared" si="336"/>
        <v>635558</v>
      </c>
      <c r="CM116" s="62">
        <f t="shared" si="337"/>
        <v>178192.37291427181</v>
      </c>
      <c r="CN116" s="2">
        <v>65</v>
      </c>
      <c r="CO116" s="57">
        <f t="shared" si="340"/>
        <v>665894</v>
      </c>
      <c r="CP116" s="62">
        <f t="shared" si="341"/>
        <v>194317.00249162491</v>
      </c>
      <c r="CQ116" s="2">
        <v>64</v>
      </c>
      <c r="CR116" s="57">
        <f t="shared" ref="CR116:CR163" si="344">$E$51</f>
        <v>697679</v>
      </c>
      <c r="CS116" s="62">
        <f t="shared" ref="CS116:CS147" si="345">SUM($G$10*$G$11*CR116*(EXP(-($G$10*CQ116))),$G$10*$G$11*CR116*(EXP(-($G$10*(CQ116+0.1)))),$G$10*$G$11*CR116*(EXP(-($G$10*(CQ116+0.2)))),$G$10*$G$11*CR116*(EXP(-($G$10*(CQ116+0.3)))),$G$10*$G$11*CR116*(EXP(-($G$10*(CQ116+0.4)))),$G$10*$G$11*CR116*(EXP(-($G$10*(CQ116+0.5)))),$G$10*$G$11*CR116*(EXP(-($G$10*(CQ116+0.6)))),$G$10*$G$11*CR116*(EXP(-($G$10*(CQ116+0.7)))),$G$10*$G$11*CR116*(EXP(-($G$10*(CQ116+0.8)))),$G$10*$G$11*CR116*(EXP(-($G$10*(CQ116+0.9)))))/10</f>
        <v>211901.060891172</v>
      </c>
      <c r="CT116" s="2">
        <v>63</v>
      </c>
      <c r="CU116" s="57">
        <f t="shared" si="188"/>
        <v>730980</v>
      </c>
      <c r="CV116" s="62">
        <f t="shared" si="189"/>
        <v>231075.95357331066</v>
      </c>
      <c r="CW116" s="2">
        <v>62</v>
      </c>
      <c r="CX116" s="57">
        <f t="shared" si="191"/>
        <v>765871</v>
      </c>
      <c r="CY116" s="62">
        <f t="shared" si="192"/>
        <v>251986.1456646556</v>
      </c>
      <c r="CZ116" s="2">
        <v>61</v>
      </c>
      <c r="DA116" s="57">
        <f t="shared" si="196"/>
        <v>0</v>
      </c>
      <c r="DB116" s="62">
        <f t="shared" si="197"/>
        <v>0</v>
      </c>
      <c r="DC116" s="2">
        <v>60</v>
      </c>
      <c r="DD116" s="57">
        <f t="shared" si="202"/>
        <v>0</v>
      </c>
      <c r="DE116" s="62">
        <f t="shared" si="203"/>
        <v>0</v>
      </c>
      <c r="DF116" s="2">
        <v>59</v>
      </c>
      <c r="DG116" s="57">
        <f t="shared" si="209"/>
        <v>0</v>
      </c>
      <c r="DH116" s="62">
        <f t="shared" si="210"/>
        <v>0</v>
      </c>
      <c r="DI116" s="2">
        <v>58</v>
      </c>
      <c r="DJ116" s="57">
        <f t="shared" si="215"/>
        <v>0</v>
      </c>
      <c r="DK116" s="62">
        <f t="shared" si="216"/>
        <v>0</v>
      </c>
      <c r="DL116" s="2">
        <v>57</v>
      </c>
      <c r="DM116" s="57">
        <f t="shared" si="222"/>
        <v>0</v>
      </c>
      <c r="DN116" s="62">
        <f t="shared" si="223"/>
        <v>0</v>
      </c>
      <c r="DO116" s="2">
        <v>56</v>
      </c>
      <c r="DP116" s="57">
        <f t="shared" si="227"/>
        <v>0</v>
      </c>
      <c r="DQ116" s="62">
        <f t="shared" si="228"/>
        <v>0</v>
      </c>
      <c r="DR116" s="2">
        <v>55</v>
      </c>
      <c r="DS116" s="57">
        <f t="shared" si="234"/>
        <v>0</v>
      </c>
      <c r="DT116" s="62">
        <f t="shared" si="235"/>
        <v>0</v>
      </c>
      <c r="DU116" s="2">
        <v>54</v>
      </c>
      <c r="DV116" s="57">
        <f t="shared" si="239"/>
        <v>0</v>
      </c>
      <c r="DW116" s="62">
        <f t="shared" si="240"/>
        <v>0</v>
      </c>
      <c r="DX116" s="2">
        <v>53</v>
      </c>
      <c r="DY116" s="57">
        <f t="shared" si="245"/>
        <v>0</v>
      </c>
      <c r="DZ116" s="62">
        <f t="shared" si="246"/>
        <v>0</v>
      </c>
      <c r="EA116" s="2">
        <v>52</v>
      </c>
      <c r="EB116" s="57">
        <f t="shared" si="109"/>
        <v>0</v>
      </c>
      <c r="EC116" s="62">
        <f t="shared" si="252"/>
        <v>0</v>
      </c>
      <c r="ED116" s="2">
        <v>51</v>
      </c>
      <c r="EE116" s="57">
        <f t="shared" si="113"/>
        <v>0</v>
      </c>
      <c r="EF116" s="62">
        <f t="shared" si="256"/>
        <v>0</v>
      </c>
      <c r="EG116" s="2">
        <v>50</v>
      </c>
      <c r="EH116" s="57">
        <f t="shared" si="117"/>
        <v>0</v>
      </c>
      <c r="EI116" s="62">
        <f t="shared" si="262"/>
        <v>0</v>
      </c>
      <c r="EJ116" s="2">
        <v>49</v>
      </c>
      <c r="EK116" s="57">
        <f t="shared" si="121"/>
        <v>0</v>
      </c>
      <c r="EL116" s="62">
        <f t="shared" si="267"/>
        <v>0</v>
      </c>
      <c r="EM116" s="63">
        <v>48</v>
      </c>
      <c r="EN116" s="57">
        <f t="shared" si="125"/>
        <v>0</v>
      </c>
      <c r="EO116" s="62">
        <f t="shared" si="273"/>
        <v>0</v>
      </c>
      <c r="EP116" s="63">
        <v>47</v>
      </c>
      <c r="EQ116" s="57">
        <f t="shared" si="129"/>
        <v>0</v>
      </c>
      <c r="ER116" s="62">
        <f t="shared" si="279"/>
        <v>0</v>
      </c>
      <c r="ES116" s="63">
        <v>46</v>
      </c>
      <c r="ET116" s="57">
        <f t="shared" si="130"/>
        <v>0</v>
      </c>
      <c r="EU116" s="62">
        <f t="shared" si="286"/>
        <v>0</v>
      </c>
      <c r="EV116" s="2">
        <v>45</v>
      </c>
      <c r="EW116" s="57">
        <f t="shared" si="134"/>
        <v>0</v>
      </c>
      <c r="EX116" s="62">
        <f t="shared" si="291"/>
        <v>0</v>
      </c>
      <c r="EY116" s="2">
        <v>44</v>
      </c>
      <c r="EZ116" s="57">
        <f t="shared" si="141"/>
        <v>0</v>
      </c>
      <c r="FA116" s="62">
        <f t="shared" si="298"/>
        <v>0</v>
      </c>
      <c r="FB116" s="2">
        <v>43</v>
      </c>
      <c r="FC116" s="57">
        <f t="shared" si="142"/>
        <v>0</v>
      </c>
      <c r="FD116" s="62">
        <f t="shared" si="302"/>
        <v>0</v>
      </c>
      <c r="FE116" s="2">
        <v>42</v>
      </c>
      <c r="FF116" s="57">
        <f t="shared" si="149"/>
        <v>0</v>
      </c>
      <c r="FG116" s="62">
        <f t="shared" si="306"/>
        <v>0</v>
      </c>
      <c r="FH116" s="2">
        <v>41</v>
      </c>
      <c r="FI116" s="57">
        <f t="shared" si="150"/>
        <v>0</v>
      </c>
      <c r="FJ116" s="62">
        <f t="shared" si="310"/>
        <v>0</v>
      </c>
      <c r="FK116" s="2">
        <v>40</v>
      </c>
      <c r="FL116" s="57">
        <f t="shared" si="157"/>
        <v>0</v>
      </c>
      <c r="FM116" s="62">
        <f t="shared" si="314"/>
        <v>0</v>
      </c>
      <c r="FN116" s="2">
        <v>39</v>
      </c>
      <c r="FO116" s="57">
        <f t="shared" si="158"/>
        <v>0</v>
      </c>
      <c r="FP116" s="62">
        <f t="shared" si="318"/>
        <v>0</v>
      </c>
      <c r="FQ116" s="2">
        <v>38</v>
      </c>
      <c r="FR116" s="57">
        <f t="shared" si="165"/>
        <v>0</v>
      </c>
      <c r="FS116" s="62">
        <f t="shared" si="322"/>
        <v>0</v>
      </c>
      <c r="FT116" s="2">
        <v>37</v>
      </c>
      <c r="FU116" s="57">
        <f t="shared" si="166"/>
        <v>0</v>
      </c>
      <c r="FV116" s="62">
        <f t="shared" si="326"/>
        <v>0</v>
      </c>
      <c r="FW116" s="2">
        <v>36</v>
      </c>
      <c r="FX116" s="57">
        <f t="shared" si="170"/>
        <v>0</v>
      </c>
      <c r="FY116" s="62">
        <f t="shared" si="330"/>
        <v>0</v>
      </c>
      <c r="FZ116" s="2">
        <v>35</v>
      </c>
      <c r="GA116" s="57">
        <f t="shared" si="177"/>
        <v>0</v>
      </c>
      <c r="GB116" s="62">
        <f t="shared" si="334"/>
        <v>0</v>
      </c>
      <c r="GC116" s="2">
        <v>34</v>
      </c>
      <c r="GD116" s="57">
        <f t="shared" si="178"/>
        <v>0</v>
      </c>
      <c r="GE116" s="62">
        <f t="shared" si="338"/>
        <v>0</v>
      </c>
      <c r="GF116" s="2">
        <v>33</v>
      </c>
      <c r="GG116" s="57">
        <f t="shared" si="185"/>
        <v>0</v>
      </c>
      <c r="GH116" s="62">
        <f t="shared" si="342"/>
        <v>0</v>
      </c>
      <c r="GI116" s="2">
        <v>32</v>
      </c>
      <c r="GJ116" s="57">
        <f t="shared" si="186"/>
        <v>0</v>
      </c>
      <c r="GK116" s="62">
        <f t="shared" ref="GK116:GK147" si="346">SUM($G$10*$G$11*GJ116*(EXP(-($G$10*GI116))),$G$10*$G$11*GJ116*(EXP(-($G$10*(GI116+0.1)))),$G$10*$G$11*GJ116*(EXP(-($G$10*(GI116+0.2)))),$G$10*$G$11*GJ116*(EXP(-($G$10*(GI116+0.3)))),$G$10*$G$11*GJ116*(EXP(-($G$10*(GI116+0.4)))),$G$10*$G$11*GJ116*(EXP(-($G$10*(GI116+0.5)))),$G$10*$G$11*GJ116*(EXP(-($G$10*(GI116+0.6)))),$G$10*$G$11*GJ116*(EXP(-($G$10*(GI116+0.7)))),$G$10*$G$11*GJ116*(EXP(-($G$10*(GI116+0.8)))),$G$10*$G$11*GJ116*(EXP(-($G$10*(GI116+0.9)))))/10</f>
        <v>0</v>
      </c>
      <c r="GL116" s="2">
        <v>31</v>
      </c>
      <c r="GM116" s="57">
        <f t="shared" si="193"/>
        <v>0</v>
      </c>
      <c r="GN116" s="62">
        <f t="shared" si="190"/>
        <v>0</v>
      </c>
      <c r="GO116" s="2">
        <v>30</v>
      </c>
      <c r="GP116" s="57">
        <f t="shared" si="194"/>
        <v>0</v>
      </c>
      <c r="GQ116" s="62">
        <f t="shared" si="195"/>
        <v>0</v>
      </c>
      <c r="GR116" s="2">
        <v>29</v>
      </c>
      <c r="GS116" s="57">
        <f t="shared" si="204"/>
        <v>0</v>
      </c>
      <c r="GT116" s="62">
        <f t="shared" si="198"/>
        <v>0</v>
      </c>
      <c r="GU116" s="2">
        <v>28</v>
      </c>
      <c r="GV116" s="57">
        <f t="shared" si="205"/>
        <v>0</v>
      </c>
      <c r="GW116" s="62">
        <f t="shared" si="206"/>
        <v>0</v>
      </c>
      <c r="GX116" s="2">
        <v>27</v>
      </c>
      <c r="GY116" s="57">
        <f t="shared" si="217"/>
        <v>0</v>
      </c>
      <c r="GZ116" s="62">
        <f t="shared" si="211"/>
        <v>0</v>
      </c>
      <c r="HA116" s="2">
        <v>26</v>
      </c>
      <c r="HB116" s="57">
        <f t="shared" si="218"/>
        <v>0</v>
      </c>
      <c r="HC116" s="62">
        <f t="shared" si="219"/>
        <v>0</v>
      </c>
      <c r="HD116" s="2">
        <v>25</v>
      </c>
      <c r="HE116" s="57">
        <f t="shared" si="229"/>
        <v>0</v>
      </c>
      <c r="HF116" s="62">
        <f t="shared" si="224"/>
        <v>0</v>
      </c>
      <c r="HG116" s="2">
        <v>24</v>
      </c>
      <c r="HH116" s="57">
        <f t="shared" si="230"/>
        <v>0</v>
      </c>
      <c r="HI116" s="62">
        <f t="shared" si="231"/>
        <v>0</v>
      </c>
      <c r="HJ116" s="2">
        <v>23</v>
      </c>
      <c r="HK116" s="57">
        <f t="shared" si="241"/>
        <v>0</v>
      </c>
      <c r="HL116" s="62">
        <f t="shared" si="236"/>
        <v>0</v>
      </c>
      <c r="HM116" s="2">
        <v>22</v>
      </c>
      <c r="HN116" s="57">
        <f t="shared" si="247"/>
        <v>0</v>
      </c>
      <c r="HO116" s="62">
        <f t="shared" si="242"/>
        <v>0</v>
      </c>
      <c r="HP116" s="2">
        <v>21</v>
      </c>
      <c r="HQ116" s="57">
        <f t="shared" si="248"/>
        <v>0</v>
      </c>
      <c r="HR116" s="62">
        <f t="shared" si="249"/>
        <v>0</v>
      </c>
      <c r="HS116" s="2">
        <v>20</v>
      </c>
      <c r="HT116" s="57">
        <f t="shared" si="257"/>
        <v>0</v>
      </c>
      <c r="HU116" s="62">
        <f t="shared" si="253"/>
        <v>0</v>
      </c>
      <c r="HV116" s="2">
        <v>19</v>
      </c>
      <c r="HW116" s="57">
        <f t="shared" si="258"/>
        <v>0</v>
      </c>
      <c r="HX116" s="62">
        <f t="shared" si="259"/>
        <v>0</v>
      </c>
      <c r="HY116" s="2">
        <v>18</v>
      </c>
      <c r="HZ116" s="57">
        <f t="shared" si="268"/>
        <v>0</v>
      </c>
      <c r="IA116" s="62">
        <f t="shared" si="263"/>
        <v>0</v>
      </c>
      <c r="IB116" s="2">
        <v>17</v>
      </c>
      <c r="IC116" s="57">
        <f t="shared" si="274"/>
        <v>0</v>
      </c>
      <c r="ID116" s="62">
        <f t="shared" si="269"/>
        <v>0</v>
      </c>
      <c r="IE116" s="2">
        <v>16</v>
      </c>
      <c r="IF116" s="57">
        <f t="shared" si="280"/>
        <v>0</v>
      </c>
      <c r="IG116" s="62">
        <f t="shared" si="275"/>
        <v>0</v>
      </c>
      <c r="IH116" s="2">
        <v>15</v>
      </c>
      <c r="II116" s="57">
        <f t="shared" si="281"/>
        <v>0</v>
      </c>
      <c r="IJ116" s="62">
        <f t="shared" si="282"/>
        <v>0</v>
      </c>
      <c r="IK116" s="2">
        <v>14</v>
      </c>
      <c r="IL116" s="57">
        <f t="shared" si="292"/>
        <v>0</v>
      </c>
      <c r="IM116" s="62">
        <f t="shared" si="287"/>
        <v>0</v>
      </c>
      <c r="IN116" s="2">
        <v>13</v>
      </c>
      <c r="IO116" s="57">
        <f t="shared" si="293"/>
        <v>0</v>
      </c>
      <c r="IP116" s="62">
        <f t="shared" si="294"/>
        <v>0</v>
      </c>
    </row>
    <row r="117" spans="7:250">
      <c r="G117" s="284"/>
      <c r="H117" s="284"/>
      <c r="I117" s="2">
        <f t="shared" si="212"/>
        <v>2112</v>
      </c>
      <c r="J117" s="379">
        <f t="shared" si="264"/>
        <v>2727959.0688213245</v>
      </c>
      <c r="K117" s="2">
        <f t="shared" si="212"/>
        <v>93</v>
      </c>
      <c r="L117" s="57">
        <f t="shared" si="200"/>
        <v>189082</v>
      </c>
      <c r="M117" s="62">
        <f t="shared" si="201"/>
        <v>18003.049201510843</v>
      </c>
      <c r="N117" s="2">
        <f t="shared" si="270"/>
        <v>92</v>
      </c>
      <c r="O117" s="57">
        <f t="shared" si="207"/>
        <v>293489</v>
      </c>
      <c r="P117" s="62">
        <f t="shared" si="208"/>
        <v>29084.35847134568</v>
      </c>
      <c r="Q117" s="2">
        <f t="shared" si="276"/>
        <v>91</v>
      </c>
      <c r="R117" s="57">
        <f t="shared" si="213"/>
        <v>283523</v>
      </c>
      <c r="S117" s="62">
        <f t="shared" si="214"/>
        <v>29243.391275656886</v>
      </c>
      <c r="T117" s="2">
        <f t="shared" si="283"/>
        <v>90</v>
      </c>
      <c r="U117" s="57">
        <f t="shared" si="220"/>
        <v>143321</v>
      </c>
      <c r="V117" s="62">
        <f t="shared" si="221"/>
        <v>15385.83421674358</v>
      </c>
      <c r="W117" s="2">
        <f t="shared" si="288"/>
        <v>89</v>
      </c>
      <c r="X117" s="57">
        <f t="shared" si="225"/>
        <v>227851</v>
      </c>
      <c r="Y117" s="62">
        <f t="shared" si="226"/>
        <v>25458.565971628916</v>
      </c>
      <c r="Z117" s="2">
        <f t="shared" si="295"/>
        <v>88</v>
      </c>
      <c r="AA117" s="57">
        <f t="shared" si="232"/>
        <v>238727</v>
      </c>
      <c r="AB117" s="62">
        <f t="shared" si="233"/>
        <v>27762.355931109709</v>
      </c>
      <c r="AC117" s="2">
        <f t="shared" si="299"/>
        <v>87</v>
      </c>
      <c r="AD117" s="57">
        <f t="shared" si="237"/>
        <v>250122</v>
      </c>
      <c r="AE117" s="62">
        <f t="shared" si="238"/>
        <v>30274.602480383379</v>
      </c>
      <c r="AF117" s="2">
        <f t="shared" si="303"/>
        <v>86</v>
      </c>
      <c r="AG117" s="57">
        <f t="shared" si="243"/>
        <v>262060</v>
      </c>
      <c r="AH117" s="62">
        <f t="shared" si="244"/>
        <v>33014.070368828448</v>
      </c>
      <c r="AI117" s="2">
        <f t="shared" si="307"/>
        <v>85</v>
      </c>
      <c r="AJ117" s="57">
        <f t="shared" si="250"/>
        <v>274569</v>
      </c>
      <c r="AK117" s="62">
        <f t="shared" si="251"/>
        <v>36001.584656150779</v>
      </c>
      <c r="AL117" s="2">
        <f t="shared" si="311"/>
        <v>84</v>
      </c>
      <c r="AM117" s="57">
        <f t="shared" si="254"/>
        <v>287675</v>
      </c>
      <c r="AN117" s="62">
        <f t="shared" si="255"/>
        <v>39259.432386647757</v>
      </c>
      <c r="AO117" s="2">
        <f t="shared" si="315"/>
        <v>83</v>
      </c>
      <c r="AP117" s="57">
        <f t="shared" si="260"/>
        <v>301406</v>
      </c>
      <c r="AQ117" s="62">
        <f t="shared" si="261"/>
        <v>42812.00497490172</v>
      </c>
      <c r="AR117" s="2">
        <f t="shared" si="319"/>
        <v>82</v>
      </c>
      <c r="AS117" s="57">
        <f t="shared" si="265"/>
        <v>315793</v>
      </c>
      <c r="AT117" s="62">
        <f t="shared" si="266"/>
        <v>46686.138284899484</v>
      </c>
      <c r="AU117" s="2">
        <f t="shared" si="323"/>
        <v>81</v>
      </c>
      <c r="AV117" s="57">
        <f t="shared" si="271"/>
        <v>330866</v>
      </c>
      <c r="AW117" s="62">
        <f t="shared" si="272"/>
        <v>50910.735751022781</v>
      </c>
      <c r="AX117" s="2">
        <f t="shared" si="327"/>
        <v>80</v>
      </c>
      <c r="AY117" s="57">
        <f t="shared" si="277"/>
        <v>346659</v>
      </c>
      <c r="AZ117" s="62">
        <f t="shared" si="278"/>
        <v>55517.703288967408</v>
      </c>
      <c r="BA117" s="2">
        <f t="shared" si="331"/>
        <v>79</v>
      </c>
      <c r="BB117" s="57">
        <f t="shared" si="284"/>
        <v>363206</v>
      </c>
      <c r="BC117" s="62">
        <f t="shared" si="285"/>
        <v>60541.587564384376</v>
      </c>
      <c r="BD117" s="2">
        <f t="shared" si="335"/>
        <v>78</v>
      </c>
      <c r="BE117" s="57">
        <f t="shared" si="289"/>
        <v>380542</v>
      </c>
      <c r="BF117" s="62">
        <f t="shared" si="290"/>
        <v>66019.946265934108</v>
      </c>
      <c r="BG117" s="2">
        <f t="shared" si="339"/>
        <v>77</v>
      </c>
      <c r="BH117" s="57">
        <f t="shared" si="296"/>
        <v>398706</v>
      </c>
      <c r="BI117" s="62">
        <f t="shared" si="297"/>
        <v>71994.135435516349</v>
      </c>
      <c r="BJ117" s="2">
        <f t="shared" si="343"/>
        <v>76</v>
      </c>
      <c r="BK117" s="57">
        <f t="shared" si="300"/>
        <v>417737</v>
      </c>
      <c r="BL117" s="62">
        <f t="shared" si="301"/>
        <v>78508.932500654104</v>
      </c>
      <c r="BM117" s="2">
        <f t="shared" ref="BM117:BM123" si="347">IF(BM116="","",(BM116+1))</f>
        <v>75</v>
      </c>
      <c r="BN117" s="57">
        <f t="shared" si="304"/>
        <v>437677</v>
      </c>
      <c r="BO117" s="62">
        <f t="shared" si="305"/>
        <v>85613.377970652582</v>
      </c>
      <c r="BP117" s="2">
        <v>74</v>
      </c>
      <c r="BQ117" s="57">
        <f t="shared" si="308"/>
        <v>458568</v>
      </c>
      <c r="BR117" s="62">
        <f t="shared" si="309"/>
        <v>93360.556675419532</v>
      </c>
      <c r="BS117" s="2">
        <v>73</v>
      </c>
      <c r="BT117" s="57">
        <f t="shared" si="312"/>
        <v>480456</v>
      </c>
      <c r="BU117" s="62">
        <f t="shared" si="313"/>
        <v>101808.74591718688</v>
      </c>
      <c r="BV117" s="2">
        <v>72</v>
      </c>
      <c r="BW117" s="57">
        <f t="shared" si="316"/>
        <v>503389</v>
      </c>
      <c r="BX117" s="62">
        <f t="shared" si="317"/>
        <v>111021.46836257931</v>
      </c>
      <c r="BY117" s="2">
        <v>71</v>
      </c>
      <c r="BZ117" s="57">
        <f t="shared" si="320"/>
        <v>527417</v>
      </c>
      <c r="CA117" s="62">
        <f t="shared" si="321"/>
        <v>121067.93898360203</v>
      </c>
      <c r="CB117" s="2">
        <v>70</v>
      </c>
      <c r="CC117" s="57">
        <f t="shared" si="324"/>
        <v>552592</v>
      </c>
      <c r="CD117" s="62">
        <f t="shared" si="325"/>
        <v>132023.54733756441</v>
      </c>
      <c r="CE117" s="2">
        <v>69</v>
      </c>
      <c r="CF117" s="57">
        <f t="shared" si="328"/>
        <v>578968</v>
      </c>
      <c r="CG117" s="62">
        <f t="shared" si="329"/>
        <v>143970.37778289994</v>
      </c>
      <c r="CH117" s="2">
        <v>68</v>
      </c>
      <c r="CI117" s="57">
        <f t="shared" si="332"/>
        <v>606603</v>
      </c>
      <c r="CJ117" s="62">
        <f t="shared" si="333"/>
        <v>156998.28803791926</v>
      </c>
      <c r="CK117" s="2">
        <v>67</v>
      </c>
      <c r="CL117" s="57">
        <f t="shared" si="336"/>
        <v>635558</v>
      </c>
      <c r="CM117" s="62">
        <f t="shared" si="337"/>
        <v>171205.35003352482</v>
      </c>
      <c r="CN117" s="2">
        <v>66</v>
      </c>
      <c r="CO117" s="57">
        <f t="shared" si="340"/>
        <v>665894</v>
      </c>
      <c r="CP117" s="62">
        <f t="shared" si="341"/>
        <v>186697.72384168886</v>
      </c>
      <c r="CQ117" s="2">
        <v>65</v>
      </c>
      <c r="CR117" s="57">
        <f t="shared" si="344"/>
        <v>697679</v>
      </c>
      <c r="CS117" s="62">
        <f t="shared" si="345"/>
        <v>203592.3014494114</v>
      </c>
      <c r="CT117" s="2">
        <v>64</v>
      </c>
      <c r="CU117" s="57">
        <f t="shared" ref="CU117:CU163" si="348">$E$52</f>
        <v>730980</v>
      </c>
      <c r="CV117" s="62">
        <f t="shared" ref="CV117:CV148" si="349">SUM($G$10*$G$11*CU117*(EXP(-($G$10*CT117))),$G$10*$G$11*CU117*(EXP(-($G$10*(CT117+0.1)))),$G$10*$G$11*CU117*(EXP(-($G$10*(CT117+0.2)))),$G$10*$G$11*CU117*(EXP(-($G$10*(CT117+0.3)))),$G$10*$G$11*CU117*(EXP(-($G$10*(CT117+0.4)))),$G$10*$G$11*CU117*(EXP(-($G$10*(CT117+0.5)))),$G$10*$G$11*CU117*(EXP(-($G$10*(CT117+0.6)))),$G$10*$G$11*CU117*(EXP(-($G$10*(CT117+0.7)))),$G$10*$G$11*CU117*(EXP(-($G$10*(CT117+0.8)))),$G$10*$G$11*CU117*(EXP(-($G$10*(CT117+0.9)))))/10</f>
        <v>222015.33583528944</v>
      </c>
      <c r="CW117" s="2">
        <v>63</v>
      </c>
      <c r="CX117" s="57">
        <f t="shared" si="191"/>
        <v>765871</v>
      </c>
      <c r="CY117" s="62">
        <f t="shared" si="192"/>
        <v>242105.62756730005</v>
      </c>
      <c r="CZ117" s="2">
        <v>62</v>
      </c>
      <c r="DA117" s="57">
        <f t="shared" si="196"/>
        <v>0</v>
      </c>
      <c r="DB117" s="62">
        <f t="shared" si="197"/>
        <v>0</v>
      </c>
      <c r="DC117" s="2">
        <v>61</v>
      </c>
      <c r="DD117" s="57">
        <f t="shared" si="202"/>
        <v>0</v>
      </c>
      <c r="DE117" s="62">
        <f t="shared" si="203"/>
        <v>0</v>
      </c>
      <c r="DF117" s="2">
        <v>60</v>
      </c>
      <c r="DG117" s="57">
        <f t="shared" si="209"/>
        <v>0</v>
      </c>
      <c r="DH117" s="62">
        <f t="shared" si="210"/>
        <v>0</v>
      </c>
      <c r="DI117" s="2">
        <v>59</v>
      </c>
      <c r="DJ117" s="57">
        <f t="shared" si="215"/>
        <v>0</v>
      </c>
      <c r="DK117" s="62">
        <f t="shared" si="216"/>
        <v>0</v>
      </c>
      <c r="DL117" s="2">
        <v>58</v>
      </c>
      <c r="DM117" s="57">
        <f t="shared" si="222"/>
        <v>0</v>
      </c>
      <c r="DN117" s="62">
        <f t="shared" si="223"/>
        <v>0</v>
      </c>
      <c r="DO117" s="2">
        <v>57</v>
      </c>
      <c r="DP117" s="57">
        <f t="shared" si="227"/>
        <v>0</v>
      </c>
      <c r="DQ117" s="62">
        <f t="shared" si="228"/>
        <v>0</v>
      </c>
      <c r="DR117" s="2">
        <v>56</v>
      </c>
      <c r="DS117" s="57">
        <f t="shared" si="234"/>
        <v>0</v>
      </c>
      <c r="DT117" s="62">
        <f t="shared" si="235"/>
        <v>0</v>
      </c>
      <c r="DU117" s="2">
        <v>55</v>
      </c>
      <c r="DV117" s="57">
        <f t="shared" si="239"/>
        <v>0</v>
      </c>
      <c r="DW117" s="62">
        <f t="shared" si="240"/>
        <v>0</v>
      </c>
      <c r="DX117" s="2">
        <v>54</v>
      </c>
      <c r="DY117" s="57">
        <f t="shared" si="245"/>
        <v>0</v>
      </c>
      <c r="DZ117" s="62">
        <f t="shared" si="246"/>
        <v>0</v>
      </c>
      <c r="EA117" s="2">
        <v>53</v>
      </c>
      <c r="EB117" s="57">
        <f t="shared" si="109"/>
        <v>0</v>
      </c>
      <c r="EC117" s="62">
        <f t="shared" si="252"/>
        <v>0</v>
      </c>
      <c r="ED117" s="2">
        <v>52</v>
      </c>
      <c r="EE117" s="57">
        <f t="shared" si="113"/>
        <v>0</v>
      </c>
      <c r="EF117" s="62">
        <f t="shared" si="256"/>
        <v>0</v>
      </c>
      <c r="EG117" s="2">
        <v>51</v>
      </c>
      <c r="EH117" s="57">
        <f t="shared" si="117"/>
        <v>0</v>
      </c>
      <c r="EI117" s="62">
        <f t="shared" si="262"/>
        <v>0</v>
      </c>
      <c r="EJ117" s="2">
        <v>50</v>
      </c>
      <c r="EK117" s="57">
        <f t="shared" si="121"/>
        <v>0</v>
      </c>
      <c r="EL117" s="62">
        <f t="shared" si="267"/>
        <v>0</v>
      </c>
      <c r="EM117" s="2">
        <v>49</v>
      </c>
      <c r="EN117" s="57">
        <f t="shared" si="125"/>
        <v>0</v>
      </c>
      <c r="EO117" s="62">
        <f t="shared" si="273"/>
        <v>0</v>
      </c>
      <c r="EP117" s="63">
        <v>48</v>
      </c>
      <c r="EQ117" s="57">
        <f t="shared" si="129"/>
        <v>0</v>
      </c>
      <c r="ER117" s="62">
        <f t="shared" si="279"/>
        <v>0</v>
      </c>
      <c r="ES117" s="63">
        <v>47</v>
      </c>
      <c r="ET117" s="57">
        <f t="shared" si="130"/>
        <v>0</v>
      </c>
      <c r="EU117" s="62">
        <f t="shared" si="286"/>
        <v>0</v>
      </c>
      <c r="EV117" s="63">
        <v>46</v>
      </c>
      <c r="EW117" s="57">
        <f t="shared" si="134"/>
        <v>0</v>
      </c>
      <c r="EX117" s="62">
        <f t="shared" si="291"/>
        <v>0</v>
      </c>
      <c r="EY117" s="2">
        <v>45</v>
      </c>
      <c r="EZ117" s="57">
        <f t="shared" si="141"/>
        <v>0</v>
      </c>
      <c r="FA117" s="62">
        <f t="shared" si="298"/>
        <v>0</v>
      </c>
      <c r="FB117" s="2">
        <v>44</v>
      </c>
      <c r="FC117" s="57">
        <f t="shared" si="142"/>
        <v>0</v>
      </c>
      <c r="FD117" s="62">
        <f t="shared" si="302"/>
        <v>0</v>
      </c>
      <c r="FE117" s="2">
        <v>43</v>
      </c>
      <c r="FF117" s="57">
        <f t="shared" si="149"/>
        <v>0</v>
      </c>
      <c r="FG117" s="62">
        <f t="shared" si="306"/>
        <v>0</v>
      </c>
      <c r="FH117" s="2">
        <v>42</v>
      </c>
      <c r="FI117" s="57">
        <f t="shared" si="150"/>
        <v>0</v>
      </c>
      <c r="FJ117" s="62">
        <f t="shared" si="310"/>
        <v>0</v>
      </c>
      <c r="FK117" s="2">
        <v>41</v>
      </c>
      <c r="FL117" s="57">
        <f t="shared" si="157"/>
        <v>0</v>
      </c>
      <c r="FM117" s="62">
        <f t="shared" si="314"/>
        <v>0</v>
      </c>
      <c r="FN117" s="2">
        <v>40</v>
      </c>
      <c r="FO117" s="57">
        <f t="shared" si="158"/>
        <v>0</v>
      </c>
      <c r="FP117" s="62">
        <f t="shared" si="318"/>
        <v>0</v>
      </c>
      <c r="FQ117" s="2">
        <v>39</v>
      </c>
      <c r="FR117" s="57">
        <f t="shared" si="165"/>
        <v>0</v>
      </c>
      <c r="FS117" s="62">
        <f t="shared" si="322"/>
        <v>0</v>
      </c>
      <c r="FT117" s="2">
        <v>38</v>
      </c>
      <c r="FU117" s="57">
        <f t="shared" si="166"/>
        <v>0</v>
      </c>
      <c r="FV117" s="62">
        <f t="shared" si="326"/>
        <v>0</v>
      </c>
      <c r="FW117" s="2">
        <v>37</v>
      </c>
      <c r="FX117" s="57">
        <f t="shared" si="170"/>
        <v>0</v>
      </c>
      <c r="FY117" s="62">
        <f t="shared" si="330"/>
        <v>0</v>
      </c>
      <c r="FZ117" s="2">
        <v>36</v>
      </c>
      <c r="GA117" s="57">
        <f t="shared" si="177"/>
        <v>0</v>
      </c>
      <c r="GB117" s="62">
        <f t="shared" si="334"/>
        <v>0</v>
      </c>
      <c r="GC117" s="2">
        <v>35</v>
      </c>
      <c r="GD117" s="57">
        <f t="shared" si="178"/>
        <v>0</v>
      </c>
      <c r="GE117" s="62">
        <f t="shared" si="338"/>
        <v>0</v>
      </c>
      <c r="GF117" s="2">
        <v>34</v>
      </c>
      <c r="GG117" s="57">
        <f t="shared" si="185"/>
        <v>0</v>
      </c>
      <c r="GH117" s="62">
        <f t="shared" si="342"/>
        <v>0</v>
      </c>
      <c r="GI117" s="2">
        <v>33</v>
      </c>
      <c r="GJ117" s="57">
        <f t="shared" si="186"/>
        <v>0</v>
      </c>
      <c r="GK117" s="62">
        <f t="shared" si="346"/>
        <v>0</v>
      </c>
      <c r="GL117" s="2">
        <v>32</v>
      </c>
      <c r="GM117" s="57">
        <f t="shared" si="193"/>
        <v>0</v>
      </c>
      <c r="GN117" s="62">
        <f t="shared" ref="GN117:GN148" si="350">SUM($G$10*$G$11*GM117*(EXP(-($G$10*GL117))),$G$10*$G$11*GM117*(EXP(-($G$10*(GL117+0.1)))),$G$10*$G$11*GM117*(EXP(-($G$10*(GL117+0.2)))),$G$10*$G$11*GM117*(EXP(-($G$10*(GL117+0.3)))),$G$10*$G$11*GM117*(EXP(-($G$10*(GL117+0.4)))),$G$10*$G$11*GM117*(EXP(-($G$10*(GL117+0.5)))),$G$10*$G$11*GM117*(EXP(-($G$10*(GL117+0.6)))),$G$10*$G$11*GM117*(EXP(-($G$10*(GL117+0.7)))),$G$10*$G$11*GM117*(EXP(-($G$10*(GL117+0.8)))),$G$10*$G$11*GM117*(EXP(-($G$10*(GL117+0.9)))))/10</f>
        <v>0</v>
      </c>
      <c r="GO117" s="2">
        <v>31</v>
      </c>
      <c r="GP117" s="57">
        <f t="shared" si="194"/>
        <v>0</v>
      </c>
      <c r="GQ117" s="62">
        <f t="shared" si="195"/>
        <v>0</v>
      </c>
      <c r="GR117" s="2">
        <v>30</v>
      </c>
      <c r="GS117" s="57">
        <f t="shared" si="204"/>
        <v>0</v>
      </c>
      <c r="GT117" s="62">
        <f t="shared" si="198"/>
        <v>0</v>
      </c>
      <c r="GU117" s="2">
        <v>29</v>
      </c>
      <c r="GV117" s="57">
        <f t="shared" si="205"/>
        <v>0</v>
      </c>
      <c r="GW117" s="62">
        <f t="shared" si="206"/>
        <v>0</v>
      </c>
      <c r="GX117" s="2">
        <v>28</v>
      </c>
      <c r="GY117" s="57">
        <f t="shared" si="217"/>
        <v>0</v>
      </c>
      <c r="GZ117" s="62">
        <f t="shared" si="211"/>
        <v>0</v>
      </c>
      <c r="HA117" s="2">
        <v>27</v>
      </c>
      <c r="HB117" s="57">
        <f t="shared" si="218"/>
        <v>0</v>
      </c>
      <c r="HC117" s="62">
        <f t="shared" si="219"/>
        <v>0</v>
      </c>
      <c r="HD117" s="2">
        <v>26</v>
      </c>
      <c r="HE117" s="57">
        <f t="shared" si="229"/>
        <v>0</v>
      </c>
      <c r="HF117" s="62">
        <f t="shared" si="224"/>
        <v>0</v>
      </c>
      <c r="HG117" s="2">
        <v>25</v>
      </c>
      <c r="HH117" s="57">
        <f t="shared" si="230"/>
        <v>0</v>
      </c>
      <c r="HI117" s="62">
        <f t="shared" si="231"/>
        <v>0</v>
      </c>
      <c r="HJ117" s="2">
        <v>24</v>
      </c>
      <c r="HK117" s="57">
        <f t="shared" si="241"/>
        <v>0</v>
      </c>
      <c r="HL117" s="62">
        <f t="shared" si="236"/>
        <v>0</v>
      </c>
      <c r="HM117" s="2">
        <v>23</v>
      </c>
      <c r="HN117" s="57">
        <f t="shared" si="247"/>
        <v>0</v>
      </c>
      <c r="HO117" s="62">
        <f t="shared" si="242"/>
        <v>0</v>
      </c>
      <c r="HP117" s="2">
        <v>22</v>
      </c>
      <c r="HQ117" s="57">
        <f t="shared" si="248"/>
        <v>0</v>
      </c>
      <c r="HR117" s="62">
        <f t="shared" si="249"/>
        <v>0</v>
      </c>
      <c r="HS117" s="2">
        <v>21</v>
      </c>
      <c r="HT117" s="57">
        <f t="shared" si="257"/>
        <v>0</v>
      </c>
      <c r="HU117" s="62">
        <f t="shared" si="253"/>
        <v>0</v>
      </c>
      <c r="HV117" s="2">
        <v>20</v>
      </c>
      <c r="HW117" s="57">
        <f t="shared" si="258"/>
        <v>0</v>
      </c>
      <c r="HX117" s="62">
        <f t="shared" si="259"/>
        <v>0</v>
      </c>
      <c r="HY117" s="2">
        <v>19</v>
      </c>
      <c r="HZ117" s="57">
        <f t="shared" si="268"/>
        <v>0</v>
      </c>
      <c r="IA117" s="62">
        <f t="shared" si="263"/>
        <v>0</v>
      </c>
      <c r="IB117" s="2">
        <v>18</v>
      </c>
      <c r="IC117" s="57">
        <f t="shared" si="274"/>
        <v>0</v>
      </c>
      <c r="ID117" s="62">
        <f t="shared" si="269"/>
        <v>0</v>
      </c>
      <c r="IE117" s="2">
        <v>17</v>
      </c>
      <c r="IF117" s="57">
        <f t="shared" si="280"/>
        <v>0</v>
      </c>
      <c r="IG117" s="62">
        <f t="shared" si="275"/>
        <v>0</v>
      </c>
      <c r="IH117" s="2">
        <v>16</v>
      </c>
      <c r="II117" s="57">
        <f t="shared" si="281"/>
        <v>0</v>
      </c>
      <c r="IJ117" s="62">
        <f t="shared" si="282"/>
        <v>0</v>
      </c>
      <c r="IK117" s="2">
        <v>15</v>
      </c>
      <c r="IL117" s="57">
        <f t="shared" si="292"/>
        <v>0</v>
      </c>
      <c r="IM117" s="62">
        <f t="shared" si="287"/>
        <v>0</v>
      </c>
      <c r="IN117" s="2">
        <v>14</v>
      </c>
      <c r="IO117" s="57">
        <f t="shared" si="293"/>
        <v>0</v>
      </c>
      <c r="IP117" s="62">
        <f t="shared" si="294"/>
        <v>0</v>
      </c>
    </row>
    <row r="118" spans="7:250">
      <c r="G118" s="284"/>
      <c r="H118" s="284"/>
      <c r="I118" s="2">
        <f t="shared" si="212"/>
        <v>2113</v>
      </c>
      <c r="J118" s="379">
        <f t="shared" si="264"/>
        <v>2620994.2637633346</v>
      </c>
      <c r="K118" s="2">
        <f t="shared" si="212"/>
        <v>94</v>
      </c>
      <c r="L118" s="57">
        <f t="shared" si="200"/>
        <v>189082</v>
      </c>
      <c r="M118" s="62">
        <f t="shared" si="201"/>
        <v>17297.139545351278</v>
      </c>
      <c r="N118" s="2">
        <f t="shared" si="270"/>
        <v>93</v>
      </c>
      <c r="O118" s="57">
        <f t="shared" si="207"/>
        <v>293489</v>
      </c>
      <c r="P118" s="62">
        <f t="shared" si="208"/>
        <v>27943.944463789336</v>
      </c>
      <c r="Q118" s="2">
        <f t="shared" si="276"/>
        <v>92</v>
      </c>
      <c r="R118" s="57">
        <f t="shared" si="213"/>
        <v>283523</v>
      </c>
      <c r="S118" s="62">
        <f t="shared" si="214"/>
        <v>28096.741502650326</v>
      </c>
      <c r="T118" s="2">
        <f t="shared" si="283"/>
        <v>91</v>
      </c>
      <c r="U118" s="57">
        <f t="shared" si="220"/>
        <v>143321</v>
      </c>
      <c r="V118" s="62">
        <f t="shared" si="221"/>
        <v>14782.547027995688</v>
      </c>
      <c r="W118" s="2">
        <f t="shared" si="288"/>
        <v>90</v>
      </c>
      <c r="X118" s="57">
        <f t="shared" si="225"/>
        <v>227851</v>
      </c>
      <c r="Y118" s="62">
        <f t="shared" si="226"/>
        <v>24460.321321503765</v>
      </c>
      <c r="Z118" s="2">
        <f t="shared" si="295"/>
        <v>89</v>
      </c>
      <c r="AA118" s="57">
        <f t="shared" si="232"/>
        <v>238727</v>
      </c>
      <c r="AB118" s="62">
        <f t="shared" si="233"/>
        <v>26673.778384598078</v>
      </c>
      <c r="AC118" s="2">
        <f t="shared" si="299"/>
        <v>88</v>
      </c>
      <c r="AD118" s="57">
        <f t="shared" si="237"/>
        <v>250122</v>
      </c>
      <c r="AE118" s="62">
        <f t="shared" si="238"/>
        <v>29087.518337687077</v>
      </c>
      <c r="AF118" s="2">
        <f t="shared" si="303"/>
        <v>87</v>
      </c>
      <c r="AG118" s="57">
        <f t="shared" si="243"/>
        <v>262060</v>
      </c>
      <c r="AH118" s="62">
        <f t="shared" si="244"/>
        <v>31719.570153802022</v>
      </c>
      <c r="AI118" s="2">
        <f t="shared" si="307"/>
        <v>86</v>
      </c>
      <c r="AJ118" s="57">
        <f t="shared" si="250"/>
        <v>274569</v>
      </c>
      <c r="AK118" s="62">
        <f t="shared" si="251"/>
        <v>34589.942330377999</v>
      </c>
      <c r="AL118" s="2">
        <f t="shared" si="311"/>
        <v>85</v>
      </c>
      <c r="AM118" s="57">
        <f t="shared" si="254"/>
        <v>287675</v>
      </c>
      <c r="AN118" s="62">
        <f t="shared" si="255"/>
        <v>37720.048024205855</v>
      </c>
      <c r="AO118" s="2">
        <f t="shared" si="315"/>
        <v>84</v>
      </c>
      <c r="AP118" s="57">
        <f t="shared" si="260"/>
        <v>301406</v>
      </c>
      <c r="AQ118" s="62">
        <f t="shared" si="261"/>
        <v>41133.322248822296</v>
      </c>
      <c r="AR118" s="2">
        <f t="shared" si="319"/>
        <v>83</v>
      </c>
      <c r="AS118" s="57">
        <f t="shared" si="265"/>
        <v>315793</v>
      </c>
      <c r="AT118" s="62">
        <f t="shared" si="266"/>
        <v>44855.54861893638</v>
      </c>
      <c r="AU118" s="2">
        <f t="shared" si="323"/>
        <v>82</v>
      </c>
      <c r="AV118" s="57">
        <f t="shared" si="271"/>
        <v>330866</v>
      </c>
      <c r="AW118" s="62">
        <f t="shared" si="272"/>
        <v>48914.497249057305</v>
      </c>
      <c r="AX118" s="2">
        <f t="shared" si="327"/>
        <v>81</v>
      </c>
      <c r="AY118" s="57">
        <f t="shared" si="277"/>
        <v>346659</v>
      </c>
      <c r="AZ118" s="62">
        <f t="shared" si="278"/>
        <v>53340.823006032071</v>
      </c>
      <c r="BA118" s="2">
        <f t="shared" si="331"/>
        <v>80</v>
      </c>
      <c r="BB118" s="57">
        <f t="shared" si="284"/>
        <v>363206</v>
      </c>
      <c r="BC118" s="62">
        <f t="shared" si="285"/>
        <v>58167.71796137614</v>
      </c>
      <c r="BD118" s="2">
        <f t="shared" si="335"/>
        <v>79</v>
      </c>
      <c r="BE118" s="57">
        <f t="shared" si="289"/>
        <v>380542</v>
      </c>
      <c r="BF118" s="62">
        <f t="shared" si="290"/>
        <v>63431.267145713347</v>
      </c>
      <c r="BG118" s="2">
        <f t="shared" si="339"/>
        <v>78</v>
      </c>
      <c r="BH118" s="57">
        <f t="shared" si="296"/>
        <v>398706</v>
      </c>
      <c r="BI118" s="62">
        <f t="shared" si="297"/>
        <v>69171.205007346158</v>
      </c>
      <c r="BJ118" s="2">
        <f t="shared" si="343"/>
        <v>77</v>
      </c>
      <c r="BK118" s="57">
        <f t="shared" si="300"/>
        <v>417737</v>
      </c>
      <c r="BL118" s="62">
        <f t="shared" si="301"/>
        <v>75430.553225751049</v>
      </c>
      <c r="BM118" s="2">
        <f t="shared" si="347"/>
        <v>76</v>
      </c>
      <c r="BN118" s="57">
        <f t="shared" si="304"/>
        <v>437677</v>
      </c>
      <c r="BO118" s="62">
        <f t="shared" si="305"/>
        <v>82256.429404359151</v>
      </c>
      <c r="BP118" s="2">
        <f t="shared" ref="BP118:BP123" si="351">IF(BP117="","",(BP117+1))</f>
        <v>75</v>
      </c>
      <c r="BQ118" s="57">
        <f t="shared" si="308"/>
        <v>458568</v>
      </c>
      <c r="BR118" s="62">
        <f t="shared" si="309"/>
        <v>89699.836887125013</v>
      </c>
      <c r="BS118" s="2">
        <v>74</v>
      </c>
      <c r="BT118" s="57">
        <f t="shared" si="312"/>
        <v>480456</v>
      </c>
      <c r="BU118" s="62">
        <f t="shared" si="313"/>
        <v>97816.767890575371</v>
      </c>
      <c r="BV118" s="2">
        <v>73</v>
      </c>
      <c r="BW118" s="57">
        <f t="shared" si="316"/>
        <v>503389</v>
      </c>
      <c r="BX118" s="62">
        <f t="shared" si="317"/>
        <v>106668.25432194995</v>
      </c>
      <c r="BY118" s="2">
        <v>72</v>
      </c>
      <c r="BZ118" s="57">
        <f t="shared" si="320"/>
        <v>527417</v>
      </c>
      <c r="CA118" s="62">
        <f t="shared" si="321"/>
        <v>116320.79719538268</v>
      </c>
      <c r="CB118" s="2">
        <v>71</v>
      </c>
      <c r="CC118" s="57">
        <f t="shared" si="324"/>
        <v>552592</v>
      </c>
      <c r="CD118" s="62">
        <f t="shared" si="325"/>
        <v>126846.83000135871</v>
      </c>
      <c r="CE118" s="2">
        <v>70</v>
      </c>
      <c r="CF118" s="57">
        <f t="shared" si="328"/>
        <v>578968</v>
      </c>
      <c r="CG118" s="62">
        <f t="shared" si="329"/>
        <v>138325.21852458053</v>
      </c>
      <c r="CH118" s="2">
        <v>69</v>
      </c>
      <c r="CI118" s="57">
        <f t="shared" si="332"/>
        <v>606603</v>
      </c>
      <c r="CJ118" s="62">
        <f t="shared" si="333"/>
        <v>150842.29711182736</v>
      </c>
      <c r="CK118" s="2">
        <v>68</v>
      </c>
      <c r="CL118" s="57">
        <f t="shared" si="336"/>
        <v>635558</v>
      </c>
      <c r="CM118" s="62">
        <f t="shared" si="337"/>
        <v>164492.29223858748</v>
      </c>
      <c r="CN118" s="2">
        <v>67</v>
      </c>
      <c r="CO118" s="57">
        <f t="shared" si="340"/>
        <v>665894</v>
      </c>
      <c r="CP118" s="62">
        <f t="shared" si="341"/>
        <v>179377.20138087159</v>
      </c>
      <c r="CQ118" s="2">
        <v>66</v>
      </c>
      <c r="CR118" s="57">
        <f t="shared" si="344"/>
        <v>697679</v>
      </c>
      <c r="CS118" s="62">
        <f t="shared" si="345"/>
        <v>195609.33312531072</v>
      </c>
      <c r="CT118" s="2">
        <v>65</v>
      </c>
      <c r="CU118" s="57">
        <f t="shared" si="348"/>
        <v>730980</v>
      </c>
      <c r="CV118" s="62">
        <f t="shared" si="349"/>
        <v>213309.99000040241</v>
      </c>
      <c r="CW118" s="2">
        <v>64</v>
      </c>
      <c r="CX118" s="57">
        <f t="shared" ref="CX118:CX163" si="352">$E$53</f>
        <v>765871</v>
      </c>
      <c r="CY118" s="62">
        <f t="shared" ref="CY118:CY149" si="353">SUM($G$10*$G$11*CX118*(EXP(-($G$10*CW118))),$G$10*$G$11*CX118*(EXP(-($G$10*(CW118+0.1)))),$G$10*$G$11*CX118*(EXP(-($G$10*(CW118+0.2)))),$G$10*$G$11*CX118*(EXP(-($G$10*(CW118+0.3)))),$G$10*$G$11*CX118*(EXP(-($G$10*(CW118+0.4)))),$G$10*$G$11*CX118*(EXP(-($G$10*(CW118+0.5)))),$G$10*$G$11*CX118*(EXP(-($G$10*(CW118+0.6)))),$G$10*$G$11*CX118*(EXP(-($G$10*(CW118+0.7)))),$G$10*$G$11*CX118*(EXP(-($G$10*(CW118+0.8)))),$G$10*$G$11*CX118*(EXP(-($G$10*(CW118+0.9)))))/10</f>
        <v>232612.53012600745</v>
      </c>
      <c r="CZ118" s="2">
        <v>63</v>
      </c>
      <c r="DA118" s="57">
        <f t="shared" si="196"/>
        <v>0</v>
      </c>
      <c r="DB118" s="62">
        <f t="shared" si="197"/>
        <v>0</v>
      </c>
      <c r="DC118" s="2">
        <v>62</v>
      </c>
      <c r="DD118" s="57">
        <f t="shared" si="202"/>
        <v>0</v>
      </c>
      <c r="DE118" s="62">
        <f t="shared" si="203"/>
        <v>0</v>
      </c>
      <c r="DF118" s="2">
        <v>61</v>
      </c>
      <c r="DG118" s="57">
        <f t="shared" si="209"/>
        <v>0</v>
      </c>
      <c r="DH118" s="62">
        <f t="shared" si="210"/>
        <v>0</v>
      </c>
      <c r="DI118" s="2">
        <v>60</v>
      </c>
      <c r="DJ118" s="57">
        <f t="shared" si="215"/>
        <v>0</v>
      </c>
      <c r="DK118" s="62">
        <f t="shared" si="216"/>
        <v>0</v>
      </c>
      <c r="DL118" s="2">
        <v>59</v>
      </c>
      <c r="DM118" s="57">
        <f t="shared" si="222"/>
        <v>0</v>
      </c>
      <c r="DN118" s="62">
        <f t="shared" si="223"/>
        <v>0</v>
      </c>
      <c r="DO118" s="2">
        <v>58</v>
      </c>
      <c r="DP118" s="57">
        <f t="shared" si="227"/>
        <v>0</v>
      </c>
      <c r="DQ118" s="62">
        <f t="shared" si="228"/>
        <v>0</v>
      </c>
      <c r="DR118" s="2">
        <v>57</v>
      </c>
      <c r="DS118" s="57">
        <f t="shared" si="234"/>
        <v>0</v>
      </c>
      <c r="DT118" s="62">
        <f t="shared" si="235"/>
        <v>0</v>
      </c>
      <c r="DU118" s="2">
        <v>56</v>
      </c>
      <c r="DV118" s="57">
        <f t="shared" si="239"/>
        <v>0</v>
      </c>
      <c r="DW118" s="62">
        <f t="shared" si="240"/>
        <v>0</v>
      </c>
      <c r="DX118" s="2">
        <v>55</v>
      </c>
      <c r="DY118" s="57">
        <f t="shared" si="245"/>
        <v>0</v>
      </c>
      <c r="DZ118" s="62">
        <f t="shared" si="246"/>
        <v>0</v>
      </c>
      <c r="EA118" s="2">
        <v>54</v>
      </c>
      <c r="EB118" s="57">
        <f t="shared" si="109"/>
        <v>0</v>
      </c>
      <c r="EC118" s="62">
        <f t="shared" si="252"/>
        <v>0</v>
      </c>
      <c r="ED118" s="2">
        <v>53</v>
      </c>
      <c r="EE118" s="57">
        <f t="shared" si="113"/>
        <v>0</v>
      </c>
      <c r="EF118" s="62">
        <f t="shared" si="256"/>
        <v>0</v>
      </c>
      <c r="EG118" s="2">
        <v>52</v>
      </c>
      <c r="EH118" s="57">
        <f t="shared" si="117"/>
        <v>0</v>
      </c>
      <c r="EI118" s="62">
        <f t="shared" si="262"/>
        <v>0</v>
      </c>
      <c r="EJ118" s="2">
        <v>51</v>
      </c>
      <c r="EK118" s="57">
        <f t="shared" si="121"/>
        <v>0</v>
      </c>
      <c r="EL118" s="62">
        <f t="shared" si="267"/>
        <v>0</v>
      </c>
      <c r="EM118" s="2">
        <v>50</v>
      </c>
      <c r="EN118" s="57">
        <f t="shared" si="125"/>
        <v>0</v>
      </c>
      <c r="EO118" s="62">
        <f t="shared" si="273"/>
        <v>0</v>
      </c>
      <c r="EP118" s="2">
        <v>49</v>
      </c>
      <c r="EQ118" s="57">
        <f t="shared" si="129"/>
        <v>0</v>
      </c>
      <c r="ER118" s="62">
        <f t="shared" si="279"/>
        <v>0</v>
      </c>
      <c r="ES118" s="63">
        <v>48</v>
      </c>
      <c r="ET118" s="57">
        <f t="shared" si="130"/>
        <v>0</v>
      </c>
      <c r="EU118" s="62">
        <f t="shared" si="286"/>
        <v>0</v>
      </c>
      <c r="EV118" s="63">
        <v>47</v>
      </c>
      <c r="EW118" s="57">
        <f t="shared" si="134"/>
        <v>0</v>
      </c>
      <c r="EX118" s="62">
        <f t="shared" si="291"/>
        <v>0</v>
      </c>
      <c r="EY118" s="63">
        <v>46</v>
      </c>
      <c r="EZ118" s="57">
        <f t="shared" si="141"/>
        <v>0</v>
      </c>
      <c r="FA118" s="62">
        <f t="shared" si="298"/>
        <v>0</v>
      </c>
      <c r="FB118" s="2">
        <v>45</v>
      </c>
      <c r="FC118" s="57">
        <f t="shared" si="142"/>
        <v>0</v>
      </c>
      <c r="FD118" s="62">
        <f t="shared" si="302"/>
        <v>0</v>
      </c>
      <c r="FE118" s="2">
        <v>44</v>
      </c>
      <c r="FF118" s="57">
        <f t="shared" si="149"/>
        <v>0</v>
      </c>
      <c r="FG118" s="62">
        <f t="shared" si="306"/>
        <v>0</v>
      </c>
      <c r="FH118" s="2">
        <v>43</v>
      </c>
      <c r="FI118" s="57">
        <f t="shared" si="150"/>
        <v>0</v>
      </c>
      <c r="FJ118" s="62">
        <f t="shared" si="310"/>
        <v>0</v>
      </c>
      <c r="FK118" s="2">
        <v>42</v>
      </c>
      <c r="FL118" s="57">
        <f t="shared" si="157"/>
        <v>0</v>
      </c>
      <c r="FM118" s="62">
        <f t="shared" si="314"/>
        <v>0</v>
      </c>
      <c r="FN118" s="2">
        <v>41</v>
      </c>
      <c r="FO118" s="57">
        <f t="shared" si="158"/>
        <v>0</v>
      </c>
      <c r="FP118" s="62">
        <f t="shared" si="318"/>
        <v>0</v>
      </c>
      <c r="FQ118" s="2">
        <v>40</v>
      </c>
      <c r="FR118" s="57">
        <f t="shared" si="165"/>
        <v>0</v>
      </c>
      <c r="FS118" s="62">
        <f t="shared" si="322"/>
        <v>0</v>
      </c>
      <c r="FT118" s="2">
        <v>39</v>
      </c>
      <c r="FU118" s="57">
        <f t="shared" si="166"/>
        <v>0</v>
      </c>
      <c r="FV118" s="62">
        <f t="shared" si="326"/>
        <v>0</v>
      </c>
      <c r="FW118" s="2">
        <v>38</v>
      </c>
      <c r="FX118" s="57">
        <f t="shared" si="170"/>
        <v>0</v>
      </c>
      <c r="FY118" s="62">
        <f t="shared" si="330"/>
        <v>0</v>
      </c>
      <c r="FZ118" s="2">
        <v>37</v>
      </c>
      <c r="GA118" s="57">
        <f t="shared" si="177"/>
        <v>0</v>
      </c>
      <c r="GB118" s="62">
        <f t="shared" si="334"/>
        <v>0</v>
      </c>
      <c r="GC118" s="2">
        <v>36</v>
      </c>
      <c r="GD118" s="57">
        <f t="shared" si="178"/>
        <v>0</v>
      </c>
      <c r="GE118" s="62">
        <f t="shared" si="338"/>
        <v>0</v>
      </c>
      <c r="GF118" s="2">
        <v>35</v>
      </c>
      <c r="GG118" s="57">
        <f t="shared" si="185"/>
        <v>0</v>
      </c>
      <c r="GH118" s="62">
        <f t="shared" si="342"/>
        <v>0</v>
      </c>
      <c r="GI118" s="2">
        <v>34</v>
      </c>
      <c r="GJ118" s="57">
        <f t="shared" si="186"/>
        <v>0</v>
      </c>
      <c r="GK118" s="62">
        <f t="shared" si="346"/>
        <v>0</v>
      </c>
      <c r="GL118" s="2">
        <v>33</v>
      </c>
      <c r="GM118" s="57">
        <f t="shared" si="193"/>
        <v>0</v>
      </c>
      <c r="GN118" s="62">
        <f t="shared" si="350"/>
        <v>0</v>
      </c>
      <c r="GO118" s="2">
        <v>32</v>
      </c>
      <c r="GP118" s="57">
        <f t="shared" si="194"/>
        <v>0</v>
      </c>
      <c r="GQ118" s="62">
        <f t="shared" ref="GQ118:GQ149" si="354">SUM($G$10*$G$11*GP118*(EXP(-($G$10*GO118))),$G$10*$G$11*GP118*(EXP(-($G$10*(GO118+0.1)))),$G$10*$G$11*GP118*(EXP(-($G$10*(GO118+0.2)))),$G$10*$G$11*GP118*(EXP(-($G$10*(GO118+0.3)))),$G$10*$G$11*GP118*(EXP(-($G$10*(GO118+0.4)))),$G$10*$G$11*GP118*(EXP(-($G$10*(GO118+0.5)))),$G$10*$G$11*GP118*(EXP(-($G$10*(GO118+0.6)))),$G$10*$G$11*GP118*(EXP(-($G$10*(GO118+0.7)))),$G$10*$G$11*GP118*(EXP(-($G$10*(GO118+0.8)))),$G$10*$G$11*GP118*(EXP(-($G$10*(GO118+0.9)))))/10</f>
        <v>0</v>
      </c>
      <c r="GR118" s="2">
        <v>31</v>
      </c>
      <c r="GS118" s="57">
        <f t="shared" si="204"/>
        <v>0</v>
      </c>
      <c r="GT118" s="62">
        <f t="shared" si="198"/>
        <v>0</v>
      </c>
      <c r="GU118" s="2">
        <v>30</v>
      </c>
      <c r="GV118" s="57">
        <f t="shared" si="205"/>
        <v>0</v>
      </c>
      <c r="GW118" s="62">
        <f t="shared" si="206"/>
        <v>0</v>
      </c>
      <c r="GX118" s="2">
        <v>29</v>
      </c>
      <c r="GY118" s="57">
        <f t="shared" si="217"/>
        <v>0</v>
      </c>
      <c r="GZ118" s="62">
        <f t="shared" si="211"/>
        <v>0</v>
      </c>
      <c r="HA118" s="2">
        <v>28</v>
      </c>
      <c r="HB118" s="57">
        <f t="shared" si="218"/>
        <v>0</v>
      </c>
      <c r="HC118" s="62">
        <f t="shared" si="219"/>
        <v>0</v>
      </c>
      <c r="HD118" s="2">
        <v>27</v>
      </c>
      <c r="HE118" s="57">
        <f t="shared" si="229"/>
        <v>0</v>
      </c>
      <c r="HF118" s="62">
        <f t="shared" si="224"/>
        <v>0</v>
      </c>
      <c r="HG118" s="2">
        <v>26</v>
      </c>
      <c r="HH118" s="57">
        <f t="shared" si="230"/>
        <v>0</v>
      </c>
      <c r="HI118" s="62">
        <f t="shared" si="231"/>
        <v>0</v>
      </c>
      <c r="HJ118" s="2">
        <v>25</v>
      </c>
      <c r="HK118" s="57">
        <f t="shared" si="241"/>
        <v>0</v>
      </c>
      <c r="HL118" s="62">
        <f t="shared" si="236"/>
        <v>0</v>
      </c>
      <c r="HM118" s="2">
        <v>24</v>
      </c>
      <c r="HN118" s="57">
        <f t="shared" si="247"/>
        <v>0</v>
      </c>
      <c r="HO118" s="62">
        <f t="shared" si="242"/>
        <v>0</v>
      </c>
      <c r="HP118" s="2">
        <v>23</v>
      </c>
      <c r="HQ118" s="57">
        <f t="shared" si="248"/>
        <v>0</v>
      </c>
      <c r="HR118" s="62">
        <f t="shared" si="249"/>
        <v>0</v>
      </c>
      <c r="HS118" s="2">
        <v>22</v>
      </c>
      <c r="HT118" s="57">
        <f t="shared" si="257"/>
        <v>0</v>
      </c>
      <c r="HU118" s="62">
        <f t="shared" si="253"/>
        <v>0</v>
      </c>
      <c r="HV118" s="2">
        <v>21</v>
      </c>
      <c r="HW118" s="57">
        <f t="shared" si="258"/>
        <v>0</v>
      </c>
      <c r="HX118" s="62">
        <f t="shared" si="259"/>
        <v>0</v>
      </c>
      <c r="HY118" s="2">
        <v>20</v>
      </c>
      <c r="HZ118" s="57">
        <f t="shared" si="268"/>
        <v>0</v>
      </c>
      <c r="IA118" s="62">
        <f t="shared" si="263"/>
        <v>0</v>
      </c>
      <c r="IB118" s="2">
        <v>19</v>
      </c>
      <c r="IC118" s="57">
        <f t="shared" si="274"/>
        <v>0</v>
      </c>
      <c r="ID118" s="62">
        <f t="shared" si="269"/>
        <v>0</v>
      </c>
      <c r="IE118" s="2">
        <v>18</v>
      </c>
      <c r="IF118" s="57">
        <f t="shared" si="280"/>
        <v>0</v>
      </c>
      <c r="IG118" s="62">
        <f t="shared" si="275"/>
        <v>0</v>
      </c>
      <c r="IH118" s="2">
        <v>17</v>
      </c>
      <c r="II118" s="57">
        <f t="shared" si="281"/>
        <v>0</v>
      </c>
      <c r="IJ118" s="62">
        <f t="shared" si="282"/>
        <v>0</v>
      </c>
      <c r="IK118" s="2">
        <v>16</v>
      </c>
      <c r="IL118" s="57">
        <f t="shared" si="292"/>
        <v>0</v>
      </c>
      <c r="IM118" s="62">
        <f t="shared" si="287"/>
        <v>0</v>
      </c>
      <c r="IN118" s="2">
        <v>15</v>
      </c>
      <c r="IO118" s="57">
        <f t="shared" si="293"/>
        <v>0</v>
      </c>
      <c r="IP118" s="62">
        <f t="shared" si="294"/>
        <v>0</v>
      </c>
    </row>
    <row r="119" spans="7:250">
      <c r="G119" s="284"/>
      <c r="H119" s="284"/>
      <c r="I119" s="2">
        <f t="shared" si="212"/>
        <v>2114</v>
      </c>
      <c r="J119" s="379">
        <f t="shared" si="264"/>
        <v>2518223.6087026307</v>
      </c>
      <c r="K119" s="2">
        <f t="shared" si="212"/>
        <v>95</v>
      </c>
      <c r="L119" s="57">
        <f t="shared" si="200"/>
        <v>189082</v>
      </c>
      <c r="M119" s="62">
        <f t="shared" si="201"/>
        <v>16618.90900271753</v>
      </c>
      <c r="N119" s="2">
        <f t="shared" si="270"/>
        <v>94</v>
      </c>
      <c r="O119" s="57">
        <f t="shared" si="207"/>
        <v>293489</v>
      </c>
      <c r="P119" s="62">
        <f t="shared" si="208"/>
        <v>26848.246729067829</v>
      </c>
      <c r="Q119" s="2">
        <f t="shared" si="276"/>
        <v>93</v>
      </c>
      <c r="R119" s="57">
        <f t="shared" si="213"/>
        <v>283523</v>
      </c>
      <c r="S119" s="62">
        <f t="shared" si="214"/>
        <v>26995.052510339206</v>
      </c>
      <c r="T119" s="2">
        <f t="shared" si="283"/>
        <v>92</v>
      </c>
      <c r="U119" s="57">
        <f t="shared" si="220"/>
        <v>143321</v>
      </c>
      <c r="V119" s="62">
        <f t="shared" si="221"/>
        <v>14202.915068270817</v>
      </c>
      <c r="W119" s="2">
        <f t="shared" si="288"/>
        <v>91</v>
      </c>
      <c r="X119" s="57">
        <f t="shared" si="225"/>
        <v>227851</v>
      </c>
      <c r="Y119" s="62">
        <f t="shared" si="226"/>
        <v>23501.218403973216</v>
      </c>
      <c r="Z119" s="2">
        <f t="shared" si="295"/>
        <v>90</v>
      </c>
      <c r="AA119" s="57">
        <f t="shared" si="232"/>
        <v>238727</v>
      </c>
      <c r="AB119" s="62">
        <f t="shared" si="233"/>
        <v>25627.884574211348</v>
      </c>
      <c r="AC119" s="2">
        <f t="shared" si="299"/>
        <v>89</v>
      </c>
      <c r="AD119" s="57">
        <f t="shared" si="237"/>
        <v>250122</v>
      </c>
      <c r="AE119" s="62">
        <f t="shared" si="238"/>
        <v>27946.980429999287</v>
      </c>
      <c r="AF119" s="2">
        <f t="shared" si="303"/>
        <v>88</v>
      </c>
      <c r="AG119" s="57">
        <f t="shared" si="243"/>
        <v>262060</v>
      </c>
      <c r="AH119" s="62">
        <f t="shared" si="244"/>
        <v>30475.828018224209</v>
      </c>
      <c r="AI119" s="2">
        <f t="shared" si="307"/>
        <v>87</v>
      </c>
      <c r="AJ119" s="57">
        <f t="shared" si="250"/>
        <v>274569</v>
      </c>
      <c r="AK119" s="62">
        <f t="shared" si="251"/>
        <v>33233.651291915077</v>
      </c>
      <c r="AL119" s="2">
        <f t="shared" si="311"/>
        <v>86</v>
      </c>
      <c r="AM119" s="57">
        <f t="shared" si="254"/>
        <v>287675</v>
      </c>
      <c r="AN119" s="62">
        <f t="shared" si="255"/>
        <v>36241.023785975442</v>
      </c>
      <c r="AO119" s="2">
        <f t="shared" si="315"/>
        <v>85</v>
      </c>
      <c r="AP119" s="57">
        <f t="shared" si="260"/>
        <v>301406</v>
      </c>
      <c r="AQ119" s="62">
        <f t="shared" si="261"/>
        <v>39520.461613917745</v>
      </c>
      <c r="AR119" s="2">
        <f t="shared" si="319"/>
        <v>84</v>
      </c>
      <c r="AS119" s="57">
        <f t="shared" si="265"/>
        <v>315793</v>
      </c>
      <c r="AT119" s="62">
        <f t="shared" si="266"/>
        <v>43096.737400457656</v>
      </c>
      <c r="AU119" s="2">
        <f t="shared" si="323"/>
        <v>83</v>
      </c>
      <c r="AV119" s="57">
        <f t="shared" si="271"/>
        <v>330866</v>
      </c>
      <c r="AW119" s="62">
        <f t="shared" si="272"/>
        <v>46996.532378339623</v>
      </c>
      <c r="AX119" s="2">
        <f t="shared" si="327"/>
        <v>82</v>
      </c>
      <c r="AY119" s="57">
        <f t="shared" si="277"/>
        <v>346659</v>
      </c>
      <c r="AZ119" s="62">
        <f t="shared" si="278"/>
        <v>51249.299419888885</v>
      </c>
      <c r="BA119" s="2">
        <f t="shared" si="331"/>
        <v>81</v>
      </c>
      <c r="BB119" s="57">
        <f t="shared" si="284"/>
        <v>363206</v>
      </c>
      <c r="BC119" s="62">
        <f t="shared" si="285"/>
        <v>55886.929116881103</v>
      </c>
      <c r="BD119" s="2">
        <f t="shared" si="335"/>
        <v>80</v>
      </c>
      <c r="BE119" s="57">
        <f t="shared" si="289"/>
        <v>380542</v>
      </c>
      <c r="BF119" s="62">
        <f t="shared" si="290"/>
        <v>60944.091585651113</v>
      </c>
      <c r="BG119" s="2">
        <f t="shared" si="339"/>
        <v>79</v>
      </c>
      <c r="BH119" s="57">
        <f t="shared" si="296"/>
        <v>398706</v>
      </c>
      <c r="BI119" s="62">
        <f t="shared" si="297"/>
        <v>66458.963264498481</v>
      </c>
      <c r="BJ119" s="2">
        <f t="shared" si="343"/>
        <v>78</v>
      </c>
      <c r="BK119" s="57">
        <f t="shared" si="300"/>
        <v>417737</v>
      </c>
      <c r="BL119" s="62">
        <f t="shared" si="301"/>
        <v>72472.878928718812</v>
      </c>
      <c r="BM119" s="2">
        <f t="shared" si="347"/>
        <v>77</v>
      </c>
      <c r="BN119" s="57">
        <f t="shared" si="304"/>
        <v>437677</v>
      </c>
      <c r="BO119" s="62">
        <f t="shared" si="305"/>
        <v>79031.108674086921</v>
      </c>
      <c r="BP119" s="2">
        <f t="shared" si="351"/>
        <v>76</v>
      </c>
      <c r="BQ119" s="57">
        <f t="shared" si="308"/>
        <v>458568</v>
      </c>
      <c r="BR119" s="62">
        <f t="shared" si="309"/>
        <v>86182.65597483571</v>
      </c>
      <c r="BS119" s="2">
        <f>IF(BS118="","",(BS118+1))</f>
        <v>75</v>
      </c>
      <c r="BT119" s="57">
        <f t="shared" si="312"/>
        <v>480456</v>
      </c>
      <c r="BU119" s="62">
        <f t="shared" si="313"/>
        <v>93981.317561278876</v>
      </c>
      <c r="BV119" s="2">
        <v>74</v>
      </c>
      <c r="BW119" s="57">
        <f t="shared" si="316"/>
        <v>503389</v>
      </c>
      <c r="BX119" s="62">
        <f t="shared" si="317"/>
        <v>102485.73224534369</v>
      </c>
      <c r="BY119" s="2">
        <v>73</v>
      </c>
      <c r="BZ119" s="57">
        <f t="shared" si="320"/>
        <v>527417</v>
      </c>
      <c r="CA119" s="62">
        <f t="shared" si="321"/>
        <v>111759.79349910286</v>
      </c>
      <c r="CB119" s="2">
        <v>72</v>
      </c>
      <c r="CC119" s="57">
        <f t="shared" si="324"/>
        <v>552592</v>
      </c>
      <c r="CD119" s="62">
        <f t="shared" si="325"/>
        <v>121873.09465525551</v>
      </c>
      <c r="CE119" s="2">
        <v>71</v>
      </c>
      <c r="CF119" s="57">
        <f t="shared" si="328"/>
        <v>578968</v>
      </c>
      <c r="CG119" s="62">
        <f t="shared" si="329"/>
        <v>132901.40912685427</v>
      </c>
      <c r="CH119" s="2">
        <v>70</v>
      </c>
      <c r="CI119" s="57">
        <f t="shared" si="332"/>
        <v>606603</v>
      </c>
      <c r="CJ119" s="62">
        <f t="shared" si="333"/>
        <v>144927.68604252071</v>
      </c>
      <c r="CK119" s="2">
        <v>69</v>
      </c>
      <c r="CL119" s="57">
        <f t="shared" si="336"/>
        <v>635558</v>
      </c>
      <c r="CM119" s="62">
        <f t="shared" si="337"/>
        <v>158042.45720479253</v>
      </c>
      <c r="CN119" s="2">
        <v>68</v>
      </c>
      <c r="CO119" s="57">
        <f t="shared" si="340"/>
        <v>665894</v>
      </c>
      <c r="CP119" s="62">
        <f t="shared" si="341"/>
        <v>172343.72071144095</v>
      </c>
      <c r="CQ119" s="2">
        <v>67</v>
      </c>
      <c r="CR119" s="57">
        <f t="shared" si="344"/>
        <v>697679</v>
      </c>
      <c r="CS119" s="62">
        <f t="shared" si="345"/>
        <v>187939.38146642724</v>
      </c>
      <c r="CT119" s="2">
        <v>66</v>
      </c>
      <c r="CU119" s="57">
        <f t="shared" si="348"/>
        <v>730980</v>
      </c>
      <c r="CV119" s="62">
        <f t="shared" si="349"/>
        <v>204945.98565807432</v>
      </c>
      <c r="CW119" s="2">
        <v>65</v>
      </c>
      <c r="CX119" s="57">
        <f t="shared" si="352"/>
        <v>765871</v>
      </c>
      <c r="CY119" s="62">
        <f t="shared" si="353"/>
        <v>223491.66235956969</v>
      </c>
      <c r="CZ119" s="2">
        <v>64</v>
      </c>
      <c r="DA119" s="57">
        <f t="shared" si="196"/>
        <v>0</v>
      </c>
      <c r="DB119" s="62">
        <f t="shared" ref="DB119:DB150" si="355">SUM($G$10*$G$11*DA119*(EXP(-($G$10*CZ119))),$G$10*$G$11*DA119*(EXP(-($G$10*(CZ119+0.1)))),$G$10*$G$11*DA119*(EXP(-($G$10*(CZ119+0.2)))),$G$10*$G$11*DA119*(EXP(-($G$10*(CZ119+0.3)))),$G$10*$G$11*DA119*(EXP(-($G$10*(CZ119+0.4)))),$G$10*$G$11*DA119*(EXP(-($G$10*(CZ119+0.5)))),$G$10*$G$11*DA119*(EXP(-($G$10*(CZ119+0.6)))),$G$10*$G$11*DA119*(EXP(-($G$10*(CZ119+0.7)))),$G$10*$G$11*DA119*(EXP(-($G$10*(CZ119+0.8)))),$G$10*$G$11*DA119*(EXP(-($G$10*(CZ119+0.9)))))/10</f>
        <v>0</v>
      </c>
      <c r="DC119" s="2">
        <v>63</v>
      </c>
      <c r="DD119" s="57">
        <f t="shared" si="202"/>
        <v>0</v>
      </c>
      <c r="DE119" s="62">
        <f t="shared" si="203"/>
        <v>0</v>
      </c>
      <c r="DF119" s="2">
        <v>62</v>
      </c>
      <c r="DG119" s="57">
        <f t="shared" si="209"/>
        <v>0</v>
      </c>
      <c r="DH119" s="62">
        <f t="shared" si="210"/>
        <v>0</v>
      </c>
      <c r="DI119" s="2">
        <v>61</v>
      </c>
      <c r="DJ119" s="57">
        <f t="shared" si="215"/>
        <v>0</v>
      </c>
      <c r="DK119" s="62">
        <f t="shared" si="216"/>
        <v>0</v>
      </c>
      <c r="DL119" s="2">
        <v>60</v>
      </c>
      <c r="DM119" s="57">
        <f t="shared" si="222"/>
        <v>0</v>
      </c>
      <c r="DN119" s="62">
        <f t="shared" si="223"/>
        <v>0</v>
      </c>
      <c r="DO119" s="2">
        <v>59</v>
      </c>
      <c r="DP119" s="57">
        <f t="shared" si="227"/>
        <v>0</v>
      </c>
      <c r="DQ119" s="62">
        <f t="shared" si="228"/>
        <v>0</v>
      </c>
      <c r="DR119" s="2">
        <v>58</v>
      </c>
      <c r="DS119" s="57">
        <f t="shared" si="234"/>
        <v>0</v>
      </c>
      <c r="DT119" s="62">
        <f t="shared" si="235"/>
        <v>0</v>
      </c>
      <c r="DU119" s="2">
        <v>57</v>
      </c>
      <c r="DV119" s="57">
        <f t="shared" si="239"/>
        <v>0</v>
      </c>
      <c r="DW119" s="62">
        <f t="shared" si="240"/>
        <v>0</v>
      </c>
      <c r="DX119" s="2">
        <v>56</v>
      </c>
      <c r="DY119" s="57">
        <f t="shared" si="245"/>
        <v>0</v>
      </c>
      <c r="DZ119" s="62">
        <f t="shared" si="246"/>
        <v>0</v>
      </c>
      <c r="EA119" s="2">
        <v>55</v>
      </c>
      <c r="EB119" s="57">
        <f t="shared" si="109"/>
        <v>0</v>
      </c>
      <c r="EC119" s="62">
        <f t="shared" si="252"/>
        <v>0</v>
      </c>
      <c r="ED119" s="2">
        <v>54</v>
      </c>
      <c r="EE119" s="57">
        <f t="shared" si="113"/>
        <v>0</v>
      </c>
      <c r="EF119" s="62">
        <f t="shared" si="256"/>
        <v>0</v>
      </c>
      <c r="EG119" s="2">
        <v>53</v>
      </c>
      <c r="EH119" s="57">
        <f t="shared" si="117"/>
        <v>0</v>
      </c>
      <c r="EI119" s="62">
        <f t="shared" si="262"/>
        <v>0</v>
      </c>
      <c r="EJ119" s="2">
        <v>52</v>
      </c>
      <c r="EK119" s="57">
        <f t="shared" si="121"/>
        <v>0</v>
      </c>
      <c r="EL119" s="62">
        <f t="shared" si="267"/>
        <v>0</v>
      </c>
      <c r="EM119" s="2">
        <v>51</v>
      </c>
      <c r="EN119" s="57">
        <f t="shared" si="125"/>
        <v>0</v>
      </c>
      <c r="EO119" s="62">
        <f t="shared" si="273"/>
        <v>0</v>
      </c>
      <c r="EP119" s="2">
        <v>50</v>
      </c>
      <c r="EQ119" s="57">
        <f t="shared" si="129"/>
        <v>0</v>
      </c>
      <c r="ER119" s="62">
        <f t="shared" si="279"/>
        <v>0</v>
      </c>
      <c r="ES119" s="2">
        <v>49</v>
      </c>
      <c r="ET119" s="57">
        <f t="shared" si="130"/>
        <v>0</v>
      </c>
      <c r="EU119" s="62">
        <f t="shared" si="286"/>
        <v>0</v>
      </c>
      <c r="EV119" s="63">
        <v>48</v>
      </c>
      <c r="EW119" s="57">
        <f t="shared" si="134"/>
        <v>0</v>
      </c>
      <c r="EX119" s="62">
        <f t="shared" si="291"/>
        <v>0</v>
      </c>
      <c r="EY119" s="63">
        <v>47</v>
      </c>
      <c r="EZ119" s="57">
        <f t="shared" si="141"/>
        <v>0</v>
      </c>
      <c r="FA119" s="62">
        <f t="shared" si="298"/>
        <v>0</v>
      </c>
      <c r="FB119" s="63">
        <v>46</v>
      </c>
      <c r="FC119" s="57">
        <f t="shared" si="142"/>
        <v>0</v>
      </c>
      <c r="FD119" s="62">
        <f t="shared" si="302"/>
        <v>0</v>
      </c>
      <c r="FE119" s="2">
        <v>45</v>
      </c>
      <c r="FF119" s="57">
        <f t="shared" si="149"/>
        <v>0</v>
      </c>
      <c r="FG119" s="62">
        <f t="shared" si="306"/>
        <v>0</v>
      </c>
      <c r="FH119" s="2">
        <v>44</v>
      </c>
      <c r="FI119" s="57">
        <f t="shared" si="150"/>
        <v>0</v>
      </c>
      <c r="FJ119" s="62">
        <f t="shared" si="310"/>
        <v>0</v>
      </c>
      <c r="FK119" s="2">
        <v>43</v>
      </c>
      <c r="FL119" s="57">
        <f t="shared" si="157"/>
        <v>0</v>
      </c>
      <c r="FM119" s="62">
        <f t="shared" si="314"/>
        <v>0</v>
      </c>
      <c r="FN119" s="2">
        <v>42</v>
      </c>
      <c r="FO119" s="57">
        <f t="shared" si="158"/>
        <v>0</v>
      </c>
      <c r="FP119" s="62">
        <f t="shared" si="318"/>
        <v>0</v>
      </c>
      <c r="FQ119" s="2">
        <v>41</v>
      </c>
      <c r="FR119" s="57">
        <f t="shared" si="165"/>
        <v>0</v>
      </c>
      <c r="FS119" s="62">
        <f t="shared" si="322"/>
        <v>0</v>
      </c>
      <c r="FT119" s="2">
        <v>40</v>
      </c>
      <c r="FU119" s="57">
        <f t="shared" si="166"/>
        <v>0</v>
      </c>
      <c r="FV119" s="62">
        <f t="shared" si="326"/>
        <v>0</v>
      </c>
      <c r="FW119" s="2">
        <v>39</v>
      </c>
      <c r="FX119" s="57">
        <f t="shared" si="170"/>
        <v>0</v>
      </c>
      <c r="FY119" s="62">
        <f t="shared" si="330"/>
        <v>0</v>
      </c>
      <c r="FZ119" s="2">
        <v>38</v>
      </c>
      <c r="GA119" s="57">
        <f t="shared" si="177"/>
        <v>0</v>
      </c>
      <c r="GB119" s="62">
        <f t="shared" si="334"/>
        <v>0</v>
      </c>
      <c r="GC119" s="2">
        <v>37</v>
      </c>
      <c r="GD119" s="57">
        <f t="shared" si="178"/>
        <v>0</v>
      </c>
      <c r="GE119" s="62">
        <f t="shared" si="338"/>
        <v>0</v>
      </c>
      <c r="GF119" s="2">
        <v>36</v>
      </c>
      <c r="GG119" s="57">
        <f t="shared" si="185"/>
        <v>0</v>
      </c>
      <c r="GH119" s="62">
        <f t="shared" si="342"/>
        <v>0</v>
      </c>
      <c r="GI119" s="2">
        <v>35</v>
      </c>
      <c r="GJ119" s="57">
        <f t="shared" si="186"/>
        <v>0</v>
      </c>
      <c r="GK119" s="62">
        <f t="shared" si="346"/>
        <v>0</v>
      </c>
      <c r="GL119" s="2">
        <v>34</v>
      </c>
      <c r="GM119" s="57">
        <f t="shared" si="193"/>
        <v>0</v>
      </c>
      <c r="GN119" s="62">
        <f t="shared" si="350"/>
        <v>0</v>
      </c>
      <c r="GO119" s="2">
        <v>33</v>
      </c>
      <c r="GP119" s="57">
        <f t="shared" si="194"/>
        <v>0</v>
      </c>
      <c r="GQ119" s="62">
        <f t="shared" si="354"/>
        <v>0</v>
      </c>
      <c r="GR119" s="2">
        <v>32</v>
      </c>
      <c r="GS119" s="57">
        <f t="shared" si="204"/>
        <v>0</v>
      </c>
      <c r="GT119" s="62">
        <f t="shared" ref="GT119:GT150" si="356">SUM($G$10*$G$11*GS119*(EXP(-($G$10*GR119))),$G$10*$G$11*GS119*(EXP(-($G$10*(GR119+0.1)))),$G$10*$G$11*GS119*(EXP(-($G$10*(GR119+0.2)))),$G$10*$G$11*GS119*(EXP(-($G$10*(GR119+0.3)))),$G$10*$G$11*GS119*(EXP(-($G$10*(GR119+0.4)))),$G$10*$G$11*GS119*(EXP(-($G$10*(GR119+0.5)))),$G$10*$G$11*GS119*(EXP(-($G$10*(GR119+0.6)))),$G$10*$G$11*GS119*(EXP(-($G$10*(GR119+0.7)))),$G$10*$G$11*GS119*(EXP(-($G$10*(GR119+0.8)))),$G$10*$G$11*GS119*(EXP(-($G$10*(GR119+0.9)))))/10</f>
        <v>0</v>
      </c>
      <c r="GU119" s="2">
        <v>31</v>
      </c>
      <c r="GV119" s="57">
        <f t="shared" si="205"/>
        <v>0</v>
      </c>
      <c r="GW119" s="62">
        <f t="shared" si="206"/>
        <v>0</v>
      </c>
      <c r="GX119" s="2">
        <v>30</v>
      </c>
      <c r="GY119" s="57">
        <f t="shared" si="217"/>
        <v>0</v>
      </c>
      <c r="GZ119" s="62">
        <f t="shared" si="211"/>
        <v>0</v>
      </c>
      <c r="HA119" s="2">
        <v>29</v>
      </c>
      <c r="HB119" s="57">
        <f t="shared" si="218"/>
        <v>0</v>
      </c>
      <c r="HC119" s="62">
        <f t="shared" si="219"/>
        <v>0</v>
      </c>
      <c r="HD119" s="2">
        <v>28</v>
      </c>
      <c r="HE119" s="57">
        <f t="shared" si="229"/>
        <v>0</v>
      </c>
      <c r="HF119" s="62">
        <f t="shared" si="224"/>
        <v>0</v>
      </c>
      <c r="HG119" s="2">
        <v>27</v>
      </c>
      <c r="HH119" s="57">
        <f t="shared" si="230"/>
        <v>0</v>
      </c>
      <c r="HI119" s="62">
        <f t="shared" si="231"/>
        <v>0</v>
      </c>
      <c r="HJ119" s="2">
        <v>26</v>
      </c>
      <c r="HK119" s="57">
        <f t="shared" si="241"/>
        <v>0</v>
      </c>
      <c r="HL119" s="62">
        <f t="shared" si="236"/>
        <v>0</v>
      </c>
      <c r="HM119" s="2">
        <v>25</v>
      </c>
      <c r="HN119" s="57">
        <f t="shared" si="247"/>
        <v>0</v>
      </c>
      <c r="HO119" s="62">
        <f t="shared" si="242"/>
        <v>0</v>
      </c>
      <c r="HP119" s="2">
        <v>24</v>
      </c>
      <c r="HQ119" s="57">
        <f t="shared" si="248"/>
        <v>0</v>
      </c>
      <c r="HR119" s="62">
        <f t="shared" si="249"/>
        <v>0</v>
      </c>
      <c r="HS119" s="2">
        <v>23</v>
      </c>
      <c r="HT119" s="57">
        <f t="shared" si="257"/>
        <v>0</v>
      </c>
      <c r="HU119" s="62">
        <f t="shared" si="253"/>
        <v>0</v>
      </c>
      <c r="HV119" s="2">
        <v>22</v>
      </c>
      <c r="HW119" s="57">
        <f t="shared" si="258"/>
        <v>0</v>
      </c>
      <c r="HX119" s="62">
        <f t="shared" si="259"/>
        <v>0</v>
      </c>
      <c r="HY119" s="2">
        <v>21</v>
      </c>
      <c r="HZ119" s="57">
        <f t="shared" si="268"/>
        <v>0</v>
      </c>
      <c r="IA119" s="62">
        <f t="shared" si="263"/>
        <v>0</v>
      </c>
      <c r="IB119" s="2">
        <v>20</v>
      </c>
      <c r="IC119" s="57">
        <f t="shared" si="274"/>
        <v>0</v>
      </c>
      <c r="ID119" s="62">
        <f t="shared" si="269"/>
        <v>0</v>
      </c>
      <c r="IE119" s="2">
        <v>19</v>
      </c>
      <c r="IF119" s="57">
        <f t="shared" si="280"/>
        <v>0</v>
      </c>
      <c r="IG119" s="62">
        <f t="shared" si="275"/>
        <v>0</v>
      </c>
      <c r="IH119" s="2">
        <v>18</v>
      </c>
      <c r="II119" s="57">
        <f t="shared" si="281"/>
        <v>0</v>
      </c>
      <c r="IJ119" s="62">
        <f t="shared" si="282"/>
        <v>0</v>
      </c>
      <c r="IK119" s="2">
        <v>17</v>
      </c>
      <c r="IL119" s="57">
        <f t="shared" si="292"/>
        <v>0</v>
      </c>
      <c r="IM119" s="62">
        <f t="shared" si="287"/>
        <v>0</v>
      </c>
      <c r="IN119" s="2">
        <v>16</v>
      </c>
      <c r="IO119" s="57">
        <f t="shared" si="293"/>
        <v>0</v>
      </c>
      <c r="IP119" s="62">
        <f t="shared" si="294"/>
        <v>0</v>
      </c>
    </row>
    <row r="120" spans="7:250">
      <c r="G120" s="284"/>
      <c r="H120" s="284"/>
      <c r="I120" s="2">
        <f t="shared" si="212"/>
        <v>2115</v>
      </c>
      <c r="J120" s="379">
        <f t="shared" si="264"/>
        <v>2419482.6486655399</v>
      </c>
      <c r="K120" s="2">
        <f t="shared" si="212"/>
        <v>96</v>
      </c>
      <c r="L120" s="57">
        <f t="shared" si="200"/>
        <v>189082</v>
      </c>
      <c r="M120" s="62">
        <f t="shared" ref="M120:M151" si="357">SUM($G$10*$G$11*L120*(EXP(-($G$10*K120))),$G$10*$G$11*L120*(EXP(-($G$10*(K120+0.1)))),$G$10*$G$11*L120*(EXP(-($G$10*(K120+0.2)))),$G$10*$G$11*L120*(EXP(-($G$10*(K120+0.3)))),$G$10*$G$11*L120*(EXP(-($G$10*(K120+0.4)))),$G$10*$G$11*L120*(EXP(-($G$10*(K120+0.5)))),$G$10*$G$11*L120*(EXP(-($G$10*(K120+0.6)))),$G$10*$G$11*L120*(EXP(-($G$10*(K120+0.7)))),$G$10*$G$11*L120*(EXP(-($G$10*(K120+0.8)))),$G$10*$G$11*L120*(EXP(-($G$10*(K120+0.9)))))/10</f>
        <v>15967.272260044469</v>
      </c>
      <c r="N120" s="2">
        <f t="shared" si="270"/>
        <v>95</v>
      </c>
      <c r="O120" s="57">
        <f t="shared" si="207"/>
        <v>293489</v>
      </c>
      <c r="P120" s="62">
        <f t="shared" si="208"/>
        <v>25795.51191704427</v>
      </c>
      <c r="Q120" s="2">
        <f t="shared" si="276"/>
        <v>94</v>
      </c>
      <c r="R120" s="57">
        <f t="shared" si="213"/>
        <v>283523</v>
      </c>
      <c r="S120" s="62">
        <f t="shared" si="214"/>
        <v>25936.561361296321</v>
      </c>
      <c r="T120" s="2">
        <f t="shared" si="283"/>
        <v>93</v>
      </c>
      <c r="U120" s="57">
        <f t="shared" si="220"/>
        <v>143321</v>
      </c>
      <c r="V120" s="62">
        <f t="shared" si="221"/>
        <v>13646.010802772002</v>
      </c>
      <c r="W120" s="2">
        <f t="shared" si="288"/>
        <v>92</v>
      </c>
      <c r="X120" s="57">
        <f t="shared" si="225"/>
        <v>227851</v>
      </c>
      <c r="Y120" s="62">
        <f t="shared" si="226"/>
        <v>22579.722449749679</v>
      </c>
      <c r="Z120" s="2">
        <f t="shared" si="295"/>
        <v>91</v>
      </c>
      <c r="AA120" s="57">
        <f t="shared" si="232"/>
        <v>238727</v>
      </c>
      <c r="AB120" s="62">
        <f t="shared" si="233"/>
        <v>24623.00084671699</v>
      </c>
      <c r="AC120" s="2">
        <f t="shared" si="299"/>
        <v>90</v>
      </c>
      <c r="AD120" s="57">
        <f t="shared" si="237"/>
        <v>250122</v>
      </c>
      <c r="AE120" s="62">
        <f t="shared" si="238"/>
        <v>26851.163653339965</v>
      </c>
      <c r="AF120" s="2">
        <f t="shared" si="303"/>
        <v>89</v>
      </c>
      <c r="AG120" s="57">
        <f t="shared" si="243"/>
        <v>262060</v>
      </c>
      <c r="AH120" s="62">
        <f t="shared" si="244"/>
        <v>29280.853709332303</v>
      </c>
      <c r="AI120" s="2">
        <f t="shared" si="307"/>
        <v>88</v>
      </c>
      <c r="AJ120" s="57">
        <f t="shared" si="250"/>
        <v>274569</v>
      </c>
      <c r="AK120" s="62">
        <f t="shared" si="251"/>
        <v>31930.541185742972</v>
      </c>
      <c r="AL120" s="2">
        <f t="shared" si="311"/>
        <v>87</v>
      </c>
      <c r="AM120" s="57">
        <f t="shared" si="254"/>
        <v>287675</v>
      </c>
      <c r="AN120" s="62">
        <f t="shared" si="255"/>
        <v>34819.992917633353</v>
      </c>
      <c r="AO120" s="2">
        <f t="shared" si="315"/>
        <v>86</v>
      </c>
      <c r="AP120" s="57">
        <f t="shared" si="260"/>
        <v>301406</v>
      </c>
      <c r="AQ120" s="62">
        <f t="shared" si="261"/>
        <v>37970.842149076962</v>
      </c>
      <c r="AR120" s="2">
        <f t="shared" si="319"/>
        <v>85</v>
      </c>
      <c r="AS120" s="57">
        <f t="shared" si="265"/>
        <v>315793</v>
      </c>
      <c r="AT120" s="62">
        <f t="shared" si="266"/>
        <v>41406.890156280664</v>
      </c>
      <c r="AU120" s="2">
        <f t="shared" si="323"/>
        <v>84</v>
      </c>
      <c r="AV120" s="57">
        <f t="shared" si="271"/>
        <v>330866</v>
      </c>
      <c r="AW120" s="62">
        <f t="shared" si="272"/>
        <v>45153.771985888932</v>
      </c>
      <c r="AX120" s="2">
        <f t="shared" si="327"/>
        <v>83</v>
      </c>
      <c r="AY120" s="57">
        <f t="shared" si="277"/>
        <v>346659</v>
      </c>
      <c r="AZ120" s="62">
        <f t="shared" si="278"/>
        <v>49239.78564658454</v>
      </c>
      <c r="BA120" s="2">
        <f t="shared" si="331"/>
        <v>82</v>
      </c>
      <c r="BB120" s="57">
        <f t="shared" si="284"/>
        <v>363206</v>
      </c>
      <c r="BC120" s="62">
        <f t="shared" si="285"/>
        <v>53695.571282153833</v>
      </c>
      <c r="BD120" s="2">
        <f t="shared" si="335"/>
        <v>81</v>
      </c>
      <c r="BE120" s="57">
        <f t="shared" si="289"/>
        <v>380542</v>
      </c>
      <c r="BF120" s="62">
        <f t="shared" si="290"/>
        <v>58554.439574225558</v>
      </c>
      <c r="BG120" s="2">
        <f t="shared" si="339"/>
        <v>80</v>
      </c>
      <c r="BH120" s="57">
        <f t="shared" si="296"/>
        <v>398706</v>
      </c>
      <c r="BI120" s="62">
        <f t="shared" si="297"/>
        <v>63853.070041542371</v>
      </c>
      <c r="BJ120" s="2">
        <f t="shared" si="343"/>
        <v>79</v>
      </c>
      <c r="BK120" s="57">
        <f t="shared" si="300"/>
        <v>417737</v>
      </c>
      <c r="BL120" s="62">
        <f t="shared" si="301"/>
        <v>69631.176699677977</v>
      </c>
      <c r="BM120" s="2">
        <f t="shared" si="347"/>
        <v>78</v>
      </c>
      <c r="BN120" s="57">
        <f t="shared" si="304"/>
        <v>437677</v>
      </c>
      <c r="BO120" s="62">
        <f t="shared" si="305"/>
        <v>75932.254578562264</v>
      </c>
      <c r="BP120" s="2">
        <f t="shared" si="351"/>
        <v>77</v>
      </c>
      <c r="BQ120" s="57">
        <f t="shared" si="308"/>
        <v>458568</v>
      </c>
      <c r="BR120" s="62">
        <f t="shared" si="309"/>
        <v>82803.385698720027</v>
      </c>
      <c r="BS120" s="2">
        <f>IF(BS119="","",(BS119+1))</f>
        <v>76</v>
      </c>
      <c r="BT120" s="57">
        <f t="shared" si="312"/>
        <v>480456</v>
      </c>
      <c r="BU120" s="62">
        <f t="shared" si="313"/>
        <v>90296.257390497514</v>
      </c>
      <c r="BV120" s="2">
        <f>IF(BV119="","",(BV119+1))</f>
        <v>75</v>
      </c>
      <c r="BW120" s="57">
        <f t="shared" si="316"/>
        <v>503389</v>
      </c>
      <c r="BX120" s="62">
        <f t="shared" si="317"/>
        <v>98467.20920511891</v>
      </c>
      <c r="BY120" s="2">
        <v>74</v>
      </c>
      <c r="BZ120" s="57">
        <f t="shared" si="320"/>
        <v>527417</v>
      </c>
      <c r="CA120" s="62">
        <f t="shared" si="321"/>
        <v>107377.62931578248</v>
      </c>
      <c r="CB120" s="2">
        <v>73</v>
      </c>
      <c r="CC120" s="57">
        <f t="shared" si="324"/>
        <v>552592</v>
      </c>
      <c r="CD120" s="62">
        <f t="shared" si="325"/>
        <v>117094.38226158098</v>
      </c>
      <c r="CE120" s="2">
        <v>72</v>
      </c>
      <c r="CF120" s="57">
        <f t="shared" si="328"/>
        <v>578968</v>
      </c>
      <c r="CG120" s="62">
        <f t="shared" si="329"/>
        <v>127690.27033754377</v>
      </c>
      <c r="CH120" s="2">
        <v>71</v>
      </c>
      <c r="CI120" s="57">
        <f t="shared" si="332"/>
        <v>606603</v>
      </c>
      <c r="CJ120" s="62">
        <f t="shared" si="333"/>
        <v>139244.99019043744</v>
      </c>
      <c r="CK120" s="2">
        <v>70</v>
      </c>
      <c r="CL120" s="57">
        <f t="shared" si="336"/>
        <v>635558</v>
      </c>
      <c r="CM120" s="62">
        <f t="shared" si="337"/>
        <v>151845.52382004767</v>
      </c>
      <c r="CN120" s="2">
        <v>69</v>
      </c>
      <c r="CO120" s="57">
        <f t="shared" si="340"/>
        <v>665894</v>
      </c>
      <c r="CP120" s="62">
        <f t="shared" si="341"/>
        <v>165586.02676376997</v>
      </c>
      <c r="CQ120" s="2">
        <v>68</v>
      </c>
      <c r="CR120" s="57">
        <f t="shared" si="344"/>
        <v>697679</v>
      </c>
      <c r="CS120" s="62">
        <f t="shared" si="345"/>
        <v>180570.17291376315</v>
      </c>
      <c r="CT120" s="2">
        <v>67</v>
      </c>
      <c r="CU120" s="57">
        <f t="shared" si="348"/>
        <v>730980</v>
      </c>
      <c r="CV120" s="62">
        <f t="shared" si="349"/>
        <v>196909.9386169413</v>
      </c>
      <c r="CW120" s="2">
        <v>66</v>
      </c>
      <c r="CX120" s="57">
        <f t="shared" si="352"/>
        <v>765871</v>
      </c>
      <c r="CY120" s="62">
        <f t="shared" si="353"/>
        <v>214728.42893367127</v>
      </c>
      <c r="CZ120" s="2">
        <v>65</v>
      </c>
      <c r="DA120" s="57">
        <f t="shared" si="196"/>
        <v>0</v>
      </c>
      <c r="DB120" s="62">
        <f t="shared" si="355"/>
        <v>0</v>
      </c>
      <c r="DC120" s="2">
        <v>64</v>
      </c>
      <c r="DD120" s="57">
        <f t="shared" si="202"/>
        <v>0</v>
      </c>
      <c r="DE120" s="62">
        <f t="shared" ref="DE120:DE151" si="358">SUM($G$10*$G$11*DD120*(EXP(-($G$10*DC120))),$G$10*$G$11*DD120*(EXP(-($G$10*(DC120+0.1)))),$G$10*$G$11*DD120*(EXP(-($G$10*(DC120+0.2)))),$G$10*$G$11*DD120*(EXP(-($G$10*(DC120+0.3)))),$G$10*$G$11*DD120*(EXP(-($G$10*(DC120+0.4)))),$G$10*$G$11*DD120*(EXP(-($G$10*(DC120+0.5)))),$G$10*$G$11*DD120*(EXP(-($G$10*(DC120+0.6)))),$G$10*$G$11*DD120*(EXP(-($G$10*(DC120+0.7)))),$G$10*$G$11*DD120*(EXP(-($G$10*(DC120+0.8)))),$G$10*$G$11*DD120*(EXP(-($G$10*(DC120+0.9)))))/10</f>
        <v>0</v>
      </c>
      <c r="DF120" s="2">
        <v>63</v>
      </c>
      <c r="DG120" s="57">
        <f t="shared" si="209"/>
        <v>0</v>
      </c>
      <c r="DH120" s="62">
        <f t="shared" si="210"/>
        <v>0</v>
      </c>
      <c r="DI120" s="2">
        <v>62</v>
      </c>
      <c r="DJ120" s="57">
        <f t="shared" si="215"/>
        <v>0</v>
      </c>
      <c r="DK120" s="62">
        <f t="shared" si="216"/>
        <v>0</v>
      </c>
      <c r="DL120" s="2">
        <v>61</v>
      </c>
      <c r="DM120" s="57">
        <f t="shared" si="222"/>
        <v>0</v>
      </c>
      <c r="DN120" s="62">
        <f t="shared" si="223"/>
        <v>0</v>
      </c>
      <c r="DO120" s="2">
        <v>60</v>
      </c>
      <c r="DP120" s="57">
        <f t="shared" si="227"/>
        <v>0</v>
      </c>
      <c r="DQ120" s="62">
        <f t="shared" si="228"/>
        <v>0</v>
      </c>
      <c r="DR120" s="2">
        <v>59</v>
      </c>
      <c r="DS120" s="57">
        <f t="shared" si="234"/>
        <v>0</v>
      </c>
      <c r="DT120" s="62">
        <f t="shared" si="235"/>
        <v>0</v>
      </c>
      <c r="DU120" s="2">
        <v>58</v>
      </c>
      <c r="DV120" s="57">
        <f t="shared" si="239"/>
        <v>0</v>
      </c>
      <c r="DW120" s="62">
        <f t="shared" si="240"/>
        <v>0</v>
      </c>
      <c r="DX120" s="2">
        <v>57</v>
      </c>
      <c r="DY120" s="57">
        <f t="shared" si="245"/>
        <v>0</v>
      </c>
      <c r="DZ120" s="62">
        <f t="shared" si="246"/>
        <v>0</v>
      </c>
      <c r="EA120" s="2">
        <v>56</v>
      </c>
      <c r="EB120" s="57">
        <f t="shared" si="109"/>
        <v>0</v>
      </c>
      <c r="EC120" s="62">
        <f t="shared" si="252"/>
        <v>0</v>
      </c>
      <c r="ED120" s="2">
        <v>55</v>
      </c>
      <c r="EE120" s="57">
        <f t="shared" si="113"/>
        <v>0</v>
      </c>
      <c r="EF120" s="62">
        <f t="shared" si="256"/>
        <v>0</v>
      </c>
      <c r="EG120" s="2">
        <v>54</v>
      </c>
      <c r="EH120" s="57">
        <f t="shared" si="117"/>
        <v>0</v>
      </c>
      <c r="EI120" s="62">
        <f t="shared" si="262"/>
        <v>0</v>
      </c>
      <c r="EJ120" s="2">
        <v>53</v>
      </c>
      <c r="EK120" s="57">
        <f t="shared" si="121"/>
        <v>0</v>
      </c>
      <c r="EL120" s="62">
        <f t="shared" si="267"/>
        <v>0</v>
      </c>
      <c r="EM120" s="2">
        <v>52</v>
      </c>
      <c r="EN120" s="57">
        <f t="shared" si="125"/>
        <v>0</v>
      </c>
      <c r="EO120" s="62">
        <f t="shared" si="273"/>
        <v>0</v>
      </c>
      <c r="EP120" s="2">
        <v>51</v>
      </c>
      <c r="EQ120" s="57">
        <f t="shared" si="129"/>
        <v>0</v>
      </c>
      <c r="ER120" s="62">
        <f t="shared" si="279"/>
        <v>0</v>
      </c>
      <c r="ES120" s="2">
        <v>50</v>
      </c>
      <c r="ET120" s="57">
        <f t="shared" si="130"/>
        <v>0</v>
      </c>
      <c r="EU120" s="62">
        <f t="shared" si="286"/>
        <v>0</v>
      </c>
      <c r="EV120" s="2">
        <v>49</v>
      </c>
      <c r="EW120" s="57">
        <f t="shared" si="134"/>
        <v>0</v>
      </c>
      <c r="EX120" s="62">
        <f t="shared" si="291"/>
        <v>0</v>
      </c>
      <c r="EY120" s="63">
        <v>48</v>
      </c>
      <c r="EZ120" s="57">
        <f t="shared" si="141"/>
        <v>0</v>
      </c>
      <c r="FA120" s="62">
        <f t="shared" si="298"/>
        <v>0</v>
      </c>
      <c r="FB120" s="63">
        <v>47</v>
      </c>
      <c r="FC120" s="57">
        <f t="shared" si="142"/>
        <v>0</v>
      </c>
      <c r="FD120" s="62">
        <f t="shared" si="302"/>
        <v>0</v>
      </c>
      <c r="FE120" s="2">
        <v>46</v>
      </c>
      <c r="FF120" s="57">
        <f t="shared" si="149"/>
        <v>0</v>
      </c>
      <c r="FG120" s="62">
        <f t="shared" si="306"/>
        <v>0</v>
      </c>
      <c r="FH120" s="2">
        <v>45</v>
      </c>
      <c r="FI120" s="57">
        <f t="shared" si="150"/>
        <v>0</v>
      </c>
      <c r="FJ120" s="62">
        <f t="shared" si="310"/>
        <v>0</v>
      </c>
      <c r="FK120" s="2">
        <v>44</v>
      </c>
      <c r="FL120" s="57">
        <f t="shared" si="157"/>
        <v>0</v>
      </c>
      <c r="FM120" s="62">
        <f t="shared" si="314"/>
        <v>0</v>
      </c>
      <c r="FN120" s="2">
        <v>43</v>
      </c>
      <c r="FO120" s="57">
        <f t="shared" si="158"/>
        <v>0</v>
      </c>
      <c r="FP120" s="62">
        <f t="shared" si="318"/>
        <v>0</v>
      </c>
      <c r="FQ120" s="2">
        <v>42</v>
      </c>
      <c r="FR120" s="57">
        <f t="shared" si="165"/>
        <v>0</v>
      </c>
      <c r="FS120" s="62">
        <f t="shared" si="322"/>
        <v>0</v>
      </c>
      <c r="FT120" s="2">
        <v>41</v>
      </c>
      <c r="FU120" s="57">
        <f t="shared" si="166"/>
        <v>0</v>
      </c>
      <c r="FV120" s="62">
        <f t="shared" si="326"/>
        <v>0</v>
      </c>
      <c r="FW120" s="2">
        <v>40</v>
      </c>
      <c r="FX120" s="57">
        <f t="shared" si="170"/>
        <v>0</v>
      </c>
      <c r="FY120" s="62">
        <f t="shared" si="330"/>
        <v>0</v>
      </c>
      <c r="FZ120" s="2">
        <v>39</v>
      </c>
      <c r="GA120" s="57">
        <f t="shared" si="177"/>
        <v>0</v>
      </c>
      <c r="GB120" s="62">
        <f t="shared" si="334"/>
        <v>0</v>
      </c>
      <c r="GC120" s="2">
        <v>38</v>
      </c>
      <c r="GD120" s="57">
        <f t="shared" si="178"/>
        <v>0</v>
      </c>
      <c r="GE120" s="62">
        <f t="shared" si="338"/>
        <v>0</v>
      </c>
      <c r="GF120" s="2">
        <v>37</v>
      </c>
      <c r="GG120" s="57">
        <f t="shared" si="185"/>
        <v>0</v>
      </c>
      <c r="GH120" s="62">
        <f t="shared" si="342"/>
        <v>0</v>
      </c>
      <c r="GI120" s="2">
        <v>36</v>
      </c>
      <c r="GJ120" s="57">
        <f t="shared" si="186"/>
        <v>0</v>
      </c>
      <c r="GK120" s="62">
        <f t="shared" si="346"/>
        <v>0</v>
      </c>
      <c r="GL120" s="2">
        <v>35</v>
      </c>
      <c r="GM120" s="57">
        <f t="shared" si="193"/>
        <v>0</v>
      </c>
      <c r="GN120" s="62">
        <f t="shared" si="350"/>
        <v>0</v>
      </c>
      <c r="GO120" s="2">
        <v>34</v>
      </c>
      <c r="GP120" s="57">
        <f t="shared" si="194"/>
        <v>0</v>
      </c>
      <c r="GQ120" s="62">
        <f t="shared" si="354"/>
        <v>0</v>
      </c>
      <c r="GR120" s="2">
        <v>33</v>
      </c>
      <c r="GS120" s="57">
        <f t="shared" si="204"/>
        <v>0</v>
      </c>
      <c r="GT120" s="62">
        <f t="shared" si="356"/>
        <v>0</v>
      </c>
      <c r="GU120" s="2">
        <v>32</v>
      </c>
      <c r="GV120" s="57">
        <f t="shared" si="205"/>
        <v>0</v>
      </c>
      <c r="GW120" s="62">
        <f t="shared" ref="GW120:GW151" si="359">SUM($G$10*$G$11*GV120*(EXP(-($G$10*GU120))),$G$10*$G$11*GV120*(EXP(-($G$10*(GU120+0.1)))),$G$10*$G$11*GV120*(EXP(-($G$10*(GU120+0.2)))),$G$10*$G$11*GV120*(EXP(-($G$10*(GU120+0.3)))),$G$10*$G$11*GV120*(EXP(-($G$10*(GU120+0.4)))),$G$10*$G$11*GV120*(EXP(-($G$10*(GU120+0.5)))),$G$10*$G$11*GV120*(EXP(-($G$10*(GU120+0.6)))),$G$10*$G$11*GV120*(EXP(-($G$10*(GU120+0.7)))),$G$10*$G$11*GV120*(EXP(-($G$10*(GU120+0.8)))),$G$10*$G$11*GV120*(EXP(-($G$10*(GU120+0.9)))))/10</f>
        <v>0</v>
      </c>
      <c r="GX120" s="2">
        <v>31</v>
      </c>
      <c r="GY120" s="57">
        <f t="shared" si="217"/>
        <v>0</v>
      </c>
      <c r="GZ120" s="62">
        <f t="shared" si="211"/>
        <v>0</v>
      </c>
      <c r="HA120" s="2">
        <v>30</v>
      </c>
      <c r="HB120" s="57">
        <f t="shared" si="218"/>
        <v>0</v>
      </c>
      <c r="HC120" s="62">
        <f t="shared" si="219"/>
        <v>0</v>
      </c>
      <c r="HD120" s="2">
        <v>29</v>
      </c>
      <c r="HE120" s="57">
        <f t="shared" si="229"/>
        <v>0</v>
      </c>
      <c r="HF120" s="62">
        <f t="shared" si="224"/>
        <v>0</v>
      </c>
      <c r="HG120" s="2">
        <v>28</v>
      </c>
      <c r="HH120" s="57">
        <f t="shared" si="230"/>
        <v>0</v>
      </c>
      <c r="HI120" s="62">
        <f t="shared" si="231"/>
        <v>0</v>
      </c>
      <c r="HJ120" s="2">
        <v>27</v>
      </c>
      <c r="HK120" s="57">
        <f t="shared" si="241"/>
        <v>0</v>
      </c>
      <c r="HL120" s="62">
        <f t="shared" si="236"/>
        <v>0</v>
      </c>
      <c r="HM120" s="2">
        <v>26</v>
      </c>
      <c r="HN120" s="57">
        <f t="shared" si="247"/>
        <v>0</v>
      </c>
      <c r="HO120" s="62">
        <f t="shared" si="242"/>
        <v>0</v>
      </c>
      <c r="HP120" s="2">
        <v>25</v>
      </c>
      <c r="HQ120" s="57">
        <f t="shared" si="248"/>
        <v>0</v>
      </c>
      <c r="HR120" s="62">
        <f t="shared" si="249"/>
        <v>0</v>
      </c>
      <c r="HS120" s="2">
        <v>24</v>
      </c>
      <c r="HT120" s="57">
        <f t="shared" si="257"/>
        <v>0</v>
      </c>
      <c r="HU120" s="62">
        <f t="shared" si="253"/>
        <v>0</v>
      </c>
      <c r="HV120" s="2">
        <v>23</v>
      </c>
      <c r="HW120" s="57">
        <f t="shared" si="258"/>
        <v>0</v>
      </c>
      <c r="HX120" s="62">
        <f t="shared" si="259"/>
        <v>0</v>
      </c>
      <c r="HY120" s="2">
        <v>22</v>
      </c>
      <c r="HZ120" s="57">
        <f t="shared" si="268"/>
        <v>0</v>
      </c>
      <c r="IA120" s="62">
        <f t="shared" si="263"/>
        <v>0</v>
      </c>
      <c r="IB120" s="2">
        <v>21</v>
      </c>
      <c r="IC120" s="57">
        <f t="shared" si="274"/>
        <v>0</v>
      </c>
      <c r="ID120" s="62">
        <f t="shared" si="269"/>
        <v>0</v>
      </c>
      <c r="IE120" s="2">
        <v>20</v>
      </c>
      <c r="IF120" s="57">
        <f t="shared" si="280"/>
        <v>0</v>
      </c>
      <c r="IG120" s="62">
        <f t="shared" si="275"/>
        <v>0</v>
      </c>
      <c r="IH120" s="2">
        <v>19</v>
      </c>
      <c r="II120" s="57">
        <f t="shared" si="281"/>
        <v>0</v>
      </c>
      <c r="IJ120" s="62">
        <f t="shared" si="282"/>
        <v>0</v>
      </c>
      <c r="IK120" s="2">
        <v>18</v>
      </c>
      <c r="IL120" s="57">
        <f t="shared" si="292"/>
        <v>0</v>
      </c>
      <c r="IM120" s="62">
        <f t="shared" si="287"/>
        <v>0</v>
      </c>
      <c r="IN120" s="2">
        <v>17</v>
      </c>
      <c r="IO120" s="57">
        <f t="shared" si="293"/>
        <v>0</v>
      </c>
      <c r="IP120" s="62">
        <f t="shared" si="294"/>
        <v>0</v>
      </c>
    </row>
    <row r="121" spans="7:250">
      <c r="G121" s="284"/>
      <c r="H121" s="284"/>
      <c r="I121" s="2">
        <f t="shared" si="212"/>
        <v>2116</v>
      </c>
      <c r="J121" s="379">
        <f t="shared" si="264"/>
        <v>2324613.3770501413</v>
      </c>
      <c r="K121" s="2">
        <f t="shared" si="212"/>
        <v>97</v>
      </c>
      <c r="L121" s="57">
        <f t="shared" si="200"/>
        <v>189082</v>
      </c>
      <c r="M121" s="62">
        <f t="shared" si="357"/>
        <v>15341.186559520575</v>
      </c>
      <c r="N121" s="2">
        <f t="shared" si="270"/>
        <v>96</v>
      </c>
      <c r="O121" s="57">
        <f t="shared" si="207"/>
        <v>293489</v>
      </c>
      <c r="P121" s="62">
        <f t="shared" ref="P121:P152" si="360">SUM($G$10*$G$11*O121*(EXP(-($G$10*N121))),$G$10*$G$11*O121*(EXP(-($G$10*(N121+0.1)))),$G$10*$G$11*O121*(EXP(-($G$10*(N121+0.2)))),$G$10*$G$11*O121*(EXP(-($G$10*(N121+0.3)))),$G$10*$G$11*O121*(EXP(-($G$10*(N121+0.4)))),$G$10*$G$11*O121*(EXP(-($G$10*(N121+0.5)))),$G$10*$G$11*O121*(EXP(-($G$10*(N121+0.6)))),$G$10*$G$11*O121*(EXP(-($G$10*(N121+0.7)))),$G$10*$G$11*O121*(EXP(-($G$10*(N121+0.8)))),$G$10*$G$11*O121*(EXP(-($G$10*(N121+0.9)))))/10</f>
        <v>24784.055427424035</v>
      </c>
      <c r="Q121" s="2">
        <f t="shared" si="276"/>
        <v>95</v>
      </c>
      <c r="R121" s="57">
        <f t="shared" si="213"/>
        <v>283523</v>
      </c>
      <c r="S121" s="62">
        <f t="shared" si="214"/>
        <v>24919.574243859712</v>
      </c>
      <c r="T121" s="2">
        <f t="shared" si="283"/>
        <v>94</v>
      </c>
      <c r="U121" s="57">
        <f t="shared" si="220"/>
        <v>143321</v>
      </c>
      <c r="V121" s="62">
        <f t="shared" si="221"/>
        <v>13110.943065861851</v>
      </c>
      <c r="W121" s="2">
        <f t="shared" si="288"/>
        <v>93</v>
      </c>
      <c r="X121" s="57">
        <f t="shared" si="225"/>
        <v>227851</v>
      </c>
      <c r="Y121" s="62">
        <f t="shared" si="226"/>
        <v>21694.358868710122</v>
      </c>
      <c r="Z121" s="2">
        <f t="shared" si="295"/>
        <v>92</v>
      </c>
      <c r="AA121" s="57">
        <f t="shared" si="232"/>
        <v>238727</v>
      </c>
      <c r="AB121" s="62">
        <f t="shared" si="233"/>
        <v>23657.519173764398</v>
      </c>
      <c r="AC121" s="2">
        <f t="shared" si="299"/>
        <v>91</v>
      </c>
      <c r="AD121" s="57">
        <f t="shared" si="237"/>
        <v>250122</v>
      </c>
      <c r="AE121" s="62">
        <f t="shared" si="238"/>
        <v>25798.314467079752</v>
      </c>
      <c r="AF121" s="2">
        <f t="shared" si="303"/>
        <v>90</v>
      </c>
      <c r="AG121" s="57">
        <f t="shared" si="243"/>
        <v>262060</v>
      </c>
      <c r="AH121" s="62">
        <f t="shared" si="244"/>
        <v>28132.735013290607</v>
      </c>
      <c r="AI121" s="2">
        <f t="shared" si="307"/>
        <v>89</v>
      </c>
      <c r="AJ121" s="57">
        <f t="shared" si="250"/>
        <v>274569</v>
      </c>
      <c r="AK121" s="62">
        <f t="shared" si="251"/>
        <v>30678.526757680149</v>
      </c>
      <c r="AL121" s="2">
        <f t="shared" si="311"/>
        <v>88</v>
      </c>
      <c r="AM121" s="57">
        <f t="shared" si="254"/>
        <v>287675</v>
      </c>
      <c r="AN121" s="62">
        <f t="shared" si="255"/>
        <v>33454.681466620816</v>
      </c>
      <c r="AO121" s="2">
        <f t="shared" si="315"/>
        <v>87</v>
      </c>
      <c r="AP121" s="57">
        <f t="shared" si="260"/>
        <v>301406</v>
      </c>
      <c r="AQ121" s="62">
        <f t="shared" si="261"/>
        <v>36481.984132553043</v>
      </c>
      <c r="AR121" s="2">
        <f t="shared" si="319"/>
        <v>86</v>
      </c>
      <c r="AS121" s="57">
        <f t="shared" si="265"/>
        <v>315793</v>
      </c>
      <c r="AT121" s="62">
        <f t="shared" si="266"/>
        <v>39783.302770294751</v>
      </c>
      <c r="AU121" s="2">
        <f t="shared" si="323"/>
        <v>85</v>
      </c>
      <c r="AV121" s="57">
        <f t="shared" si="271"/>
        <v>330866</v>
      </c>
      <c r="AW121" s="62">
        <f t="shared" si="272"/>
        <v>43383.267261934103</v>
      </c>
      <c r="AX121" s="2">
        <f t="shared" si="327"/>
        <v>84</v>
      </c>
      <c r="AY121" s="57">
        <f t="shared" si="277"/>
        <v>346659</v>
      </c>
      <c r="AZ121" s="62">
        <f t="shared" si="278"/>
        <v>47309.066035362557</v>
      </c>
      <c r="BA121" s="2">
        <f t="shared" si="331"/>
        <v>83</v>
      </c>
      <c r="BB121" s="57">
        <f t="shared" si="284"/>
        <v>363206</v>
      </c>
      <c r="BC121" s="62">
        <f t="shared" si="285"/>
        <v>51590.137817144161</v>
      </c>
      <c r="BD121" s="2">
        <f t="shared" si="335"/>
        <v>82</v>
      </c>
      <c r="BE121" s="57">
        <f t="shared" si="289"/>
        <v>380542</v>
      </c>
      <c r="BF121" s="62">
        <f t="shared" si="290"/>
        <v>56258.487158398762</v>
      </c>
      <c r="BG121" s="2">
        <f t="shared" si="339"/>
        <v>81</v>
      </c>
      <c r="BH121" s="57">
        <f t="shared" si="296"/>
        <v>398706</v>
      </c>
      <c r="BI121" s="62">
        <f t="shared" si="297"/>
        <v>61349.355353367493</v>
      </c>
      <c r="BJ121" s="2">
        <f t="shared" si="343"/>
        <v>80</v>
      </c>
      <c r="BK121" s="57">
        <f t="shared" si="300"/>
        <v>417737</v>
      </c>
      <c r="BL121" s="62">
        <f t="shared" si="301"/>
        <v>66900.899208799921</v>
      </c>
      <c r="BM121" s="2">
        <f t="shared" si="347"/>
        <v>79</v>
      </c>
      <c r="BN121" s="57">
        <f t="shared" si="304"/>
        <v>437677</v>
      </c>
      <c r="BO121" s="62">
        <f t="shared" si="305"/>
        <v>72954.908290108287</v>
      </c>
      <c r="BP121" s="2">
        <f t="shared" si="351"/>
        <v>78</v>
      </c>
      <c r="BQ121" s="57">
        <f t="shared" si="308"/>
        <v>458568</v>
      </c>
      <c r="BR121" s="62">
        <f t="shared" si="309"/>
        <v>79556.618505386723</v>
      </c>
      <c r="BS121" s="2">
        <f>IF(BS120="","",(BS120+1))</f>
        <v>77</v>
      </c>
      <c r="BT121" s="57">
        <f t="shared" si="312"/>
        <v>480456</v>
      </c>
      <c r="BU121" s="62">
        <f t="shared" si="313"/>
        <v>86755.69049576993</v>
      </c>
      <c r="BV121" s="2">
        <f>IF(BV120="","",(BV120+1))</f>
        <v>76</v>
      </c>
      <c r="BW121" s="57">
        <f t="shared" si="316"/>
        <v>503389</v>
      </c>
      <c r="BX121" s="62">
        <f t="shared" si="317"/>
        <v>94606.254707080676</v>
      </c>
      <c r="BY121" s="2">
        <f>IF(BY120="","",(BY120+1))</f>
        <v>75</v>
      </c>
      <c r="BZ121" s="57">
        <f t="shared" si="320"/>
        <v>527417</v>
      </c>
      <c r="CA121" s="62">
        <f t="shared" si="321"/>
        <v>103167.29224781672</v>
      </c>
      <c r="CB121" s="2">
        <v>74</v>
      </c>
      <c r="CC121" s="57">
        <f t="shared" si="324"/>
        <v>552592</v>
      </c>
      <c r="CD121" s="62">
        <f t="shared" si="325"/>
        <v>112503.04586099212</v>
      </c>
      <c r="CE121" s="2">
        <v>73</v>
      </c>
      <c r="CF121" s="57">
        <f t="shared" si="328"/>
        <v>578968</v>
      </c>
      <c r="CG121" s="62">
        <f t="shared" si="329"/>
        <v>122683.46322281721</v>
      </c>
      <c r="CH121" s="2">
        <v>72</v>
      </c>
      <c r="CI121" s="57">
        <f t="shared" si="332"/>
        <v>606603</v>
      </c>
      <c r="CJ121" s="62">
        <f t="shared" si="333"/>
        <v>133785.1160298411</v>
      </c>
      <c r="CK121" s="2">
        <v>71</v>
      </c>
      <c r="CL121" s="57">
        <f t="shared" si="336"/>
        <v>635558</v>
      </c>
      <c r="CM121" s="62">
        <f t="shared" si="337"/>
        <v>145891.57566885432</v>
      </c>
      <c r="CN121" s="2">
        <v>70</v>
      </c>
      <c r="CO121" s="57">
        <f t="shared" si="340"/>
        <v>665894</v>
      </c>
      <c r="CP121" s="62">
        <f t="shared" si="341"/>
        <v>159093.30578582414</v>
      </c>
      <c r="CQ121" s="2">
        <v>69</v>
      </c>
      <c r="CR121" s="57">
        <f t="shared" si="344"/>
        <v>697679</v>
      </c>
      <c r="CS121" s="62">
        <f t="shared" si="345"/>
        <v>173489.91516145252</v>
      </c>
      <c r="CT121" s="2">
        <v>68</v>
      </c>
      <c r="CU121" s="57">
        <f t="shared" si="348"/>
        <v>730980</v>
      </c>
      <c r="CV121" s="62">
        <f t="shared" si="349"/>
        <v>189188.98948728942</v>
      </c>
      <c r="CW121" s="2">
        <v>67</v>
      </c>
      <c r="CX121" s="57">
        <f t="shared" si="352"/>
        <v>765871</v>
      </c>
      <c r="CY121" s="62">
        <f t="shared" si="353"/>
        <v>206308.80680524153</v>
      </c>
      <c r="CZ121" s="2">
        <v>66</v>
      </c>
      <c r="DA121" s="57">
        <f t="shared" si="196"/>
        <v>0</v>
      </c>
      <c r="DB121" s="62">
        <f t="shared" si="355"/>
        <v>0</v>
      </c>
      <c r="DC121" s="2">
        <v>65</v>
      </c>
      <c r="DD121" s="57">
        <f t="shared" si="202"/>
        <v>0</v>
      </c>
      <c r="DE121" s="62">
        <f t="shared" si="358"/>
        <v>0</v>
      </c>
      <c r="DF121" s="2">
        <v>64</v>
      </c>
      <c r="DG121" s="57">
        <f t="shared" si="209"/>
        <v>0</v>
      </c>
      <c r="DH121" s="62">
        <f t="shared" ref="DH121:DH152" si="361">SUM($G$10*$G$11*DG121*(EXP(-($G$10*DF121))),$G$10*$G$11*DG121*(EXP(-($G$10*(DF121+0.1)))),$G$10*$G$11*DG121*(EXP(-($G$10*(DF121+0.2)))),$G$10*$G$11*DG121*(EXP(-($G$10*(DF121+0.3)))),$G$10*$G$11*DG121*(EXP(-($G$10*(DF121+0.4)))),$G$10*$G$11*DG121*(EXP(-($G$10*(DF121+0.5)))),$G$10*$G$11*DG121*(EXP(-($G$10*(DF121+0.6)))),$G$10*$G$11*DG121*(EXP(-($G$10*(DF121+0.7)))),$G$10*$G$11*DG121*(EXP(-($G$10*(DF121+0.8)))),$G$10*$G$11*DG121*(EXP(-($G$10*(DF121+0.9)))))/10</f>
        <v>0</v>
      </c>
      <c r="DI121" s="2">
        <v>63</v>
      </c>
      <c r="DJ121" s="57">
        <f t="shared" si="215"/>
        <v>0</v>
      </c>
      <c r="DK121" s="62">
        <f t="shared" si="216"/>
        <v>0</v>
      </c>
      <c r="DL121" s="2">
        <v>62</v>
      </c>
      <c r="DM121" s="57">
        <f t="shared" si="222"/>
        <v>0</v>
      </c>
      <c r="DN121" s="62">
        <f t="shared" si="223"/>
        <v>0</v>
      </c>
      <c r="DO121" s="2">
        <v>61</v>
      </c>
      <c r="DP121" s="57">
        <f t="shared" si="227"/>
        <v>0</v>
      </c>
      <c r="DQ121" s="62">
        <f t="shared" si="228"/>
        <v>0</v>
      </c>
      <c r="DR121" s="2">
        <v>60</v>
      </c>
      <c r="DS121" s="57">
        <f t="shared" si="234"/>
        <v>0</v>
      </c>
      <c r="DT121" s="62">
        <f t="shared" si="235"/>
        <v>0</v>
      </c>
      <c r="DU121" s="2">
        <v>59</v>
      </c>
      <c r="DV121" s="57">
        <f t="shared" si="239"/>
        <v>0</v>
      </c>
      <c r="DW121" s="62">
        <f t="shared" si="240"/>
        <v>0</v>
      </c>
      <c r="DX121" s="2">
        <v>58</v>
      </c>
      <c r="DY121" s="57">
        <f t="shared" si="245"/>
        <v>0</v>
      </c>
      <c r="DZ121" s="62">
        <f t="shared" si="246"/>
        <v>0</v>
      </c>
      <c r="EA121" s="2">
        <v>57</v>
      </c>
      <c r="EB121" s="57">
        <f t="shared" si="109"/>
        <v>0</v>
      </c>
      <c r="EC121" s="62">
        <f t="shared" si="252"/>
        <v>0</v>
      </c>
      <c r="ED121" s="2">
        <v>56</v>
      </c>
      <c r="EE121" s="57">
        <f t="shared" si="113"/>
        <v>0</v>
      </c>
      <c r="EF121" s="62">
        <f t="shared" si="256"/>
        <v>0</v>
      </c>
      <c r="EG121" s="2">
        <v>55</v>
      </c>
      <c r="EH121" s="57">
        <f t="shared" si="117"/>
        <v>0</v>
      </c>
      <c r="EI121" s="62">
        <f t="shared" si="262"/>
        <v>0</v>
      </c>
      <c r="EJ121" s="2">
        <v>54</v>
      </c>
      <c r="EK121" s="57">
        <f t="shared" si="121"/>
        <v>0</v>
      </c>
      <c r="EL121" s="62">
        <f t="shared" si="267"/>
        <v>0</v>
      </c>
      <c r="EM121" s="2">
        <v>53</v>
      </c>
      <c r="EN121" s="57">
        <f t="shared" si="125"/>
        <v>0</v>
      </c>
      <c r="EO121" s="62">
        <f t="shared" si="273"/>
        <v>0</v>
      </c>
      <c r="EP121" s="2">
        <v>52</v>
      </c>
      <c r="EQ121" s="57">
        <f t="shared" si="129"/>
        <v>0</v>
      </c>
      <c r="ER121" s="62">
        <f t="shared" si="279"/>
        <v>0</v>
      </c>
      <c r="ES121" s="2">
        <v>51</v>
      </c>
      <c r="ET121" s="57">
        <f t="shared" si="130"/>
        <v>0</v>
      </c>
      <c r="EU121" s="62">
        <f t="shared" si="286"/>
        <v>0</v>
      </c>
      <c r="EV121" s="2">
        <v>50</v>
      </c>
      <c r="EW121" s="57">
        <f t="shared" si="134"/>
        <v>0</v>
      </c>
      <c r="EX121" s="62">
        <f t="shared" si="291"/>
        <v>0</v>
      </c>
      <c r="EY121" s="2">
        <v>49</v>
      </c>
      <c r="EZ121" s="57">
        <f t="shared" si="141"/>
        <v>0</v>
      </c>
      <c r="FA121" s="62">
        <f t="shared" si="298"/>
        <v>0</v>
      </c>
      <c r="FB121" s="63">
        <v>48</v>
      </c>
      <c r="FC121" s="57">
        <f t="shared" si="142"/>
        <v>0</v>
      </c>
      <c r="FD121" s="62">
        <f t="shared" si="302"/>
        <v>0</v>
      </c>
      <c r="FE121" s="2">
        <v>47</v>
      </c>
      <c r="FF121" s="57">
        <f t="shared" si="149"/>
        <v>0</v>
      </c>
      <c r="FG121" s="62">
        <f t="shared" si="306"/>
        <v>0</v>
      </c>
      <c r="FH121" s="2">
        <v>46</v>
      </c>
      <c r="FI121" s="57">
        <f t="shared" si="150"/>
        <v>0</v>
      </c>
      <c r="FJ121" s="62">
        <f t="shared" si="310"/>
        <v>0</v>
      </c>
      <c r="FK121" s="2">
        <v>45</v>
      </c>
      <c r="FL121" s="57">
        <f t="shared" si="157"/>
        <v>0</v>
      </c>
      <c r="FM121" s="62">
        <f t="shared" si="314"/>
        <v>0</v>
      </c>
      <c r="FN121" s="2">
        <v>44</v>
      </c>
      <c r="FO121" s="57">
        <f t="shared" si="158"/>
        <v>0</v>
      </c>
      <c r="FP121" s="62">
        <f t="shared" si="318"/>
        <v>0</v>
      </c>
      <c r="FQ121" s="2">
        <v>43</v>
      </c>
      <c r="FR121" s="57">
        <f t="shared" si="165"/>
        <v>0</v>
      </c>
      <c r="FS121" s="62">
        <f t="shared" si="322"/>
        <v>0</v>
      </c>
      <c r="FT121" s="2">
        <v>42</v>
      </c>
      <c r="FU121" s="57">
        <f t="shared" si="166"/>
        <v>0</v>
      </c>
      <c r="FV121" s="62">
        <f t="shared" si="326"/>
        <v>0</v>
      </c>
      <c r="FW121" s="2">
        <v>41</v>
      </c>
      <c r="FX121" s="57">
        <f t="shared" si="170"/>
        <v>0</v>
      </c>
      <c r="FY121" s="62">
        <f t="shared" si="330"/>
        <v>0</v>
      </c>
      <c r="FZ121" s="2">
        <v>40</v>
      </c>
      <c r="GA121" s="57">
        <f t="shared" si="177"/>
        <v>0</v>
      </c>
      <c r="GB121" s="62">
        <f t="shared" si="334"/>
        <v>0</v>
      </c>
      <c r="GC121" s="2">
        <v>39</v>
      </c>
      <c r="GD121" s="57">
        <f t="shared" si="178"/>
        <v>0</v>
      </c>
      <c r="GE121" s="62">
        <f t="shared" si="338"/>
        <v>0</v>
      </c>
      <c r="GF121" s="2">
        <v>38</v>
      </c>
      <c r="GG121" s="57">
        <f t="shared" si="185"/>
        <v>0</v>
      </c>
      <c r="GH121" s="62">
        <f t="shared" si="342"/>
        <v>0</v>
      </c>
      <c r="GI121" s="2">
        <v>37</v>
      </c>
      <c r="GJ121" s="57">
        <f t="shared" si="186"/>
        <v>0</v>
      </c>
      <c r="GK121" s="62">
        <f t="shared" si="346"/>
        <v>0</v>
      </c>
      <c r="GL121" s="2">
        <v>36</v>
      </c>
      <c r="GM121" s="57">
        <f t="shared" si="193"/>
        <v>0</v>
      </c>
      <c r="GN121" s="62">
        <f t="shared" si="350"/>
        <v>0</v>
      </c>
      <c r="GO121" s="2">
        <v>35</v>
      </c>
      <c r="GP121" s="57">
        <f t="shared" si="194"/>
        <v>0</v>
      </c>
      <c r="GQ121" s="62">
        <f t="shared" si="354"/>
        <v>0</v>
      </c>
      <c r="GR121" s="2">
        <v>34</v>
      </c>
      <c r="GS121" s="57">
        <f t="shared" si="204"/>
        <v>0</v>
      </c>
      <c r="GT121" s="62">
        <f t="shared" si="356"/>
        <v>0</v>
      </c>
      <c r="GU121" s="2">
        <v>33</v>
      </c>
      <c r="GV121" s="57">
        <f t="shared" si="205"/>
        <v>0</v>
      </c>
      <c r="GW121" s="62">
        <f t="shared" si="359"/>
        <v>0</v>
      </c>
      <c r="GX121" s="2">
        <v>32</v>
      </c>
      <c r="GY121" s="57">
        <f t="shared" si="217"/>
        <v>0</v>
      </c>
      <c r="GZ121" s="62">
        <f t="shared" ref="GZ121:GZ152" si="362">SUM($G$10*$G$11*GY121*(EXP(-($G$10*GX121))),$G$10*$G$11*GY121*(EXP(-($G$10*(GX121+0.1)))),$G$10*$G$11*GY121*(EXP(-($G$10*(GX121+0.2)))),$G$10*$G$11*GY121*(EXP(-($G$10*(GX121+0.3)))),$G$10*$G$11*GY121*(EXP(-($G$10*(GX121+0.4)))),$G$10*$G$11*GY121*(EXP(-($G$10*(GX121+0.5)))),$G$10*$G$11*GY121*(EXP(-($G$10*(GX121+0.6)))),$G$10*$G$11*GY121*(EXP(-($G$10*(GX121+0.7)))),$G$10*$G$11*GY121*(EXP(-($G$10*(GX121+0.8)))),$G$10*$G$11*GY121*(EXP(-($G$10*(GX121+0.9)))))/10</f>
        <v>0</v>
      </c>
      <c r="HA121" s="2">
        <v>31</v>
      </c>
      <c r="HB121" s="57">
        <f t="shared" si="218"/>
        <v>0</v>
      </c>
      <c r="HC121" s="62">
        <f t="shared" si="219"/>
        <v>0</v>
      </c>
      <c r="HD121" s="2">
        <v>30</v>
      </c>
      <c r="HE121" s="57">
        <f t="shared" si="229"/>
        <v>0</v>
      </c>
      <c r="HF121" s="62">
        <f t="shared" si="224"/>
        <v>0</v>
      </c>
      <c r="HG121" s="2">
        <v>29</v>
      </c>
      <c r="HH121" s="57">
        <f t="shared" si="230"/>
        <v>0</v>
      </c>
      <c r="HI121" s="62">
        <f t="shared" si="231"/>
        <v>0</v>
      </c>
      <c r="HJ121" s="2">
        <v>28</v>
      </c>
      <c r="HK121" s="57">
        <f t="shared" si="241"/>
        <v>0</v>
      </c>
      <c r="HL121" s="62">
        <f t="shared" si="236"/>
        <v>0</v>
      </c>
      <c r="HM121" s="2">
        <v>27</v>
      </c>
      <c r="HN121" s="57">
        <f t="shared" si="247"/>
        <v>0</v>
      </c>
      <c r="HO121" s="62">
        <f t="shared" si="242"/>
        <v>0</v>
      </c>
      <c r="HP121" s="2">
        <v>26</v>
      </c>
      <c r="HQ121" s="57">
        <f t="shared" si="248"/>
        <v>0</v>
      </c>
      <c r="HR121" s="62">
        <f t="shared" si="249"/>
        <v>0</v>
      </c>
      <c r="HS121" s="2">
        <v>25</v>
      </c>
      <c r="HT121" s="57">
        <f t="shared" si="257"/>
        <v>0</v>
      </c>
      <c r="HU121" s="62">
        <f t="shared" si="253"/>
        <v>0</v>
      </c>
      <c r="HV121" s="2">
        <v>24</v>
      </c>
      <c r="HW121" s="57">
        <f t="shared" si="258"/>
        <v>0</v>
      </c>
      <c r="HX121" s="62">
        <f t="shared" si="259"/>
        <v>0</v>
      </c>
      <c r="HY121" s="2">
        <v>23</v>
      </c>
      <c r="HZ121" s="57">
        <f t="shared" si="268"/>
        <v>0</v>
      </c>
      <c r="IA121" s="62">
        <f t="shared" si="263"/>
        <v>0</v>
      </c>
      <c r="IB121" s="2">
        <v>22</v>
      </c>
      <c r="IC121" s="57">
        <f t="shared" si="274"/>
        <v>0</v>
      </c>
      <c r="ID121" s="62">
        <f t="shared" si="269"/>
        <v>0</v>
      </c>
      <c r="IE121" s="2">
        <v>21</v>
      </c>
      <c r="IF121" s="57">
        <f t="shared" si="280"/>
        <v>0</v>
      </c>
      <c r="IG121" s="62">
        <f t="shared" si="275"/>
        <v>0</v>
      </c>
      <c r="IH121" s="2">
        <v>20</v>
      </c>
      <c r="II121" s="57">
        <f t="shared" si="281"/>
        <v>0</v>
      </c>
      <c r="IJ121" s="62">
        <f t="shared" si="282"/>
        <v>0</v>
      </c>
      <c r="IK121" s="2">
        <v>19</v>
      </c>
      <c r="IL121" s="57">
        <f t="shared" si="292"/>
        <v>0</v>
      </c>
      <c r="IM121" s="62">
        <f t="shared" si="287"/>
        <v>0</v>
      </c>
      <c r="IN121" s="2">
        <v>18</v>
      </c>
      <c r="IO121" s="57">
        <f t="shared" si="293"/>
        <v>0</v>
      </c>
      <c r="IP121" s="62">
        <f t="shared" si="294"/>
        <v>0</v>
      </c>
    </row>
    <row r="122" spans="7:250">
      <c r="G122" s="284"/>
      <c r="H122" s="284"/>
      <c r="I122" s="2">
        <f t="shared" si="212"/>
        <v>2117</v>
      </c>
      <c r="J122" s="379">
        <f t="shared" si="264"/>
        <v>2233463.9827819928</v>
      </c>
      <c r="K122" s="2">
        <f t="shared" si="212"/>
        <v>98</v>
      </c>
      <c r="L122" s="57">
        <f t="shared" si="200"/>
        <v>189082</v>
      </c>
      <c r="M122" s="62">
        <f t="shared" si="357"/>
        <v>14739.650030452929</v>
      </c>
      <c r="N122" s="2">
        <f t="shared" si="270"/>
        <v>97</v>
      </c>
      <c r="O122" s="57">
        <f t="shared" si="207"/>
        <v>293489</v>
      </c>
      <c r="P122" s="62">
        <f t="shared" si="360"/>
        <v>23812.25871403483</v>
      </c>
      <c r="Q122" s="2">
        <f t="shared" si="276"/>
        <v>96</v>
      </c>
      <c r="R122" s="57">
        <f t="shared" si="213"/>
        <v>283523</v>
      </c>
      <c r="S122" s="62">
        <f t="shared" ref="S122:S153" si="363">SUM($G$10*$G$11*R122*(EXP(-($G$10*Q122))),$G$10*$G$11*R122*(EXP(-($G$10*(Q122+0.1)))),$G$10*$G$11*R122*(EXP(-($G$10*(Q122+0.2)))),$G$10*$G$11*R122*(EXP(-($G$10*(Q122+0.3)))),$G$10*$G$11*R122*(EXP(-($G$10*(Q122+0.4)))),$G$10*$G$11*R122*(EXP(-($G$10*(Q122+0.5)))),$G$10*$G$11*R122*(EXP(-($G$10*(Q122+0.6)))),$G$10*$G$11*R122*(EXP(-($G$10*(Q122+0.7)))),$G$10*$G$11*R122*(EXP(-($G$10*(Q122+0.8)))),$G$10*$G$11*R122*(EXP(-($G$10*(Q122+0.9)))))/10</f>
        <v>23942.463761672647</v>
      </c>
      <c r="T122" s="2">
        <f t="shared" si="283"/>
        <v>95</v>
      </c>
      <c r="U122" s="57">
        <f t="shared" si="220"/>
        <v>143321</v>
      </c>
      <c r="V122" s="62">
        <f t="shared" si="221"/>
        <v>12596.85563500745</v>
      </c>
      <c r="W122" s="2">
        <f t="shared" si="288"/>
        <v>94</v>
      </c>
      <c r="X122" s="57">
        <f t="shared" si="225"/>
        <v>227851</v>
      </c>
      <c r="Y122" s="62">
        <f t="shared" si="226"/>
        <v>20843.71089023722</v>
      </c>
      <c r="Z122" s="2">
        <f t="shared" si="295"/>
        <v>93</v>
      </c>
      <c r="AA122" s="57">
        <f t="shared" si="232"/>
        <v>238727</v>
      </c>
      <c r="AB122" s="62">
        <f t="shared" si="233"/>
        <v>22729.894578696436</v>
      </c>
      <c r="AC122" s="2">
        <f t="shared" si="299"/>
        <v>92</v>
      </c>
      <c r="AD122" s="57">
        <f t="shared" si="237"/>
        <v>250122</v>
      </c>
      <c r="AE122" s="62">
        <f t="shared" si="238"/>
        <v>24786.748087900818</v>
      </c>
      <c r="AF122" s="2">
        <f t="shared" si="303"/>
        <v>91</v>
      </c>
      <c r="AG122" s="57">
        <f t="shared" si="243"/>
        <v>262060</v>
      </c>
      <c r="AH122" s="62">
        <f t="shared" si="244"/>
        <v>27029.634695240406</v>
      </c>
      <c r="AI122" s="2">
        <f t="shared" si="307"/>
        <v>90</v>
      </c>
      <c r="AJ122" s="57">
        <f t="shared" si="250"/>
        <v>274569</v>
      </c>
      <c r="AK122" s="62">
        <f t="shared" si="251"/>
        <v>29475.60451753105</v>
      </c>
      <c r="AL122" s="2">
        <f t="shared" si="311"/>
        <v>89</v>
      </c>
      <c r="AM122" s="57">
        <f t="shared" si="254"/>
        <v>287675</v>
      </c>
      <c r="AN122" s="62">
        <f t="shared" si="255"/>
        <v>32142.904643334226</v>
      </c>
      <c r="AO122" s="2">
        <f t="shared" si="315"/>
        <v>88</v>
      </c>
      <c r="AP122" s="57">
        <f t="shared" si="260"/>
        <v>301406</v>
      </c>
      <c r="AQ122" s="62">
        <f t="shared" si="261"/>
        <v>35051.505073879591</v>
      </c>
      <c r="AR122" s="2">
        <f t="shared" si="319"/>
        <v>87</v>
      </c>
      <c r="AS122" s="57">
        <f t="shared" si="265"/>
        <v>315793</v>
      </c>
      <c r="AT122" s="62">
        <f t="shared" si="266"/>
        <v>38223.377156298549</v>
      </c>
      <c r="AU122" s="2">
        <f t="shared" si="323"/>
        <v>86</v>
      </c>
      <c r="AV122" s="57">
        <f t="shared" si="271"/>
        <v>330866</v>
      </c>
      <c r="AW122" s="62">
        <f t="shared" si="272"/>
        <v>41682.185021189005</v>
      </c>
      <c r="AX122" s="2">
        <f t="shared" si="327"/>
        <v>85</v>
      </c>
      <c r="AY122" s="57">
        <f t="shared" si="277"/>
        <v>346659</v>
      </c>
      <c r="AZ122" s="62">
        <f t="shared" si="278"/>
        <v>45454.051022936212</v>
      </c>
      <c r="BA122" s="2">
        <f t="shared" si="331"/>
        <v>84</v>
      </c>
      <c r="BB122" s="57">
        <f t="shared" si="284"/>
        <v>363206</v>
      </c>
      <c r="BC122" s="62">
        <f t="shared" si="285"/>
        <v>49567.259579124999</v>
      </c>
      <c r="BD122" s="2">
        <f t="shared" si="335"/>
        <v>83</v>
      </c>
      <c r="BE122" s="57">
        <f t="shared" si="289"/>
        <v>380542</v>
      </c>
      <c r="BF122" s="62">
        <f t="shared" si="290"/>
        <v>54052.560324476122</v>
      </c>
      <c r="BG122" s="2">
        <f t="shared" si="339"/>
        <v>82</v>
      </c>
      <c r="BH122" s="57">
        <f t="shared" si="296"/>
        <v>398706</v>
      </c>
      <c r="BI122" s="62">
        <f t="shared" si="297"/>
        <v>58943.812722318537</v>
      </c>
      <c r="BJ122" s="2">
        <f t="shared" si="343"/>
        <v>81</v>
      </c>
      <c r="BK122" s="57">
        <f t="shared" si="300"/>
        <v>417737</v>
      </c>
      <c r="BL122" s="62">
        <f t="shared" si="301"/>
        <v>64277.677429608979</v>
      </c>
      <c r="BM122" s="2">
        <f t="shared" si="347"/>
        <v>80</v>
      </c>
      <c r="BN122" s="57">
        <f t="shared" si="304"/>
        <v>437677</v>
      </c>
      <c r="BO122" s="62">
        <f t="shared" si="305"/>
        <v>70094.305419462296</v>
      </c>
      <c r="BP122" s="2">
        <f t="shared" si="351"/>
        <v>79</v>
      </c>
      <c r="BQ122" s="57">
        <f t="shared" si="308"/>
        <v>458568</v>
      </c>
      <c r="BR122" s="62">
        <f t="shared" si="309"/>
        <v>76437.158874645829</v>
      </c>
      <c r="BS122" s="2">
        <f>IF(BS121="","",(BS121+1))</f>
        <v>78</v>
      </c>
      <c r="BT122" s="57">
        <f t="shared" si="312"/>
        <v>480456</v>
      </c>
      <c r="BU122" s="62">
        <f t="shared" si="313"/>
        <v>83353.951214703353</v>
      </c>
      <c r="BV122" s="2">
        <f>IF(BV121="","",(BV121+1))</f>
        <v>77</v>
      </c>
      <c r="BW122" s="57">
        <f t="shared" si="316"/>
        <v>503389</v>
      </c>
      <c r="BX122" s="62">
        <f t="shared" si="317"/>
        <v>90896.690400317893</v>
      </c>
      <c r="BY122" s="2">
        <f>IF(BY121="","",(BY121+1))</f>
        <v>76</v>
      </c>
      <c r="BZ122" s="57">
        <f t="shared" si="320"/>
        <v>527417</v>
      </c>
      <c r="CA122" s="62">
        <f t="shared" si="321"/>
        <v>99122.044857643617</v>
      </c>
      <c r="CB122" s="2">
        <f>IF(CB121="","",(CB121+1))</f>
        <v>75</v>
      </c>
      <c r="CC122" s="57">
        <f t="shared" si="324"/>
        <v>552592</v>
      </c>
      <c r="CD122" s="62">
        <f t="shared" si="325"/>
        <v>108091.73833571069</v>
      </c>
      <c r="CE122" s="2">
        <v>74</v>
      </c>
      <c r="CF122" s="57">
        <f t="shared" si="328"/>
        <v>578968</v>
      </c>
      <c r="CG122" s="62">
        <f t="shared" si="329"/>
        <v>117872.97582311521</v>
      </c>
      <c r="CH122" s="2">
        <v>73</v>
      </c>
      <c r="CI122" s="57">
        <f t="shared" si="332"/>
        <v>606603</v>
      </c>
      <c r="CJ122" s="62">
        <f t="shared" si="333"/>
        <v>128539.32659723955</v>
      </c>
      <c r="CK122" s="2">
        <v>72</v>
      </c>
      <c r="CL122" s="57">
        <f t="shared" si="336"/>
        <v>635558</v>
      </c>
      <c r="CM122" s="62">
        <f t="shared" si="337"/>
        <v>140171.08516392726</v>
      </c>
      <c r="CN122" s="2">
        <v>71</v>
      </c>
      <c r="CO122" s="57">
        <f t="shared" si="340"/>
        <v>665894</v>
      </c>
      <c r="CP122" s="62">
        <f t="shared" si="341"/>
        <v>152855.16803885097</v>
      </c>
      <c r="CQ122" s="2">
        <v>70</v>
      </c>
      <c r="CR122" s="57">
        <f t="shared" si="344"/>
        <v>697679</v>
      </c>
      <c r="CS122" s="62">
        <f t="shared" si="345"/>
        <v>166687.2782865561</v>
      </c>
      <c r="CT122" s="2">
        <v>69</v>
      </c>
      <c r="CU122" s="57">
        <f t="shared" si="348"/>
        <v>730980</v>
      </c>
      <c r="CV122" s="62">
        <f t="shared" si="349"/>
        <v>181770.78310328757</v>
      </c>
      <c r="CW122" s="2">
        <v>68</v>
      </c>
      <c r="CX122" s="57">
        <f t="shared" si="352"/>
        <v>765871</v>
      </c>
      <c r="CY122" s="62">
        <f t="shared" si="353"/>
        <v>198219.32278259302</v>
      </c>
      <c r="CZ122" s="2">
        <v>67</v>
      </c>
      <c r="DA122" s="57">
        <f t="shared" si="196"/>
        <v>0</v>
      </c>
      <c r="DB122" s="62">
        <f t="shared" si="355"/>
        <v>0</v>
      </c>
      <c r="DC122" s="2">
        <v>66</v>
      </c>
      <c r="DD122" s="57">
        <f t="shared" si="202"/>
        <v>0</v>
      </c>
      <c r="DE122" s="62">
        <f t="shared" si="358"/>
        <v>0</v>
      </c>
      <c r="DF122" s="2">
        <v>65</v>
      </c>
      <c r="DG122" s="57">
        <f t="shared" si="209"/>
        <v>0</v>
      </c>
      <c r="DH122" s="62">
        <f t="shared" si="361"/>
        <v>0</v>
      </c>
      <c r="DI122" s="2">
        <v>64</v>
      </c>
      <c r="DJ122" s="57">
        <f t="shared" si="215"/>
        <v>0</v>
      </c>
      <c r="DK122" s="62">
        <f t="shared" ref="DK122:DK153" si="364">SUM($G$10*$G$11*DJ122*(EXP(-($G$10*DI122))),$G$10*$G$11*DJ122*(EXP(-($G$10*(DI122+0.1)))),$G$10*$G$11*DJ122*(EXP(-($G$10*(DI122+0.2)))),$G$10*$G$11*DJ122*(EXP(-($G$10*(DI122+0.3)))),$G$10*$G$11*DJ122*(EXP(-($G$10*(DI122+0.4)))),$G$10*$G$11*DJ122*(EXP(-($G$10*(DI122+0.5)))),$G$10*$G$11*DJ122*(EXP(-($G$10*(DI122+0.6)))),$G$10*$G$11*DJ122*(EXP(-($G$10*(DI122+0.7)))),$G$10*$G$11*DJ122*(EXP(-($G$10*(DI122+0.8)))),$G$10*$G$11*DJ122*(EXP(-($G$10*(DI122+0.9)))))/10</f>
        <v>0</v>
      </c>
      <c r="DL122" s="2">
        <v>63</v>
      </c>
      <c r="DM122" s="57">
        <f t="shared" si="222"/>
        <v>0</v>
      </c>
      <c r="DN122" s="62">
        <f t="shared" si="223"/>
        <v>0</v>
      </c>
      <c r="DO122" s="2">
        <v>62</v>
      </c>
      <c r="DP122" s="57">
        <f t="shared" si="227"/>
        <v>0</v>
      </c>
      <c r="DQ122" s="62">
        <f t="shared" si="228"/>
        <v>0</v>
      </c>
      <c r="DR122" s="2">
        <v>61</v>
      </c>
      <c r="DS122" s="57">
        <f t="shared" si="234"/>
        <v>0</v>
      </c>
      <c r="DT122" s="62">
        <f t="shared" si="235"/>
        <v>0</v>
      </c>
      <c r="DU122" s="2">
        <v>60</v>
      </c>
      <c r="DV122" s="57">
        <f t="shared" si="239"/>
        <v>0</v>
      </c>
      <c r="DW122" s="62">
        <f t="shared" si="240"/>
        <v>0</v>
      </c>
      <c r="DX122" s="2">
        <v>59</v>
      </c>
      <c r="DY122" s="57">
        <f t="shared" si="245"/>
        <v>0</v>
      </c>
      <c r="DZ122" s="62">
        <f t="shared" si="246"/>
        <v>0</v>
      </c>
      <c r="EA122" s="2">
        <v>58</v>
      </c>
      <c r="EB122" s="57">
        <f t="shared" si="109"/>
        <v>0</v>
      </c>
      <c r="EC122" s="62">
        <f t="shared" si="252"/>
        <v>0</v>
      </c>
      <c r="ED122" s="2">
        <v>57</v>
      </c>
      <c r="EE122" s="57">
        <f t="shared" si="113"/>
        <v>0</v>
      </c>
      <c r="EF122" s="62">
        <f t="shared" si="256"/>
        <v>0</v>
      </c>
      <c r="EG122" s="2">
        <v>56</v>
      </c>
      <c r="EH122" s="57">
        <f t="shared" si="117"/>
        <v>0</v>
      </c>
      <c r="EI122" s="62">
        <f t="shared" si="262"/>
        <v>0</v>
      </c>
      <c r="EJ122" s="2">
        <v>55</v>
      </c>
      <c r="EK122" s="57">
        <f t="shared" si="121"/>
        <v>0</v>
      </c>
      <c r="EL122" s="62">
        <f t="shared" si="267"/>
        <v>0</v>
      </c>
      <c r="EM122" s="2">
        <v>54</v>
      </c>
      <c r="EN122" s="57">
        <f t="shared" si="125"/>
        <v>0</v>
      </c>
      <c r="EO122" s="62">
        <f t="shared" si="273"/>
        <v>0</v>
      </c>
      <c r="EP122" s="2">
        <v>53</v>
      </c>
      <c r="EQ122" s="57">
        <f t="shared" si="129"/>
        <v>0</v>
      </c>
      <c r="ER122" s="62">
        <f t="shared" si="279"/>
        <v>0</v>
      </c>
      <c r="ES122" s="2">
        <v>52</v>
      </c>
      <c r="ET122" s="57">
        <f t="shared" si="130"/>
        <v>0</v>
      </c>
      <c r="EU122" s="62">
        <f t="shared" si="286"/>
        <v>0</v>
      </c>
      <c r="EV122" s="2">
        <v>51</v>
      </c>
      <c r="EW122" s="57">
        <f t="shared" si="134"/>
        <v>0</v>
      </c>
      <c r="EX122" s="62">
        <f t="shared" si="291"/>
        <v>0</v>
      </c>
      <c r="EY122" s="2">
        <v>50</v>
      </c>
      <c r="EZ122" s="57">
        <f t="shared" si="141"/>
        <v>0</v>
      </c>
      <c r="FA122" s="62">
        <f t="shared" si="298"/>
        <v>0</v>
      </c>
      <c r="FB122" s="2">
        <v>49</v>
      </c>
      <c r="FC122" s="57">
        <f t="shared" si="142"/>
        <v>0</v>
      </c>
      <c r="FD122" s="62">
        <f t="shared" si="302"/>
        <v>0</v>
      </c>
      <c r="FE122" s="2">
        <v>48</v>
      </c>
      <c r="FF122" s="57">
        <f t="shared" si="149"/>
        <v>0</v>
      </c>
      <c r="FG122" s="62">
        <f t="shared" si="306"/>
        <v>0</v>
      </c>
      <c r="FH122" s="2">
        <v>47</v>
      </c>
      <c r="FI122" s="57">
        <f t="shared" si="150"/>
        <v>0</v>
      </c>
      <c r="FJ122" s="62">
        <f t="shared" si="310"/>
        <v>0</v>
      </c>
      <c r="FK122" s="2">
        <v>46</v>
      </c>
      <c r="FL122" s="57">
        <f t="shared" si="157"/>
        <v>0</v>
      </c>
      <c r="FM122" s="62">
        <f t="shared" si="314"/>
        <v>0</v>
      </c>
      <c r="FN122" s="2">
        <v>45</v>
      </c>
      <c r="FO122" s="57">
        <f t="shared" si="158"/>
        <v>0</v>
      </c>
      <c r="FP122" s="62">
        <f t="shared" si="318"/>
        <v>0</v>
      </c>
      <c r="FQ122" s="2">
        <v>44</v>
      </c>
      <c r="FR122" s="57">
        <f t="shared" si="165"/>
        <v>0</v>
      </c>
      <c r="FS122" s="62">
        <f t="shared" si="322"/>
        <v>0</v>
      </c>
      <c r="FT122" s="2">
        <v>43</v>
      </c>
      <c r="FU122" s="57">
        <f t="shared" si="166"/>
        <v>0</v>
      </c>
      <c r="FV122" s="62">
        <f t="shared" si="326"/>
        <v>0</v>
      </c>
      <c r="FW122" s="2">
        <v>42</v>
      </c>
      <c r="FX122" s="57">
        <f t="shared" si="170"/>
        <v>0</v>
      </c>
      <c r="FY122" s="62">
        <f t="shared" si="330"/>
        <v>0</v>
      </c>
      <c r="FZ122" s="2">
        <v>41</v>
      </c>
      <c r="GA122" s="57">
        <f t="shared" si="177"/>
        <v>0</v>
      </c>
      <c r="GB122" s="62">
        <f t="shared" si="334"/>
        <v>0</v>
      </c>
      <c r="GC122" s="2">
        <v>40</v>
      </c>
      <c r="GD122" s="57">
        <f t="shared" si="178"/>
        <v>0</v>
      </c>
      <c r="GE122" s="62">
        <f t="shared" si="338"/>
        <v>0</v>
      </c>
      <c r="GF122" s="2">
        <v>39</v>
      </c>
      <c r="GG122" s="57">
        <f t="shared" si="185"/>
        <v>0</v>
      </c>
      <c r="GH122" s="62">
        <f t="shared" si="342"/>
        <v>0</v>
      </c>
      <c r="GI122" s="2">
        <v>38</v>
      </c>
      <c r="GJ122" s="57">
        <f t="shared" si="186"/>
        <v>0</v>
      </c>
      <c r="GK122" s="62">
        <f t="shared" si="346"/>
        <v>0</v>
      </c>
      <c r="GL122" s="2">
        <v>37</v>
      </c>
      <c r="GM122" s="57">
        <f t="shared" si="193"/>
        <v>0</v>
      </c>
      <c r="GN122" s="62">
        <f t="shared" si="350"/>
        <v>0</v>
      </c>
      <c r="GO122" s="2">
        <v>36</v>
      </c>
      <c r="GP122" s="57">
        <f t="shared" si="194"/>
        <v>0</v>
      </c>
      <c r="GQ122" s="62">
        <f t="shared" si="354"/>
        <v>0</v>
      </c>
      <c r="GR122" s="2">
        <v>35</v>
      </c>
      <c r="GS122" s="57">
        <f t="shared" si="204"/>
        <v>0</v>
      </c>
      <c r="GT122" s="62">
        <f t="shared" si="356"/>
        <v>0</v>
      </c>
      <c r="GU122" s="2">
        <v>34</v>
      </c>
      <c r="GV122" s="57">
        <f t="shared" si="205"/>
        <v>0</v>
      </c>
      <c r="GW122" s="62">
        <f t="shared" si="359"/>
        <v>0</v>
      </c>
      <c r="GX122" s="2">
        <v>33</v>
      </c>
      <c r="GY122" s="57">
        <f t="shared" si="217"/>
        <v>0</v>
      </c>
      <c r="GZ122" s="62">
        <f t="shared" si="362"/>
        <v>0</v>
      </c>
      <c r="HA122" s="2">
        <v>32</v>
      </c>
      <c r="HB122" s="57">
        <f t="shared" si="218"/>
        <v>0</v>
      </c>
      <c r="HC122" s="62">
        <f t="shared" ref="HC122:HC153" si="365">SUM($G$10*$G$11*HB122*(EXP(-($G$10*HA122))),$G$10*$G$11*HB122*(EXP(-($G$10*(HA122+0.1)))),$G$10*$G$11*HB122*(EXP(-($G$10*(HA122+0.2)))),$G$10*$G$11*HB122*(EXP(-($G$10*(HA122+0.3)))),$G$10*$G$11*HB122*(EXP(-($G$10*(HA122+0.4)))),$G$10*$G$11*HB122*(EXP(-($G$10*(HA122+0.5)))),$G$10*$G$11*HB122*(EXP(-($G$10*(HA122+0.6)))),$G$10*$G$11*HB122*(EXP(-($G$10*(HA122+0.7)))),$G$10*$G$11*HB122*(EXP(-($G$10*(HA122+0.8)))),$G$10*$G$11*HB122*(EXP(-($G$10*(HA122+0.9)))))/10</f>
        <v>0</v>
      </c>
      <c r="HD122" s="2">
        <v>31</v>
      </c>
      <c r="HE122" s="57">
        <f t="shared" si="229"/>
        <v>0</v>
      </c>
      <c r="HF122" s="62">
        <f t="shared" si="224"/>
        <v>0</v>
      </c>
      <c r="HG122" s="2">
        <v>30</v>
      </c>
      <c r="HH122" s="57">
        <f t="shared" si="230"/>
        <v>0</v>
      </c>
      <c r="HI122" s="62">
        <f t="shared" si="231"/>
        <v>0</v>
      </c>
      <c r="HJ122" s="2">
        <v>29</v>
      </c>
      <c r="HK122" s="57">
        <f t="shared" si="241"/>
        <v>0</v>
      </c>
      <c r="HL122" s="62">
        <f t="shared" si="236"/>
        <v>0</v>
      </c>
      <c r="HM122" s="2">
        <v>28</v>
      </c>
      <c r="HN122" s="57">
        <f t="shared" si="247"/>
        <v>0</v>
      </c>
      <c r="HO122" s="62">
        <f t="shared" si="242"/>
        <v>0</v>
      </c>
      <c r="HP122" s="2">
        <v>27</v>
      </c>
      <c r="HQ122" s="57">
        <f t="shared" si="248"/>
        <v>0</v>
      </c>
      <c r="HR122" s="62">
        <f t="shared" si="249"/>
        <v>0</v>
      </c>
      <c r="HS122" s="2">
        <v>26</v>
      </c>
      <c r="HT122" s="57">
        <f t="shared" si="257"/>
        <v>0</v>
      </c>
      <c r="HU122" s="62">
        <f t="shared" si="253"/>
        <v>0</v>
      </c>
      <c r="HV122" s="2">
        <v>25</v>
      </c>
      <c r="HW122" s="57">
        <f t="shared" si="258"/>
        <v>0</v>
      </c>
      <c r="HX122" s="62">
        <f t="shared" si="259"/>
        <v>0</v>
      </c>
      <c r="HY122" s="2">
        <v>24</v>
      </c>
      <c r="HZ122" s="57">
        <f t="shared" si="268"/>
        <v>0</v>
      </c>
      <c r="IA122" s="62">
        <f t="shared" si="263"/>
        <v>0</v>
      </c>
      <c r="IB122" s="2">
        <v>23</v>
      </c>
      <c r="IC122" s="57">
        <f t="shared" si="274"/>
        <v>0</v>
      </c>
      <c r="ID122" s="62">
        <f t="shared" si="269"/>
        <v>0</v>
      </c>
      <c r="IE122" s="2">
        <v>22</v>
      </c>
      <c r="IF122" s="57">
        <f t="shared" si="280"/>
        <v>0</v>
      </c>
      <c r="IG122" s="62">
        <f t="shared" si="275"/>
        <v>0</v>
      </c>
      <c r="IH122" s="2">
        <v>21</v>
      </c>
      <c r="II122" s="57">
        <f t="shared" si="281"/>
        <v>0</v>
      </c>
      <c r="IJ122" s="62">
        <f t="shared" si="282"/>
        <v>0</v>
      </c>
      <c r="IK122" s="2">
        <v>20</v>
      </c>
      <c r="IL122" s="57">
        <f t="shared" si="292"/>
        <v>0</v>
      </c>
      <c r="IM122" s="62">
        <f t="shared" si="287"/>
        <v>0</v>
      </c>
      <c r="IN122" s="2">
        <v>19</v>
      </c>
      <c r="IO122" s="57">
        <f t="shared" si="293"/>
        <v>0</v>
      </c>
      <c r="IP122" s="62">
        <f t="shared" si="294"/>
        <v>0</v>
      </c>
    </row>
    <row r="123" spans="7:250">
      <c r="G123" s="284"/>
      <c r="H123" s="284"/>
      <c r="I123" s="2">
        <f t="shared" si="212"/>
        <v>2118</v>
      </c>
      <c r="J123" s="379">
        <f t="shared" si="264"/>
        <v>2145888.6073840251</v>
      </c>
      <c r="K123" s="2">
        <f t="shared" si="212"/>
        <v>99</v>
      </c>
      <c r="L123" s="57">
        <f t="shared" si="200"/>
        <v>189082</v>
      </c>
      <c r="M123" s="62">
        <f t="shared" si="357"/>
        <v>14161.700086060393</v>
      </c>
      <c r="N123" s="2">
        <f t="shared" si="270"/>
        <v>98</v>
      </c>
      <c r="O123" s="57">
        <f t="shared" si="207"/>
        <v>293489</v>
      </c>
      <c r="P123" s="62">
        <f t="shared" si="360"/>
        <v>22878.566694807541</v>
      </c>
      <c r="Q123" s="2">
        <f t="shared" si="276"/>
        <v>97</v>
      </c>
      <c r="R123" s="57">
        <f t="shared" si="213"/>
        <v>283523</v>
      </c>
      <c r="S123" s="62">
        <f t="shared" si="363"/>
        <v>23003.666329502284</v>
      </c>
      <c r="T123" s="2">
        <f t="shared" si="283"/>
        <v>96</v>
      </c>
      <c r="U123" s="57">
        <f t="shared" si="220"/>
        <v>143321</v>
      </c>
      <c r="V123" s="62">
        <f t="shared" ref="V123:V154" si="366">SUM($G$10*$G$11*U123*(EXP(-($G$10*T123))),$G$10*$G$11*U123*(EXP(-($G$10*(T123+0.1)))),$G$10*$G$11*U123*(EXP(-($G$10*(T123+0.2)))),$G$10*$G$11*U123*(EXP(-($G$10*(T123+0.3)))),$G$10*$G$11*U123*(EXP(-($G$10*(T123+0.4)))),$G$10*$G$11*U123*(EXP(-($G$10*(T123+0.5)))),$G$10*$G$11*U123*(EXP(-($G$10*(T123+0.6)))),$G$10*$G$11*U123*(EXP(-($G$10*(T123+0.7)))),$G$10*$G$11*U123*(EXP(-($G$10*(T123+0.8)))),$G$10*$G$11*U123*(EXP(-($G$10*(T123+0.9)))))/10</f>
        <v>12102.925860641593</v>
      </c>
      <c r="W123" s="2">
        <f t="shared" si="288"/>
        <v>95</v>
      </c>
      <c r="X123" s="57">
        <f t="shared" si="225"/>
        <v>227851</v>
      </c>
      <c r="Y123" s="62">
        <f t="shared" si="226"/>
        <v>20026.41729608419</v>
      </c>
      <c r="Z123" s="2">
        <f t="shared" si="295"/>
        <v>94</v>
      </c>
      <c r="AA123" s="57">
        <f t="shared" si="232"/>
        <v>238727</v>
      </c>
      <c r="AB123" s="62">
        <f t="shared" si="233"/>
        <v>21838.642664257175</v>
      </c>
      <c r="AC123" s="2">
        <f t="shared" si="299"/>
        <v>93</v>
      </c>
      <c r="AD123" s="57">
        <f t="shared" si="237"/>
        <v>250122</v>
      </c>
      <c r="AE123" s="62">
        <f t="shared" si="238"/>
        <v>23814.845793784149</v>
      </c>
      <c r="AF123" s="2">
        <f t="shared" si="303"/>
        <v>92</v>
      </c>
      <c r="AG123" s="57">
        <f t="shared" si="243"/>
        <v>262060</v>
      </c>
      <c r="AH123" s="62">
        <f t="shared" si="244"/>
        <v>25969.787559332202</v>
      </c>
      <c r="AI123" s="2">
        <f t="shared" si="307"/>
        <v>91</v>
      </c>
      <c r="AJ123" s="57">
        <f t="shared" si="250"/>
        <v>274569</v>
      </c>
      <c r="AK123" s="62">
        <f t="shared" si="251"/>
        <v>28319.849533074343</v>
      </c>
      <c r="AL123" s="2">
        <f t="shared" si="311"/>
        <v>90</v>
      </c>
      <c r="AM123" s="57">
        <f t="shared" si="254"/>
        <v>287675</v>
      </c>
      <c r="AN123" s="62">
        <f t="shared" si="255"/>
        <v>30882.563324995699</v>
      </c>
      <c r="AO123" s="2">
        <f t="shared" si="315"/>
        <v>89</v>
      </c>
      <c r="AP123" s="57">
        <f t="shared" si="260"/>
        <v>301406</v>
      </c>
      <c r="AQ123" s="62">
        <f t="shared" si="261"/>
        <v>33677.115901377583</v>
      </c>
      <c r="AR123" s="2">
        <f t="shared" si="319"/>
        <v>88</v>
      </c>
      <c r="AS123" s="57">
        <f t="shared" si="265"/>
        <v>315793</v>
      </c>
      <c r="AT123" s="62">
        <f t="shared" si="266"/>
        <v>36724.617100507814</v>
      </c>
      <c r="AU123" s="2">
        <f t="shared" si="323"/>
        <v>87</v>
      </c>
      <c r="AV123" s="57">
        <f t="shared" si="271"/>
        <v>330866</v>
      </c>
      <c r="AW123" s="62">
        <f t="shared" si="272"/>
        <v>40047.803169151564</v>
      </c>
      <c r="AX123" s="2">
        <f t="shared" si="327"/>
        <v>86</v>
      </c>
      <c r="AY123" s="57">
        <f t="shared" si="277"/>
        <v>346659</v>
      </c>
      <c r="AZ123" s="62">
        <f t="shared" si="278"/>
        <v>43671.772189527976</v>
      </c>
      <c r="BA123" s="2">
        <f t="shared" si="331"/>
        <v>85</v>
      </c>
      <c r="BB123" s="57">
        <f t="shared" si="284"/>
        <v>363206</v>
      </c>
      <c r="BC123" s="62">
        <f t="shared" si="285"/>
        <v>47623.699531345141</v>
      </c>
      <c r="BD123" s="2">
        <f t="shared" si="335"/>
        <v>84</v>
      </c>
      <c r="BE123" s="57">
        <f t="shared" si="289"/>
        <v>380542</v>
      </c>
      <c r="BF123" s="62">
        <f t="shared" si="290"/>
        <v>51933.129118900528</v>
      </c>
      <c r="BG123" s="2">
        <f t="shared" si="339"/>
        <v>83</v>
      </c>
      <c r="BH123" s="57">
        <f t="shared" si="296"/>
        <v>398706</v>
      </c>
      <c r="BI123" s="62">
        <f t="shared" si="297"/>
        <v>56632.592766975999</v>
      </c>
      <c r="BJ123" s="2">
        <f t="shared" si="343"/>
        <v>82</v>
      </c>
      <c r="BK123" s="57">
        <f t="shared" si="300"/>
        <v>417737</v>
      </c>
      <c r="BL123" s="62">
        <f t="shared" si="301"/>
        <v>61757.313647607945</v>
      </c>
      <c r="BM123" s="2">
        <f t="shared" si="347"/>
        <v>81</v>
      </c>
      <c r="BN123" s="57">
        <f t="shared" si="304"/>
        <v>437677</v>
      </c>
      <c r="BO123" s="62">
        <f t="shared" si="305"/>
        <v>67345.868391736833</v>
      </c>
      <c r="BP123" s="2">
        <f t="shared" si="351"/>
        <v>80</v>
      </c>
      <c r="BQ123" s="57">
        <f t="shared" si="308"/>
        <v>458568</v>
      </c>
      <c r="BR123" s="62">
        <f t="shared" si="309"/>
        <v>73440.015005567999</v>
      </c>
      <c r="BS123" s="2">
        <f>IF(BS122="","",(BS122+1))</f>
        <v>79</v>
      </c>
      <c r="BT123" s="57">
        <f t="shared" si="312"/>
        <v>480456</v>
      </c>
      <c r="BU123" s="62">
        <f t="shared" si="313"/>
        <v>80085.596038704927</v>
      </c>
      <c r="BV123" s="2">
        <f>IF(BV122="","",(BV122+1))</f>
        <v>78</v>
      </c>
      <c r="BW123" s="57">
        <f t="shared" si="316"/>
        <v>503389</v>
      </c>
      <c r="BX123" s="62">
        <f t="shared" si="317"/>
        <v>87332.580190523789</v>
      </c>
      <c r="BY123" s="2">
        <f>IF(BY122="","",(BY122+1))</f>
        <v>77</v>
      </c>
      <c r="BZ123" s="57">
        <f t="shared" si="320"/>
        <v>527417</v>
      </c>
      <c r="CA123" s="62">
        <f t="shared" si="321"/>
        <v>95235.413886406866</v>
      </c>
      <c r="CB123" s="2">
        <f>IF(CB122="","",(CB122+1))</f>
        <v>76</v>
      </c>
      <c r="CC123" s="57">
        <f t="shared" si="324"/>
        <v>552592</v>
      </c>
      <c r="CD123" s="62">
        <f t="shared" si="325"/>
        <v>103853.40065256716</v>
      </c>
      <c r="CE123" s="2">
        <f>IF(CE122="","",(CE122+1))</f>
        <v>75</v>
      </c>
      <c r="CF123" s="57">
        <f t="shared" si="328"/>
        <v>578968</v>
      </c>
      <c r="CG123" s="62">
        <f t="shared" si="329"/>
        <v>113251.11033230621</v>
      </c>
      <c r="CH123" s="2">
        <v>74</v>
      </c>
      <c r="CI123" s="57">
        <f t="shared" si="332"/>
        <v>606603</v>
      </c>
      <c r="CJ123" s="62">
        <f t="shared" si="333"/>
        <v>123499.22751037909</v>
      </c>
      <c r="CK123" s="2">
        <v>73</v>
      </c>
      <c r="CL123" s="57">
        <f t="shared" si="336"/>
        <v>635558</v>
      </c>
      <c r="CM123" s="62">
        <f t="shared" si="337"/>
        <v>134674.89830002218</v>
      </c>
      <c r="CN123" s="2">
        <v>72</v>
      </c>
      <c r="CO123" s="57">
        <f t="shared" si="340"/>
        <v>665894</v>
      </c>
      <c r="CP123" s="62">
        <f t="shared" si="341"/>
        <v>146861.63117158177</v>
      </c>
      <c r="CQ123" s="2">
        <v>71</v>
      </c>
      <c r="CR123" s="57">
        <f t="shared" si="344"/>
        <v>697679</v>
      </c>
      <c r="CS123" s="62">
        <f t="shared" si="345"/>
        <v>160151.37661876745</v>
      </c>
      <c r="CT123" s="2">
        <v>70</v>
      </c>
      <c r="CU123" s="57">
        <f t="shared" si="348"/>
        <v>730980</v>
      </c>
      <c r="CV123" s="62">
        <f t="shared" si="349"/>
        <v>174643.44875208626</v>
      </c>
      <c r="CW123" s="2">
        <v>69</v>
      </c>
      <c r="CX123" s="57">
        <f t="shared" si="352"/>
        <v>765871</v>
      </c>
      <c r="CY123" s="62">
        <f t="shared" si="353"/>
        <v>190447.03196544084</v>
      </c>
      <c r="CZ123" s="2">
        <v>68</v>
      </c>
      <c r="DA123" s="57">
        <f t="shared" si="196"/>
        <v>0</v>
      </c>
      <c r="DB123" s="62">
        <f t="shared" si="355"/>
        <v>0</v>
      </c>
      <c r="DC123" s="2">
        <v>67</v>
      </c>
      <c r="DD123" s="57">
        <f t="shared" si="202"/>
        <v>0</v>
      </c>
      <c r="DE123" s="62">
        <f t="shared" si="358"/>
        <v>0</v>
      </c>
      <c r="DF123" s="2">
        <v>66</v>
      </c>
      <c r="DG123" s="57">
        <f t="shared" si="209"/>
        <v>0</v>
      </c>
      <c r="DH123" s="62">
        <f t="shared" si="361"/>
        <v>0</v>
      </c>
      <c r="DI123" s="2">
        <v>65</v>
      </c>
      <c r="DJ123" s="57">
        <f t="shared" si="215"/>
        <v>0</v>
      </c>
      <c r="DK123" s="62">
        <f t="shared" si="364"/>
        <v>0</v>
      </c>
      <c r="DL123" s="2">
        <v>64</v>
      </c>
      <c r="DM123" s="57">
        <f t="shared" si="222"/>
        <v>0</v>
      </c>
      <c r="DN123" s="62">
        <f t="shared" ref="DN123:DN154" si="367">SUM($G$10*$G$11*DM123*(EXP(-($G$10*DL123))),$G$10*$G$11*DM123*(EXP(-($G$10*(DL123+0.1)))),$G$10*$G$11*DM123*(EXP(-($G$10*(DL123+0.2)))),$G$10*$G$11*DM123*(EXP(-($G$10*(DL123+0.3)))),$G$10*$G$11*DM123*(EXP(-($G$10*(DL123+0.4)))),$G$10*$G$11*DM123*(EXP(-($G$10*(DL123+0.5)))),$G$10*$G$11*DM123*(EXP(-($G$10*(DL123+0.6)))),$G$10*$G$11*DM123*(EXP(-($G$10*(DL123+0.7)))),$G$10*$G$11*DM123*(EXP(-($G$10*(DL123+0.8)))),$G$10*$G$11*DM123*(EXP(-($G$10*(DL123+0.9)))))/10</f>
        <v>0</v>
      </c>
      <c r="DO123" s="2">
        <v>63</v>
      </c>
      <c r="DP123" s="57">
        <f t="shared" si="227"/>
        <v>0</v>
      </c>
      <c r="DQ123" s="62">
        <f t="shared" si="228"/>
        <v>0</v>
      </c>
      <c r="DR123" s="2">
        <v>62</v>
      </c>
      <c r="DS123" s="57">
        <f t="shared" si="234"/>
        <v>0</v>
      </c>
      <c r="DT123" s="62">
        <f t="shared" si="235"/>
        <v>0</v>
      </c>
      <c r="DU123" s="2">
        <v>61</v>
      </c>
      <c r="DV123" s="57">
        <f t="shared" si="239"/>
        <v>0</v>
      </c>
      <c r="DW123" s="62">
        <f t="shared" si="240"/>
        <v>0</v>
      </c>
      <c r="DX123" s="2">
        <v>60</v>
      </c>
      <c r="DY123" s="57">
        <f t="shared" si="245"/>
        <v>0</v>
      </c>
      <c r="DZ123" s="62">
        <f t="shared" si="246"/>
        <v>0</v>
      </c>
      <c r="EA123" s="2">
        <v>59</v>
      </c>
      <c r="EB123" s="57">
        <f t="shared" si="109"/>
        <v>0</v>
      </c>
      <c r="EC123" s="62">
        <f t="shared" si="252"/>
        <v>0</v>
      </c>
      <c r="ED123" s="2">
        <v>58</v>
      </c>
      <c r="EE123" s="57">
        <f t="shared" si="113"/>
        <v>0</v>
      </c>
      <c r="EF123" s="62">
        <f t="shared" si="256"/>
        <v>0</v>
      </c>
      <c r="EG123" s="2">
        <v>57</v>
      </c>
      <c r="EH123" s="57">
        <f t="shared" si="117"/>
        <v>0</v>
      </c>
      <c r="EI123" s="62">
        <f t="shared" si="262"/>
        <v>0</v>
      </c>
      <c r="EJ123" s="2">
        <v>56</v>
      </c>
      <c r="EK123" s="57">
        <f t="shared" si="121"/>
        <v>0</v>
      </c>
      <c r="EL123" s="62">
        <f t="shared" si="267"/>
        <v>0</v>
      </c>
      <c r="EM123" s="2">
        <v>55</v>
      </c>
      <c r="EN123" s="57">
        <f t="shared" si="125"/>
        <v>0</v>
      </c>
      <c r="EO123" s="62">
        <f t="shared" si="273"/>
        <v>0</v>
      </c>
      <c r="EP123" s="2">
        <v>54</v>
      </c>
      <c r="EQ123" s="57">
        <f t="shared" si="129"/>
        <v>0</v>
      </c>
      <c r="ER123" s="62">
        <f t="shared" si="279"/>
        <v>0</v>
      </c>
      <c r="ES123" s="2">
        <v>53</v>
      </c>
      <c r="ET123" s="57">
        <f t="shared" si="130"/>
        <v>0</v>
      </c>
      <c r="EU123" s="62">
        <f t="shared" si="286"/>
        <v>0</v>
      </c>
      <c r="EV123" s="2">
        <v>52</v>
      </c>
      <c r="EW123" s="57">
        <f t="shared" si="134"/>
        <v>0</v>
      </c>
      <c r="EX123" s="62">
        <f t="shared" si="291"/>
        <v>0</v>
      </c>
      <c r="EY123" s="2">
        <v>51</v>
      </c>
      <c r="EZ123" s="57">
        <f t="shared" si="141"/>
        <v>0</v>
      </c>
      <c r="FA123" s="62">
        <f t="shared" si="298"/>
        <v>0</v>
      </c>
      <c r="FB123" s="2">
        <v>50</v>
      </c>
      <c r="FC123" s="57">
        <f t="shared" si="142"/>
        <v>0</v>
      </c>
      <c r="FD123" s="62">
        <f t="shared" si="302"/>
        <v>0</v>
      </c>
      <c r="FE123" s="2">
        <v>49</v>
      </c>
      <c r="FF123" s="57">
        <f t="shared" si="149"/>
        <v>0</v>
      </c>
      <c r="FG123" s="62">
        <f t="shared" si="306"/>
        <v>0</v>
      </c>
      <c r="FH123" s="2">
        <v>48</v>
      </c>
      <c r="FI123" s="57">
        <f t="shared" si="150"/>
        <v>0</v>
      </c>
      <c r="FJ123" s="62">
        <f t="shared" si="310"/>
        <v>0</v>
      </c>
      <c r="FK123" s="2">
        <v>47</v>
      </c>
      <c r="FL123" s="57">
        <f t="shared" si="157"/>
        <v>0</v>
      </c>
      <c r="FM123" s="62">
        <f t="shared" si="314"/>
        <v>0</v>
      </c>
      <c r="FN123" s="2">
        <v>46</v>
      </c>
      <c r="FO123" s="57">
        <f t="shared" si="158"/>
        <v>0</v>
      </c>
      <c r="FP123" s="62">
        <f t="shared" si="318"/>
        <v>0</v>
      </c>
      <c r="FQ123" s="2">
        <v>45</v>
      </c>
      <c r="FR123" s="57">
        <f t="shared" si="165"/>
        <v>0</v>
      </c>
      <c r="FS123" s="62">
        <f t="shared" si="322"/>
        <v>0</v>
      </c>
      <c r="FT123" s="2">
        <v>44</v>
      </c>
      <c r="FU123" s="57">
        <f t="shared" si="166"/>
        <v>0</v>
      </c>
      <c r="FV123" s="62">
        <f t="shared" si="326"/>
        <v>0</v>
      </c>
      <c r="FW123" s="2">
        <v>43</v>
      </c>
      <c r="FX123" s="57">
        <f t="shared" si="170"/>
        <v>0</v>
      </c>
      <c r="FY123" s="62">
        <f t="shared" si="330"/>
        <v>0</v>
      </c>
      <c r="FZ123" s="2">
        <v>42</v>
      </c>
      <c r="GA123" s="57">
        <f t="shared" si="177"/>
        <v>0</v>
      </c>
      <c r="GB123" s="62">
        <f t="shared" si="334"/>
        <v>0</v>
      </c>
      <c r="GC123" s="2">
        <v>41</v>
      </c>
      <c r="GD123" s="57">
        <f t="shared" si="178"/>
        <v>0</v>
      </c>
      <c r="GE123" s="62">
        <f t="shared" si="338"/>
        <v>0</v>
      </c>
      <c r="GF123" s="2">
        <v>40</v>
      </c>
      <c r="GG123" s="57">
        <f t="shared" si="185"/>
        <v>0</v>
      </c>
      <c r="GH123" s="62">
        <f t="shared" si="342"/>
        <v>0</v>
      </c>
      <c r="GI123" s="2">
        <v>39</v>
      </c>
      <c r="GJ123" s="57">
        <f t="shared" si="186"/>
        <v>0</v>
      </c>
      <c r="GK123" s="62">
        <f t="shared" si="346"/>
        <v>0</v>
      </c>
      <c r="GL123" s="2">
        <v>38</v>
      </c>
      <c r="GM123" s="57">
        <f t="shared" si="193"/>
        <v>0</v>
      </c>
      <c r="GN123" s="62">
        <f t="shared" si="350"/>
        <v>0</v>
      </c>
      <c r="GO123" s="2">
        <v>37</v>
      </c>
      <c r="GP123" s="57">
        <f t="shared" si="194"/>
        <v>0</v>
      </c>
      <c r="GQ123" s="62">
        <f t="shared" si="354"/>
        <v>0</v>
      </c>
      <c r="GR123" s="2">
        <v>36</v>
      </c>
      <c r="GS123" s="57">
        <f t="shared" si="204"/>
        <v>0</v>
      </c>
      <c r="GT123" s="62">
        <f t="shared" si="356"/>
        <v>0</v>
      </c>
      <c r="GU123" s="2">
        <v>35</v>
      </c>
      <c r="GV123" s="57">
        <f t="shared" si="205"/>
        <v>0</v>
      </c>
      <c r="GW123" s="62">
        <f t="shared" si="359"/>
        <v>0</v>
      </c>
      <c r="GX123" s="2">
        <v>34</v>
      </c>
      <c r="GY123" s="57">
        <f t="shared" si="217"/>
        <v>0</v>
      </c>
      <c r="GZ123" s="62">
        <f t="shared" si="362"/>
        <v>0</v>
      </c>
      <c r="HA123" s="2">
        <v>33</v>
      </c>
      <c r="HB123" s="57">
        <f t="shared" si="218"/>
        <v>0</v>
      </c>
      <c r="HC123" s="62">
        <f t="shared" si="365"/>
        <v>0</v>
      </c>
      <c r="HD123" s="2">
        <v>32</v>
      </c>
      <c r="HE123" s="57">
        <f t="shared" si="229"/>
        <v>0</v>
      </c>
      <c r="HF123" s="62">
        <f t="shared" ref="HF123:HF154" si="368">SUM($G$10*$G$11*HE123*(EXP(-($G$10*HD123))),$G$10*$G$11*HE123*(EXP(-($G$10*(HD123+0.1)))),$G$10*$G$11*HE123*(EXP(-($G$10*(HD123+0.2)))),$G$10*$G$11*HE123*(EXP(-($G$10*(HD123+0.3)))),$G$10*$G$11*HE123*(EXP(-($G$10*(HD123+0.4)))),$G$10*$G$11*HE123*(EXP(-($G$10*(HD123+0.5)))),$G$10*$G$11*HE123*(EXP(-($G$10*(HD123+0.6)))),$G$10*$G$11*HE123*(EXP(-($G$10*(HD123+0.7)))),$G$10*$G$11*HE123*(EXP(-($G$10*(HD123+0.8)))),$G$10*$G$11*HE123*(EXP(-($G$10*(HD123+0.9)))))/10</f>
        <v>0</v>
      </c>
      <c r="HG123" s="2">
        <v>31</v>
      </c>
      <c r="HH123" s="57">
        <f t="shared" si="230"/>
        <v>0</v>
      </c>
      <c r="HI123" s="62">
        <f t="shared" si="231"/>
        <v>0</v>
      </c>
      <c r="HJ123" s="2">
        <v>30</v>
      </c>
      <c r="HK123" s="57">
        <f t="shared" si="241"/>
        <v>0</v>
      </c>
      <c r="HL123" s="62">
        <f t="shared" si="236"/>
        <v>0</v>
      </c>
      <c r="HM123" s="2">
        <v>29</v>
      </c>
      <c r="HN123" s="57">
        <f t="shared" si="247"/>
        <v>0</v>
      </c>
      <c r="HO123" s="62">
        <f t="shared" si="242"/>
        <v>0</v>
      </c>
      <c r="HP123" s="2">
        <v>28</v>
      </c>
      <c r="HQ123" s="57">
        <f t="shared" si="248"/>
        <v>0</v>
      </c>
      <c r="HR123" s="62">
        <f t="shared" si="249"/>
        <v>0</v>
      </c>
      <c r="HS123" s="2">
        <v>27</v>
      </c>
      <c r="HT123" s="57">
        <f t="shared" si="257"/>
        <v>0</v>
      </c>
      <c r="HU123" s="62">
        <f t="shared" si="253"/>
        <v>0</v>
      </c>
      <c r="HV123" s="2">
        <v>26</v>
      </c>
      <c r="HW123" s="57">
        <f t="shared" si="258"/>
        <v>0</v>
      </c>
      <c r="HX123" s="62">
        <f t="shared" si="259"/>
        <v>0</v>
      </c>
      <c r="HY123" s="2">
        <v>25</v>
      </c>
      <c r="HZ123" s="57">
        <f t="shared" si="268"/>
        <v>0</v>
      </c>
      <c r="IA123" s="62">
        <f t="shared" si="263"/>
        <v>0</v>
      </c>
      <c r="IB123" s="2">
        <v>24</v>
      </c>
      <c r="IC123" s="57">
        <f t="shared" si="274"/>
        <v>0</v>
      </c>
      <c r="ID123" s="62">
        <f t="shared" si="269"/>
        <v>0</v>
      </c>
      <c r="IE123" s="2">
        <v>23</v>
      </c>
      <c r="IF123" s="57">
        <f t="shared" si="280"/>
        <v>0</v>
      </c>
      <c r="IG123" s="62">
        <f t="shared" si="275"/>
        <v>0</v>
      </c>
      <c r="IH123" s="2">
        <v>22</v>
      </c>
      <c r="II123" s="57">
        <f t="shared" si="281"/>
        <v>0</v>
      </c>
      <c r="IJ123" s="62">
        <f t="shared" si="282"/>
        <v>0</v>
      </c>
      <c r="IK123" s="2">
        <v>21</v>
      </c>
      <c r="IL123" s="57">
        <f t="shared" si="292"/>
        <v>0</v>
      </c>
      <c r="IM123" s="62">
        <f t="shared" si="287"/>
        <v>0</v>
      </c>
      <c r="IN123" s="2">
        <v>20</v>
      </c>
      <c r="IO123" s="57">
        <f t="shared" si="293"/>
        <v>0</v>
      </c>
      <c r="IP123" s="62">
        <f t="shared" si="294"/>
        <v>0</v>
      </c>
    </row>
    <row r="124" spans="7:250">
      <c r="G124" s="284"/>
      <c r="H124" s="284"/>
      <c r="I124" s="2">
        <f t="shared" ref="I124:I163" si="369">IF(I123="","",(I123+1))</f>
        <v>2119</v>
      </c>
      <c r="J124" s="379">
        <f t="shared" si="264"/>
        <v>2061747.1115718577</v>
      </c>
      <c r="K124" s="2">
        <f t="shared" ref="K124:K163" si="370">IF(K123="","",(K123+1))</f>
        <v>100</v>
      </c>
      <c r="L124" s="57">
        <f t="shared" si="200"/>
        <v>189082</v>
      </c>
      <c r="M124" s="62">
        <f t="shared" si="357"/>
        <v>13606.411883129371</v>
      </c>
      <c r="N124" s="2">
        <f t="shared" ref="N124:N163" si="371">IF(N123="","",(N123+1))</f>
        <v>99</v>
      </c>
      <c r="O124" s="57">
        <f t="shared" si="207"/>
        <v>293489</v>
      </c>
      <c r="P124" s="62">
        <f t="shared" si="360"/>
        <v>21981.48526331316</v>
      </c>
      <c r="Q124" s="2">
        <f t="shared" ref="Q124:Q163" si="372">IF(Q123="","",(Q123+1))</f>
        <v>98</v>
      </c>
      <c r="R124" s="57">
        <f t="shared" si="213"/>
        <v>283523</v>
      </c>
      <c r="S124" s="62">
        <f t="shared" si="363"/>
        <v>22101.679671169681</v>
      </c>
      <c r="T124" s="2">
        <f t="shared" ref="T124:T163" si="373">IF(T123="","",(T123+1))</f>
        <v>97</v>
      </c>
      <c r="U124" s="57">
        <f t="shared" si="220"/>
        <v>143321</v>
      </c>
      <c r="V124" s="62">
        <f t="shared" si="366"/>
        <v>11628.363349747984</v>
      </c>
      <c r="W124" s="2">
        <f t="shared" ref="W124:W163" si="374">IF(W123="","",(W123+1))</f>
        <v>96</v>
      </c>
      <c r="X124" s="57">
        <f t="shared" si="225"/>
        <v>227851</v>
      </c>
      <c r="Y124" s="62">
        <f t="shared" ref="Y124:Y155" si="375">SUM($G$10*$G$11*X124*(EXP(-($G$10*W124))),$G$10*$G$11*X124*(EXP(-($G$10*(W124+0.1)))),$G$10*$G$11*X124*(EXP(-($G$10*(W124+0.2)))),$G$10*$G$11*X124*(EXP(-($G$10*(W124+0.3)))),$G$10*$G$11*X124*(EXP(-($G$10*(W124+0.4)))),$G$10*$G$11*X124*(EXP(-($G$10*(W124+0.5)))),$G$10*$G$11*X124*(EXP(-($G$10*(W124+0.6)))),$G$10*$G$11*X124*(EXP(-($G$10*(W124+0.7)))),$G$10*$G$11*X124*(EXP(-($G$10*(W124+0.8)))),$G$10*$G$11*X124*(EXP(-($G$10*(W124+0.9)))))/10</f>
        <v>19241.170242135122</v>
      </c>
      <c r="Z124" s="2">
        <f t="shared" ref="Z124:Z163" si="376">IF(Z123="","",(Z123+1))</f>
        <v>95</v>
      </c>
      <c r="AA124" s="57">
        <f t="shared" si="232"/>
        <v>238727</v>
      </c>
      <c r="AB124" s="62">
        <f t="shared" si="233"/>
        <v>20982.337237239648</v>
      </c>
      <c r="AC124" s="2">
        <f t="shared" ref="AC124:AC163" si="377">IF(AC123="","",(AC123+1))</f>
        <v>94</v>
      </c>
      <c r="AD124" s="57">
        <f t="shared" si="237"/>
        <v>250122</v>
      </c>
      <c r="AE124" s="62">
        <f t="shared" si="238"/>
        <v>22881.05233370894</v>
      </c>
      <c r="AF124" s="2">
        <f t="shared" ref="AF124:AF163" si="378">IF(AF123="","",(AF123+1))</f>
        <v>93</v>
      </c>
      <c r="AG124" s="57">
        <f t="shared" si="243"/>
        <v>262060</v>
      </c>
      <c r="AH124" s="62">
        <f t="shared" si="244"/>
        <v>24951.497624035768</v>
      </c>
      <c r="AI124" s="2">
        <f t="shared" ref="AI124:AI163" si="379">IF(AI123="","",(AI123+1))</f>
        <v>92</v>
      </c>
      <c r="AJ124" s="57">
        <f t="shared" si="250"/>
        <v>274569</v>
      </c>
      <c r="AK124" s="62">
        <f t="shared" si="251"/>
        <v>27209.412349760685</v>
      </c>
      <c r="AL124" s="2">
        <f t="shared" ref="AL124:AL163" si="380">IF(AL123="","",(AL123+1))</f>
        <v>91</v>
      </c>
      <c r="AM124" s="57">
        <f t="shared" si="254"/>
        <v>287675</v>
      </c>
      <c r="AN124" s="62">
        <f t="shared" si="255"/>
        <v>29671.640696608723</v>
      </c>
      <c r="AO124" s="2">
        <f t="shared" ref="AO124:AO163" si="381">IF(AO123="","",(AO123+1))</f>
        <v>90</v>
      </c>
      <c r="AP124" s="57">
        <f t="shared" si="260"/>
        <v>301406</v>
      </c>
      <c r="AQ124" s="62">
        <f t="shared" si="261"/>
        <v>32356.617299152356</v>
      </c>
      <c r="AR124" s="2">
        <f t="shared" ref="AR124:AR163" si="382">IF(AR123="","",(AR123+1))</f>
        <v>89</v>
      </c>
      <c r="AS124" s="57">
        <f t="shared" si="265"/>
        <v>315793</v>
      </c>
      <c r="AT124" s="62">
        <f t="shared" si="266"/>
        <v>35284.624267080726</v>
      </c>
      <c r="AU124" s="2">
        <f t="shared" ref="AU124:AU163" si="383">IF(AU123="","",(AU123+1))</f>
        <v>88</v>
      </c>
      <c r="AV124" s="57">
        <f t="shared" si="271"/>
        <v>330866</v>
      </c>
      <c r="AW124" s="62">
        <f t="shared" si="272"/>
        <v>38477.506346171758</v>
      </c>
      <c r="AX124" s="2">
        <f t="shared" ref="AX124:AX163" si="384">IF(AX123="","",(AX123+1))</f>
        <v>87</v>
      </c>
      <c r="AY124" s="57">
        <f t="shared" si="277"/>
        <v>346659</v>
      </c>
      <c r="AZ124" s="62">
        <f t="shared" si="278"/>
        <v>41959.377508764606</v>
      </c>
      <c r="BA124" s="2">
        <f t="shared" ref="BA124:BA163" si="385">IF(BA123="","",(BA123+1))</f>
        <v>86</v>
      </c>
      <c r="BB124" s="57">
        <f t="shared" si="284"/>
        <v>363206</v>
      </c>
      <c r="BC124" s="62">
        <f t="shared" si="285"/>
        <v>45756.347563079857</v>
      </c>
      <c r="BD124" s="2">
        <f t="shared" ref="BD124:BD163" si="386">IF(BD123="","",(BD123+1))</f>
        <v>85</v>
      </c>
      <c r="BE124" s="57">
        <f t="shared" si="289"/>
        <v>380542</v>
      </c>
      <c r="BF124" s="62">
        <f t="shared" si="290"/>
        <v>49896.801999573632</v>
      </c>
      <c r="BG124" s="2">
        <f t="shared" ref="BG124:BG163" si="387">IF(BG123="","",(BG123+1))</f>
        <v>84</v>
      </c>
      <c r="BH124" s="57">
        <f t="shared" si="296"/>
        <v>398706</v>
      </c>
      <c r="BI124" s="62">
        <f t="shared" si="297"/>
        <v>54411.99704232478</v>
      </c>
      <c r="BJ124" s="2">
        <f t="shared" ref="BJ124:BJ163" si="388">IF(BJ123="","",(BJ123+1))</f>
        <v>83</v>
      </c>
      <c r="BK124" s="57">
        <f t="shared" si="300"/>
        <v>417737</v>
      </c>
      <c r="BL124" s="62">
        <f t="shared" si="301"/>
        <v>59335.77474303935</v>
      </c>
      <c r="BM124" s="2">
        <f t="shared" ref="BM124:BM163" si="389">IF(BM123="","",(BM123+1))</f>
        <v>82</v>
      </c>
      <c r="BN124" s="57">
        <f t="shared" si="304"/>
        <v>437677</v>
      </c>
      <c r="BO124" s="62">
        <f t="shared" si="305"/>
        <v>64705.199121322992</v>
      </c>
      <c r="BP124" s="2">
        <f t="shared" ref="BP124:BP163" si="390">IF(BP123="","",(BP123+1))</f>
        <v>81</v>
      </c>
      <c r="BQ124" s="57">
        <f t="shared" si="308"/>
        <v>458568</v>
      </c>
      <c r="BR124" s="62">
        <f t="shared" si="309"/>
        <v>70560.390828537886</v>
      </c>
      <c r="BS124" s="2">
        <f t="shared" ref="BS124:BS163" si="391">IF(BS123="","",(BS123+1))</f>
        <v>80</v>
      </c>
      <c r="BT124" s="57">
        <f t="shared" si="312"/>
        <v>480456</v>
      </c>
      <c r="BU124" s="62">
        <f t="shared" si="313"/>
        <v>76945.394902206812</v>
      </c>
      <c r="BV124" s="2">
        <f t="shared" ref="BV124:BV163" si="392">IF(BV123="","",(BV123+1))</f>
        <v>79</v>
      </c>
      <c r="BW124" s="57">
        <f t="shared" si="316"/>
        <v>503389</v>
      </c>
      <c r="BX124" s="62">
        <f t="shared" si="317"/>
        <v>83908.22074097865</v>
      </c>
      <c r="BY124" s="2">
        <f t="shared" ref="BY124:BY163" si="393">IF(BY123="","",(BY123+1))</f>
        <v>78</v>
      </c>
      <c r="BZ124" s="57">
        <f t="shared" si="320"/>
        <v>527417</v>
      </c>
      <c r="CA124" s="62">
        <f t="shared" si="321"/>
        <v>91501.179895360227</v>
      </c>
      <c r="CB124" s="2">
        <f t="shared" ref="CB124:CB163" si="394">IF(CB123="","",(CB123+1))</f>
        <v>77</v>
      </c>
      <c r="CC124" s="57">
        <f t="shared" si="324"/>
        <v>552592</v>
      </c>
      <c r="CD124" s="62">
        <f t="shared" si="325"/>
        <v>99781.250567041527</v>
      </c>
      <c r="CE124" s="2">
        <f t="shared" ref="CE124:CE163" si="395">IF(CE123="","",(CE123+1))</f>
        <v>76</v>
      </c>
      <c r="CF124" s="57">
        <f t="shared" si="328"/>
        <v>578968</v>
      </c>
      <c r="CG124" s="62">
        <f t="shared" si="329"/>
        <v>108810.47077955434</v>
      </c>
      <c r="CH124" s="2">
        <v>75</v>
      </c>
      <c r="CI124" s="57">
        <f t="shared" si="332"/>
        <v>606603</v>
      </c>
      <c r="CJ124" s="62">
        <f t="shared" si="333"/>
        <v>118656.75353544229</v>
      </c>
      <c r="CK124" s="2">
        <v>74</v>
      </c>
      <c r="CL124" s="57">
        <f t="shared" si="336"/>
        <v>635558</v>
      </c>
      <c r="CM124" s="62">
        <f t="shared" si="337"/>
        <v>129394.22000557449</v>
      </c>
      <c r="CN124" s="2">
        <v>73</v>
      </c>
      <c r="CO124" s="57">
        <f t="shared" si="340"/>
        <v>665894</v>
      </c>
      <c r="CP124" s="62">
        <f t="shared" si="341"/>
        <v>141103.10424633941</v>
      </c>
      <c r="CQ124" s="2">
        <v>72</v>
      </c>
      <c r="CR124" s="57">
        <f t="shared" si="344"/>
        <v>697679</v>
      </c>
      <c r="CS124" s="62">
        <f t="shared" si="345"/>
        <v>153871.75132101809</v>
      </c>
      <c r="CT124" s="2">
        <v>71</v>
      </c>
      <c r="CU124" s="57">
        <f t="shared" si="348"/>
        <v>730980</v>
      </c>
      <c r="CV124" s="62">
        <f t="shared" si="349"/>
        <v>167795.58117814444</v>
      </c>
      <c r="CW124" s="2">
        <v>70</v>
      </c>
      <c r="CX124" s="57">
        <f t="shared" si="352"/>
        <v>765871</v>
      </c>
      <c r="CY124" s="62">
        <f t="shared" si="353"/>
        <v>182979.49703030047</v>
      </c>
      <c r="CZ124" s="2">
        <v>69</v>
      </c>
      <c r="DA124" s="57">
        <f t="shared" si="196"/>
        <v>0</v>
      </c>
      <c r="DB124" s="62">
        <f t="shared" si="355"/>
        <v>0</v>
      </c>
      <c r="DC124" s="2">
        <v>68</v>
      </c>
      <c r="DD124" s="57">
        <f t="shared" si="202"/>
        <v>0</v>
      </c>
      <c r="DE124" s="62">
        <f t="shared" si="358"/>
        <v>0</v>
      </c>
      <c r="DF124" s="2">
        <v>67</v>
      </c>
      <c r="DG124" s="57">
        <f t="shared" si="209"/>
        <v>0</v>
      </c>
      <c r="DH124" s="62">
        <f t="shared" si="361"/>
        <v>0</v>
      </c>
      <c r="DI124" s="2">
        <v>66</v>
      </c>
      <c r="DJ124" s="57">
        <f t="shared" si="215"/>
        <v>0</v>
      </c>
      <c r="DK124" s="62">
        <f t="shared" si="364"/>
        <v>0</v>
      </c>
      <c r="DL124" s="2">
        <v>65</v>
      </c>
      <c r="DM124" s="57">
        <f t="shared" si="222"/>
        <v>0</v>
      </c>
      <c r="DN124" s="62">
        <f t="shared" si="367"/>
        <v>0</v>
      </c>
      <c r="DO124" s="2">
        <v>64</v>
      </c>
      <c r="DP124" s="57">
        <f t="shared" si="227"/>
        <v>0</v>
      </c>
      <c r="DQ124" s="62">
        <f t="shared" ref="DQ124:DQ155" si="396">SUM($G$10*$G$11*DP124*(EXP(-($G$10*DO124))),$G$10*$G$11*DP124*(EXP(-($G$10*(DO124+0.1)))),$G$10*$G$11*DP124*(EXP(-($G$10*(DO124+0.2)))),$G$10*$G$11*DP124*(EXP(-($G$10*(DO124+0.3)))),$G$10*$G$11*DP124*(EXP(-($G$10*(DO124+0.4)))),$G$10*$G$11*DP124*(EXP(-($G$10*(DO124+0.5)))),$G$10*$G$11*DP124*(EXP(-($G$10*(DO124+0.6)))),$G$10*$G$11*DP124*(EXP(-($G$10*(DO124+0.7)))),$G$10*$G$11*DP124*(EXP(-($G$10*(DO124+0.8)))),$G$10*$G$11*DP124*(EXP(-($G$10*(DO124+0.9)))))/10</f>
        <v>0</v>
      </c>
      <c r="DR124" s="2">
        <v>63</v>
      </c>
      <c r="DS124" s="57">
        <f t="shared" si="234"/>
        <v>0</v>
      </c>
      <c r="DT124" s="62">
        <f t="shared" si="235"/>
        <v>0</v>
      </c>
      <c r="DU124" s="2">
        <v>62</v>
      </c>
      <c r="DV124" s="57">
        <f t="shared" si="239"/>
        <v>0</v>
      </c>
      <c r="DW124" s="62">
        <f t="shared" si="240"/>
        <v>0</v>
      </c>
      <c r="DX124" s="2">
        <v>61</v>
      </c>
      <c r="DY124" s="57">
        <f t="shared" si="245"/>
        <v>0</v>
      </c>
      <c r="DZ124" s="62">
        <f t="shared" si="246"/>
        <v>0</v>
      </c>
      <c r="EA124" s="2">
        <v>60</v>
      </c>
      <c r="EB124" s="57">
        <f t="shared" si="109"/>
        <v>0</v>
      </c>
      <c r="EC124" s="62">
        <f t="shared" si="252"/>
        <v>0</v>
      </c>
      <c r="ED124" s="2">
        <v>59</v>
      </c>
      <c r="EE124" s="57">
        <f t="shared" si="113"/>
        <v>0</v>
      </c>
      <c r="EF124" s="62">
        <f t="shared" si="256"/>
        <v>0</v>
      </c>
      <c r="EG124" s="2">
        <v>58</v>
      </c>
      <c r="EH124" s="57">
        <f t="shared" si="117"/>
        <v>0</v>
      </c>
      <c r="EI124" s="62">
        <f t="shared" si="262"/>
        <v>0</v>
      </c>
      <c r="EJ124" s="2">
        <v>57</v>
      </c>
      <c r="EK124" s="57">
        <f t="shared" si="121"/>
        <v>0</v>
      </c>
      <c r="EL124" s="62">
        <f t="shared" si="267"/>
        <v>0</v>
      </c>
      <c r="EM124" s="2">
        <v>56</v>
      </c>
      <c r="EN124" s="57">
        <f t="shared" si="125"/>
        <v>0</v>
      </c>
      <c r="EO124" s="62">
        <f t="shared" si="273"/>
        <v>0</v>
      </c>
      <c r="EP124" s="2">
        <v>55</v>
      </c>
      <c r="EQ124" s="57">
        <f t="shared" si="129"/>
        <v>0</v>
      </c>
      <c r="ER124" s="62">
        <f t="shared" si="279"/>
        <v>0</v>
      </c>
      <c r="ES124" s="2">
        <v>54</v>
      </c>
      <c r="ET124" s="57">
        <f t="shared" si="130"/>
        <v>0</v>
      </c>
      <c r="EU124" s="62">
        <f t="shared" si="286"/>
        <v>0</v>
      </c>
      <c r="EV124" s="2">
        <v>53</v>
      </c>
      <c r="EW124" s="57">
        <f t="shared" si="134"/>
        <v>0</v>
      </c>
      <c r="EX124" s="62">
        <f t="shared" si="291"/>
        <v>0</v>
      </c>
      <c r="EY124" s="2">
        <v>52</v>
      </c>
      <c r="EZ124" s="57">
        <f t="shared" si="141"/>
        <v>0</v>
      </c>
      <c r="FA124" s="62">
        <f t="shared" si="298"/>
        <v>0</v>
      </c>
      <c r="FB124" s="2">
        <v>51</v>
      </c>
      <c r="FC124" s="57">
        <f t="shared" si="142"/>
        <v>0</v>
      </c>
      <c r="FD124" s="62">
        <f t="shared" si="302"/>
        <v>0</v>
      </c>
      <c r="FE124" s="2">
        <v>50</v>
      </c>
      <c r="FF124" s="57">
        <f t="shared" si="149"/>
        <v>0</v>
      </c>
      <c r="FG124" s="62">
        <f t="shared" si="306"/>
        <v>0</v>
      </c>
      <c r="FH124" s="2">
        <v>49</v>
      </c>
      <c r="FI124" s="57">
        <f t="shared" si="150"/>
        <v>0</v>
      </c>
      <c r="FJ124" s="62">
        <f t="shared" si="310"/>
        <v>0</v>
      </c>
      <c r="FK124" s="2">
        <v>48</v>
      </c>
      <c r="FL124" s="57">
        <f t="shared" si="157"/>
        <v>0</v>
      </c>
      <c r="FM124" s="62">
        <f t="shared" si="314"/>
        <v>0</v>
      </c>
      <c r="FN124" s="2">
        <v>47</v>
      </c>
      <c r="FO124" s="57">
        <f t="shared" si="158"/>
        <v>0</v>
      </c>
      <c r="FP124" s="62">
        <f t="shared" si="318"/>
        <v>0</v>
      </c>
      <c r="FQ124" s="2">
        <v>46</v>
      </c>
      <c r="FR124" s="57">
        <f t="shared" si="165"/>
        <v>0</v>
      </c>
      <c r="FS124" s="62">
        <f t="shared" si="322"/>
        <v>0</v>
      </c>
      <c r="FT124" s="2">
        <v>45</v>
      </c>
      <c r="FU124" s="57">
        <f t="shared" si="166"/>
        <v>0</v>
      </c>
      <c r="FV124" s="62">
        <f t="shared" si="326"/>
        <v>0</v>
      </c>
      <c r="FW124" s="2">
        <v>44</v>
      </c>
      <c r="FX124" s="57">
        <f t="shared" si="170"/>
        <v>0</v>
      </c>
      <c r="FY124" s="62">
        <f t="shared" si="330"/>
        <v>0</v>
      </c>
      <c r="FZ124" s="2">
        <v>43</v>
      </c>
      <c r="GA124" s="57">
        <f t="shared" si="177"/>
        <v>0</v>
      </c>
      <c r="GB124" s="62">
        <f t="shared" si="334"/>
        <v>0</v>
      </c>
      <c r="GC124" s="2">
        <v>42</v>
      </c>
      <c r="GD124" s="57">
        <f t="shared" si="178"/>
        <v>0</v>
      </c>
      <c r="GE124" s="62">
        <f t="shared" si="338"/>
        <v>0</v>
      </c>
      <c r="GF124" s="2">
        <v>41</v>
      </c>
      <c r="GG124" s="57">
        <f t="shared" si="185"/>
        <v>0</v>
      </c>
      <c r="GH124" s="62">
        <f t="shared" si="342"/>
        <v>0</v>
      </c>
      <c r="GI124" s="2">
        <v>40</v>
      </c>
      <c r="GJ124" s="57">
        <f t="shared" si="186"/>
        <v>0</v>
      </c>
      <c r="GK124" s="62">
        <f t="shared" si="346"/>
        <v>0</v>
      </c>
      <c r="GL124" s="2">
        <v>39</v>
      </c>
      <c r="GM124" s="57">
        <f t="shared" si="193"/>
        <v>0</v>
      </c>
      <c r="GN124" s="62">
        <f t="shared" si="350"/>
        <v>0</v>
      </c>
      <c r="GO124" s="2">
        <v>38</v>
      </c>
      <c r="GP124" s="57">
        <f t="shared" si="194"/>
        <v>0</v>
      </c>
      <c r="GQ124" s="62">
        <f t="shared" si="354"/>
        <v>0</v>
      </c>
      <c r="GR124" s="2">
        <v>37</v>
      </c>
      <c r="GS124" s="57">
        <f t="shared" si="204"/>
        <v>0</v>
      </c>
      <c r="GT124" s="62">
        <f t="shared" si="356"/>
        <v>0</v>
      </c>
      <c r="GU124" s="2">
        <v>36</v>
      </c>
      <c r="GV124" s="57">
        <f t="shared" si="205"/>
        <v>0</v>
      </c>
      <c r="GW124" s="62">
        <f t="shared" si="359"/>
        <v>0</v>
      </c>
      <c r="GX124" s="2">
        <v>35</v>
      </c>
      <c r="GY124" s="57">
        <f t="shared" si="217"/>
        <v>0</v>
      </c>
      <c r="GZ124" s="62">
        <f t="shared" si="362"/>
        <v>0</v>
      </c>
      <c r="HA124" s="2">
        <v>34</v>
      </c>
      <c r="HB124" s="57">
        <f t="shared" si="218"/>
        <v>0</v>
      </c>
      <c r="HC124" s="62">
        <f t="shared" si="365"/>
        <v>0</v>
      </c>
      <c r="HD124" s="2">
        <v>33</v>
      </c>
      <c r="HE124" s="57">
        <f t="shared" si="229"/>
        <v>0</v>
      </c>
      <c r="HF124" s="62">
        <f t="shared" si="368"/>
        <v>0</v>
      </c>
      <c r="HG124" s="2">
        <v>32</v>
      </c>
      <c r="HH124" s="57">
        <f t="shared" si="230"/>
        <v>0</v>
      </c>
      <c r="HI124" s="62">
        <f t="shared" ref="HI124:HI155" si="397">SUM($G$10*$G$11*HH124*(EXP(-($G$10*HG124))),$G$10*$G$11*HH124*(EXP(-($G$10*(HG124+0.1)))),$G$10*$G$11*HH124*(EXP(-($G$10*(HG124+0.2)))),$G$10*$G$11*HH124*(EXP(-($G$10*(HG124+0.3)))),$G$10*$G$11*HH124*(EXP(-($G$10*(HG124+0.4)))),$G$10*$G$11*HH124*(EXP(-($G$10*(HG124+0.5)))),$G$10*$G$11*HH124*(EXP(-($G$10*(HG124+0.6)))),$G$10*$G$11*HH124*(EXP(-($G$10*(HG124+0.7)))),$G$10*$G$11*HH124*(EXP(-($G$10*(HG124+0.8)))),$G$10*$G$11*HH124*(EXP(-($G$10*(HG124+0.9)))))/10</f>
        <v>0</v>
      </c>
      <c r="HJ124" s="2">
        <v>31</v>
      </c>
      <c r="HK124" s="57">
        <f t="shared" si="241"/>
        <v>0</v>
      </c>
      <c r="HL124" s="62">
        <f t="shared" si="236"/>
        <v>0</v>
      </c>
      <c r="HM124" s="2">
        <v>30</v>
      </c>
      <c r="HN124" s="57">
        <f t="shared" si="247"/>
        <v>0</v>
      </c>
      <c r="HO124" s="62">
        <f t="shared" si="242"/>
        <v>0</v>
      </c>
      <c r="HP124" s="2">
        <v>29</v>
      </c>
      <c r="HQ124" s="57">
        <f t="shared" si="248"/>
        <v>0</v>
      </c>
      <c r="HR124" s="62">
        <f t="shared" si="249"/>
        <v>0</v>
      </c>
      <c r="HS124" s="2">
        <v>28</v>
      </c>
      <c r="HT124" s="57">
        <f t="shared" si="257"/>
        <v>0</v>
      </c>
      <c r="HU124" s="62">
        <f t="shared" si="253"/>
        <v>0</v>
      </c>
      <c r="HV124" s="2">
        <v>27</v>
      </c>
      <c r="HW124" s="57">
        <f t="shared" si="258"/>
        <v>0</v>
      </c>
      <c r="HX124" s="62">
        <f t="shared" si="259"/>
        <v>0</v>
      </c>
      <c r="HY124" s="2">
        <v>26</v>
      </c>
      <c r="HZ124" s="57">
        <f t="shared" si="268"/>
        <v>0</v>
      </c>
      <c r="IA124" s="62">
        <f t="shared" si="263"/>
        <v>0</v>
      </c>
      <c r="IB124" s="2">
        <v>25</v>
      </c>
      <c r="IC124" s="57">
        <f t="shared" si="274"/>
        <v>0</v>
      </c>
      <c r="ID124" s="62">
        <f t="shared" si="269"/>
        <v>0</v>
      </c>
      <c r="IE124" s="2">
        <v>24</v>
      </c>
      <c r="IF124" s="57">
        <f t="shared" si="280"/>
        <v>0</v>
      </c>
      <c r="IG124" s="62">
        <f t="shared" si="275"/>
        <v>0</v>
      </c>
      <c r="IH124" s="2">
        <v>23</v>
      </c>
      <c r="II124" s="57">
        <f t="shared" si="281"/>
        <v>0</v>
      </c>
      <c r="IJ124" s="62">
        <f t="shared" si="282"/>
        <v>0</v>
      </c>
      <c r="IK124" s="2">
        <v>22</v>
      </c>
      <c r="IL124" s="57">
        <f t="shared" si="292"/>
        <v>0</v>
      </c>
      <c r="IM124" s="62">
        <f t="shared" si="287"/>
        <v>0</v>
      </c>
      <c r="IN124" s="2">
        <v>21</v>
      </c>
      <c r="IO124" s="57">
        <f t="shared" si="293"/>
        <v>0</v>
      </c>
      <c r="IP124" s="62">
        <f t="shared" si="294"/>
        <v>0</v>
      </c>
    </row>
    <row r="125" spans="7:250">
      <c r="G125" s="284"/>
      <c r="H125" s="284"/>
      <c r="I125" s="2">
        <f t="shared" si="369"/>
        <v>2120</v>
      </c>
      <c r="J125" s="379">
        <f t="shared" si="264"/>
        <v>1980904.8510010473</v>
      </c>
      <c r="K125" s="2">
        <f t="shared" si="370"/>
        <v>101</v>
      </c>
      <c r="L125" s="57">
        <f t="shared" si="200"/>
        <v>189082</v>
      </c>
      <c r="M125" s="62">
        <f t="shared" si="357"/>
        <v>13072.896842067377</v>
      </c>
      <c r="N125" s="2">
        <f t="shared" si="371"/>
        <v>100</v>
      </c>
      <c r="O125" s="57">
        <f t="shared" si="207"/>
        <v>293489</v>
      </c>
      <c r="P125" s="62">
        <f t="shared" si="360"/>
        <v>21119.578897873711</v>
      </c>
      <c r="Q125" s="2">
        <f t="shared" si="372"/>
        <v>99</v>
      </c>
      <c r="R125" s="57">
        <f t="shared" si="213"/>
        <v>283523</v>
      </c>
      <c r="S125" s="62">
        <f t="shared" si="363"/>
        <v>21235.060415587421</v>
      </c>
      <c r="T125" s="2">
        <f t="shared" si="373"/>
        <v>98</v>
      </c>
      <c r="U125" s="57">
        <f t="shared" si="220"/>
        <v>143321</v>
      </c>
      <c r="V125" s="62">
        <f t="shared" si="366"/>
        <v>11172.408701063794</v>
      </c>
      <c r="W125" s="2">
        <f t="shared" si="374"/>
        <v>97</v>
      </c>
      <c r="X125" s="57">
        <f t="shared" si="225"/>
        <v>227851</v>
      </c>
      <c r="Y125" s="62">
        <f t="shared" si="375"/>
        <v>18486.713165575369</v>
      </c>
      <c r="Z125" s="2">
        <f t="shared" si="376"/>
        <v>96</v>
      </c>
      <c r="AA125" s="57">
        <f t="shared" si="232"/>
        <v>238727</v>
      </c>
      <c r="AB125" s="62">
        <f t="shared" ref="AB125:AB156" si="398">SUM($G$10*$G$11*AA125*(EXP(-($G$10*Z125))),$G$10*$G$11*AA125*(EXP(-($G$10*(Z125+0.1)))),$G$10*$G$11*AA125*(EXP(-($G$10*(Z125+0.2)))),$G$10*$G$11*AA125*(EXP(-($G$10*(Z125+0.3)))),$G$10*$G$11*AA125*(EXP(-($G$10*(Z125+0.4)))),$G$10*$G$11*AA125*(EXP(-($G$10*(Z125+0.5)))),$G$10*$G$11*AA125*(EXP(-($G$10*(Z125+0.6)))),$G$10*$G$11*AA125*(EXP(-($G$10*(Z125+0.7)))),$G$10*$G$11*AA125*(EXP(-($G$10*(Z125+0.8)))),$G$10*$G$11*AA125*(EXP(-($G$10*(Z125+0.9)))))/10</f>
        <v>20159.608026272392</v>
      </c>
      <c r="AC125" s="2">
        <f t="shared" si="377"/>
        <v>95</v>
      </c>
      <c r="AD125" s="57">
        <f t="shared" si="237"/>
        <v>250122</v>
      </c>
      <c r="AE125" s="62">
        <f t="shared" si="238"/>
        <v>21983.873438919163</v>
      </c>
      <c r="AF125" s="2">
        <f t="shared" si="378"/>
        <v>94</v>
      </c>
      <c r="AG125" s="57">
        <f t="shared" si="243"/>
        <v>262060</v>
      </c>
      <c r="AH125" s="62">
        <f t="shared" si="244"/>
        <v>23973.135408207851</v>
      </c>
      <c r="AI125" s="2">
        <f t="shared" si="379"/>
        <v>93</v>
      </c>
      <c r="AJ125" s="57">
        <f t="shared" si="250"/>
        <v>274569</v>
      </c>
      <c r="AK125" s="62">
        <f t="shared" si="251"/>
        <v>26142.516031190858</v>
      </c>
      <c r="AL125" s="2">
        <f t="shared" si="380"/>
        <v>92</v>
      </c>
      <c r="AM125" s="57">
        <f t="shared" si="254"/>
        <v>287675</v>
      </c>
      <c r="AN125" s="62">
        <f t="shared" si="255"/>
        <v>28508.199023623944</v>
      </c>
      <c r="AO125" s="2">
        <f t="shared" si="381"/>
        <v>91</v>
      </c>
      <c r="AP125" s="57">
        <f t="shared" si="260"/>
        <v>301406</v>
      </c>
      <c r="AQ125" s="62">
        <f t="shared" si="261"/>
        <v>31087.89618771895</v>
      </c>
      <c r="AR125" s="2">
        <f t="shared" si="382"/>
        <v>90</v>
      </c>
      <c r="AS125" s="57">
        <f t="shared" si="265"/>
        <v>315793</v>
      </c>
      <c r="AT125" s="62">
        <f t="shared" si="266"/>
        <v>33901.094360268944</v>
      </c>
      <c r="AU125" s="2">
        <f t="shared" si="383"/>
        <v>89</v>
      </c>
      <c r="AV125" s="57">
        <f t="shared" si="271"/>
        <v>330866</v>
      </c>
      <c r="AW125" s="62">
        <f t="shared" si="272"/>
        <v>36968.78174231833</v>
      </c>
      <c r="AX125" s="2">
        <f t="shared" si="384"/>
        <v>88</v>
      </c>
      <c r="AY125" s="57">
        <f t="shared" si="277"/>
        <v>346659</v>
      </c>
      <c r="AZ125" s="62">
        <f t="shared" si="278"/>
        <v>40314.126783826556</v>
      </c>
      <c r="BA125" s="2">
        <f t="shared" si="385"/>
        <v>87</v>
      </c>
      <c r="BB125" s="57">
        <f t="shared" si="284"/>
        <v>363206</v>
      </c>
      <c r="BC125" s="62">
        <f t="shared" si="285"/>
        <v>43962.215512790259</v>
      </c>
      <c r="BD125" s="2">
        <f t="shared" si="386"/>
        <v>86</v>
      </c>
      <c r="BE125" s="57">
        <f t="shared" si="289"/>
        <v>380542</v>
      </c>
      <c r="BF125" s="62">
        <f t="shared" si="290"/>
        <v>47940.320408664862</v>
      </c>
      <c r="BG125" s="2">
        <f t="shared" si="387"/>
        <v>85</v>
      </c>
      <c r="BH125" s="57">
        <f t="shared" si="296"/>
        <v>398706</v>
      </c>
      <c r="BI125" s="62">
        <f t="shared" si="297"/>
        <v>52278.472121453102</v>
      </c>
      <c r="BJ125" s="2">
        <f t="shared" si="388"/>
        <v>84</v>
      </c>
      <c r="BK125" s="57">
        <f t="shared" si="300"/>
        <v>417737</v>
      </c>
      <c r="BL125" s="62">
        <f t="shared" si="301"/>
        <v>57009.185737033375</v>
      </c>
      <c r="BM125" s="2">
        <f t="shared" si="389"/>
        <v>83</v>
      </c>
      <c r="BN125" s="57">
        <f t="shared" si="304"/>
        <v>437677</v>
      </c>
      <c r="BO125" s="62">
        <f t="shared" si="305"/>
        <v>62168.071974015314</v>
      </c>
      <c r="BP125" s="2">
        <f t="shared" si="390"/>
        <v>82</v>
      </c>
      <c r="BQ125" s="57">
        <f t="shared" si="308"/>
        <v>458568</v>
      </c>
      <c r="BR125" s="62">
        <f t="shared" si="309"/>
        <v>67793.678330519644</v>
      </c>
      <c r="BS125" s="2">
        <f t="shared" si="391"/>
        <v>81</v>
      </c>
      <c r="BT125" s="57">
        <f t="shared" si="312"/>
        <v>480456</v>
      </c>
      <c r="BU125" s="62">
        <f t="shared" si="313"/>
        <v>73928.322813445324</v>
      </c>
      <c r="BV125" s="2">
        <f t="shared" si="392"/>
        <v>80</v>
      </c>
      <c r="BW125" s="57">
        <f t="shared" si="316"/>
        <v>503389</v>
      </c>
      <c r="BX125" s="62">
        <f t="shared" si="317"/>
        <v>80618.132345994207</v>
      </c>
      <c r="BY125" s="2">
        <f t="shared" si="393"/>
        <v>79</v>
      </c>
      <c r="BZ125" s="57">
        <f t="shared" si="320"/>
        <v>527417</v>
      </c>
      <c r="CA125" s="62">
        <f t="shared" si="321"/>
        <v>87913.367313438983</v>
      </c>
      <c r="CB125" s="2">
        <f t="shared" si="394"/>
        <v>78</v>
      </c>
      <c r="CC125" s="57">
        <f t="shared" si="324"/>
        <v>552592</v>
      </c>
      <c r="CD125" s="62">
        <f t="shared" si="325"/>
        <v>95868.77177022527</v>
      </c>
      <c r="CE125" s="2">
        <f t="shared" si="395"/>
        <v>77</v>
      </c>
      <c r="CF125" s="57">
        <f t="shared" si="328"/>
        <v>578968</v>
      </c>
      <c r="CG125" s="62">
        <f t="shared" si="329"/>
        <v>104543.95119418828</v>
      </c>
      <c r="CH125" s="2">
        <v>76</v>
      </c>
      <c r="CI125" s="57">
        <f t="shared" si="332"/>
        <v>606603</v>
      </c>
      <c r="CJ125" s="62">
        <f t="shared" si="333"/>
        <v>114004.15568095303</v>
      </c>
      <c r="CK125" s="2">
        <v>75</v>
      </c>
      <c r="CL125" s="57">
        <f t="shared" si="336"/>
        <v>635558</v>
      </c>
      <c r="CM125" s="62">
        <f t="shared" si="337"/>
        <v>124320.60006870823</v>
      </c>
      <c r="CN125" s="2">
        <v>74</v>
      </c>
      <c r="CO125" s="57">
        <f t="shared" si="340"/>
        <v>665894</v>
      </c>
      <c r="CP125" s="62">
        <f t="shared" si="341"/>
        <v>135570.37239149224</v>
      </c>
      <c r="CQ125" s="2">
        <v>73</v>
      </c>
      <c r="CR125" s="57">
        <f t="shared" si="344"/>
        <v>697679</v>
      </c>
      <c r="CS125" s="62">
        <f t="shared" si="345"/>
        <v>147838.35365310669</v>
      </c>
      <c r="CT125" s="2">
        <v>72</v>
      </c>
      <c r="CU125" s="57">
        <f t="shared" si="348"/>
        <v>730980</v>
      </c>
      <c r="CV125" s="62">
        <f t="shared" si="349"/>
        <v>161216.22233238752</v>
      </c>
      <c r="CW125" s="2">
        <v>71</v>
      </c>
      <c r="CX125" s="57">
        <f t="shared" si="352"/>
        <v>765871</v>
      </c>
      <c r="CY125" s="62">
        <f t="shared" si="353"/>
        <v>175804.7683281166</v>
      </c>
      <c r="CZ125" s="2">
        <v>70</v>
      </c>
      <c r="DA125" s="57">
        <f t="shared" si="196"/>
        <v>0</v>
      </c>
      <c r="DB125" s="62">
        <f t="shared" si="355"/>
        <v>0</v>
      </c>
      <c r="DC125" s="2">
        <v>69</v>
      </c>
      <c r="DD125" s="57">
        <f t="shared" si="202"/>
        <v>0</v>
      </c>
      <c r="DE125" s="62">
        <f t="shared" si="358"/>
        <v>0</v>
      </c>
      <c r="DF125" s="2">
        <v>68</v>
      </c>
      <c r="DG125" s="57">
        <f t="shared" si="209"/>
        <v>0</v>
      </c>
      <c r="DH125" s="62">
        <f t="shared" si="361"/>
        <v>0</v>
      </c>
      <c r="DI125" s="2">
        <v>67</v>
      </c>
      <c r="DJ125" s="57">
        <f t="shared" si="215"/>
        <v>0</v>
      </c>
      <c r="DK125" s="62">
        <f t="shared" si="364"/>
        <v>0</v>
      </c>
      <c r="DL125" s="2">
        <v>66</v>
      </c>
      <c r="DM125" s="57">
        <f t="shared" si="222"/>
        <v>0</v>
      </c>
      <c r="DN125" s="62">
        <f t="shared" si="367"/>
        <v>0</v>
      </c>
      <c r="DO125" s="2">
        <v>65</v>
      </c>
      <c r="DP125" s="57">
        <f t="shared" si="227"/>
        <v>0</v>
      </c>
      <c r="DQ125" s="62">
        <f t="shared" si="396"/>
        <v>0</v>
      </c>
      <c r="DR125" s="2">
        <v>64</v>
      </c>
      <c r="DS125" s="57">
        <f t="shared" si="234"/>
        <v>0</v>
      </c>
      <c r="DT125" s="62">
        <f t="shared" ref="DT125:DT156" si="399">SUM($G$10*$G$11*DS125*(EXP(-($G$10*DR125))),$G$10*$G$11*DS125*(EXP(-($G$10*(DR125+0.1)))),$G$10*$G$11*DS125*(EXP(-($G$10*(DR125+0.2)))),$G$10*$G$11*DS125*(EXP(-($G$10*(DR125+0.3)))),$G$10*$G$11*DS125*(EXP(-($G$10*(DR125+0.4)))),$G$10*$G$11*DS125*(EXP(-($G$10*(DR125+0.5)))),$G$10*$G$11*DS125*(EXP(-($G$10*(DR125+0.6)))),$G$10*$G$11*DS125*(EXP(-($G$10*(DR125+0.7)))),$G$10*$G$11*DS125*(EXP(-($G$10*(DR125+0.8)))),$G$10*$G$11*DS125*(EXP(-($G$10*(DR125+0.9)))))/10</f>
        <v>0</v>
      </c>
      <c r="DU125" s="2">
        <v>63</v>
      </c>
      <c r="DV125" s="57">
        <f t="shared" si="239"/>
        <v>0</v>
      </c>
      <c r="DW125" s="62">
        <f t="shared" si="240"/>
        <v>0</v>
      </c>
      <c r="DX125" s="2">
        <v>62</v>
      </c>
      <c r="DY125" s="57">
        <f t="shared" si="245"/>
        <v>0</v>
      </c>
      <c r="DZ125" s="62">
        <f t="shared" si="246"/>
        <v>0</v>
      </c>
      <c r="EA125" s="2">
        <v>61</v>
      </c>
      <c r="EB125" s="57">
        <f t="shared" si="109"/>
        <v>0</v>
      </c>
      <c r="EC125" s="62">
        <f t="shared" si="252"/>
        <v>0</v>
      </c>
      <c r="ED125" s="2">
        <v>60</v>
      </c>
      <c r="EE125" s="57">
        <f t="shared" si="113"/>
        <v>0</v>
      </c>
      <c r="EF125" s="62">
        <f t="shared" si="256"/>
        <v>0</v>
      </c>
      <c r="EG125" s="2">
        <v>59</v>
      </c>
      <c r="EH125" s="57">
        <f t="shared" si="117"/>
        <v>0</v>
      </c>
      <c r="EI125" s="62">
        <f t="shared" si="262"/>
        <v>0</v>
      </c>
      <c r="EJ125" s="2">
        <v>58</v>
      </c>
      <c r="EK125" s="57">
        <f t="shared" si="121"/>
        <v>0</v>
      </c>
      <c r="EL125" s="62">
        <f t="shared" si="267"/>
        <v>0</v>
      </c>
      <c r="EM125" s="2">
        <v>57</v>
      </c>
      <c r="EN125" s="57">
        <f t="shared" si="125"/>
        <v>0</v>
      </c>
      <c r="EO125" s="62">
        <f t="shared" si="273"/>
        <v>0</v>
      </c>
      <c r="EP125" s="2">
        <v>56</v>
      </c>
      <c r="EQ125" s="57">
        <f t="shared" si="129"/>
        <v>0</v>
      </c>
      <c r="ER125" s="62">
        <f t="shared" si="279"/>
        <v>0</v>
      </c>
      <c r="ES125" s="2">
        <v>55</v>
      </c>
      <c r="ET125" s="57">
        <f t="shared" si="130"/>
        <v>0</v>
      </c>
      <c r="EU125" s="62">
        <f t="shared" si="286"/>
        <v>0</v>
      </c>
      <c r="EV125" s="2">
        <v>54</v>
      </c>
      <c r="EW125" s="57">
        <f t="shared" si="134"/>
        <v>0</v>
      </c>
      <c r="EX125" s="62">
        <f t="shared" si="291"/>
        <v>0</v>
      </c>
      <c r="EY125" s="2">
        <v>53</v>
      </c>
      <c r="EZ125" s="57">
        <f t="shared" si="141"/>
        <v>0</v>
      </c>
      <c r="FA125" s="62">
        <f t="shared" si="298"/>
        <v>0</v>
      </c>
      <c r="FB125" s="2">
        <v>52</v>
      </c>
      <c r="FC125" s="57">
        <f t="shared" si="142"/>
        <v>0</v>
      </c>
      <c r="FD125" s="62">
        <f t="shared" si="302"/>
        <v>0</v>
      </c>
      <c r="FE125" s="2">
        <v>51</v>
      </c>
      <c r="FF125" s="57">
        <f t="shared" si="149"/>
        <v>0</v>
      </c>
      <c r="FG125" s="62">
        <f t="shared" si="306"/>
        <v>0</v>
      </c>
      <c r="FH125" s="2">
        <v>50</v>
      </c>
      <c r="FI125" s="57">
        <f t="shared" si="150"/>
        <v>0</v>
      </c>
      <c r="FJ125" s="62">
        <f t="shared" si="310"/>
        <v>0</v>
      </c>
      <c r="FK125" s="2">
        <v>49</v>
      </c>
      <c r="FL125" s="57">
        <f t="shared" si="157"/>
        <v>0</v>
      </c>
      <c r="FM125" s="62">
        <f t="shared" si="314"/>
        <v>0</v>
      </c>
      <c r="FN125" s="2">
        <v>48</v>
      </c>
      <c r="FO125" s="57">
        <f t="shared" si="158"/>
        <v>0</v>
      </c>
      <c r="FP125" s="62">
        <f t="shared" si="318"/>
        <v>0</v>
      </c>
      <c r="FQ125" s="2">
        <v>47</v>
      </c>
      <c r="FR125" s="57">
        <f t="shared" si="165"/>
        <v>0</v>
      </c>
      <c r="FS125" s="62">
        <f t="shared" si="322"/>
        <v>0</v>
      </c>
      <c r="FT125" s="2">
        <v>46</v>
      </c>
      <c r="FU125" s="57">
        <f t="shared" si="166"/>
        <v>0</v>
      </c>
      <c r="FV125" s="62">
        <f t="shared" si="326"/>
        <v>0</v>
      </c>
      <c r="FW125" s="2">
        <v>45</v>
      </c>
      <c r="FX125" s="57">
        <f t="shared" si="170"/>
        <v>0</v>
      </c>
      <c r="FY125" s="62">
        <f t="shared" si="330"/>
        <v>0</v>
      </c>
      <c r="FZ125" s="2">
        <v>44</v>
      </c>
      <c r="GA125" s="57">
        <f t="shared" si="177"/>
        <v>0</v>
      </c>
      <c r="GB125" s="62">
        <f t="shared" si="334"/>
        <v>0</v>
      </c>
      <c r="GC125" s="2">
        <v>43</v>
      </c>
      <c r="GD125" s="57">
        <f t="shared" si="178"/>
        <v>0</v>
      </c>
      <c r="GE125" s="62">
        <f t="shared" si="338"/>
        <v>0</v>
      </c>
      <c r="GF125" s="2">
        <v>42</v>
      </c>
      <c r="GG125" s="57">
        <f t="shared" si="185"/>
        <v>0</v>
      </c>
      <c r="GH125" s="62">
        <f t="shared" si="342"/>
        <v>0</v>
      </c>
      <c r="GI125" s="2">
        <v>41</v>
      </c>
      <c r="GJ125" s="57">
        <f t="shared" si="186"/>
        <v>0</v>
      </c>
      <c r="GK125" s="62">
        <f t="shared" si="346"/>
        <v>0</v>
      </c>
      <c r="GL125" s="2">
        <v>40</v>
      </c>
      <c r="GM125" s="57">
        <f t="shared" si="193"/>
        <v>0</v>
      </c>
      <c r="GN125" s="62">
        <f t="shared" si="350"/>
        <v>0</v>
      </c>
      <c r="GO125" s="2">
        <v>39</v>
      </c>
      <c r="GP125" s="57">
        <f t="shared" si="194"/>
        <v>0</v>
      </c>
      <c r="GQ125" s="62">
        <f t="shared" si="354"/>
        <v>0</v>
      </c>
      <c r="GR125" s="2">
        <v>38</v>
      </c>
      <c r="GS125" s="57">
        <f t="shared" si="204"/>
        <v>0</v>
      </c>
      <c r="GT125" s="62">
        <f t="shared" si="356"/>
        <v>0</v>
      </c>
      <c r="GU125" s="2">
        <v>37</v>
      </c>
      <c r="GV125" s="57">
        <f t="shared" si="205"/>
        <v>0</v>
      </c>
      <c r="GW125" s="62">
        <f t="shared" si="359"/>
        <v>0</v>
      </c>
      <c r="GX125" s="2">
        <v>36</v>
      </c>
      <c r="GY125" s="57">
        <f t="shared" si="217"/>
        <v>0</v>
      </c>
      <c r="GZ125" s="62">
        <f t="shared" si="362"/>
        <v>0</v>
      </c>
      <c r="HA125" s="2">
        <v>35</v>
      </c>
      <c r="HB125" s="57">
        <f t="shared" si="218"/>
        <v>0</v>
      </c>
      <c r="HC125" s="62">
        <f t="shared" si="365"/>
        <v>0</v>
      </c>
      <c r="HD125" s="2">
        <v>34</v>
      </c>
      <c r="HE125" s="57">
        <f t="shared" si="229"/>
        <v>0</v>
      </c>
      <c r="HF125" s="62">
        <f t="shared" si="368"/>
        <v>0</v>
      </c>
      <c r="HG125" s="2">
        <v>33</v>
      </c>
      <c r="HH125" s="57">
        <f t="shared" si="230"/>
        <v>0</v>
      </c>
      <c r="HI125" s="62">
        <f t="shared" si="397"/>
        <v>0</v>
      </c>
      <c r="HJ125" s="2">
        <v>32</v>
      </c>
      <c r="HK125" s="57">
        <f t="shared" si="241"/>
        <v>0</v>
      </c>
      <c r="HL125" s="62">
        <f t="shared" ref="HL125:HL156" si="400">SUM($G$10*$G$11*HK125*(EXP(-($G$10*HJ125))),$G$10*$G$11*HK125*(EXP(-($G$10*(HJ125+0.1)))),$G$10*$G$11*HK125*(EXP(-($G$10*(HJ125+0.2)))),$G$10*$G$11*HK125*(EXP(-($G$10*(HJ125+0.3)))),$G$10*$G$11*HK125*(EXP(-($G$10*(HJ125+0.4)))),$G$10*$G$11*HK125*(EXP(-($G$10*(HJ125+0.5)))),$G$10*$G$11*HK125*(EXP(-($G$10*(HJ125+0.6)))),$G$10*$G$11*HK125*(EXP(-($G$10*(HJ125+0.7)))),$G$10*$G$11*HK125*(EXP(-($G$10*(HJ125+0.8)))),$G$10*$G$11*HK125*(EXP(-($G$10*(HJ125+0.9)))))/10</f>
        <v>0</v>
      </c>
      <c r="HM125" s="2">
        <v>31</v>
      </c>
      <c r="HN125" s="57">
        <f t="shared" si="247"/>
        <v>0</v>
      </c>
      <c r="HO125" s="62">
        <f t="shared" si="242"/>
        <v>0</v>
      </c>
      <c r="HP125" s="2">
        <v>30</v>
      </c>
      <c r="HQ125" s="57">
        <f t="shared" si="248"/>
        <v>0</v>
      </c>
      <c r="HR125" s="62">
        <f t="shared" si="249"/>
        <v>0</v>
      </c>
      <c r="HS125" s="2">
        <v>29</v>
      </c>
      <c r="HT125" s="57">
        <f t="shared" si="257"/>
        <v>0</v>
      </c>
      <c r="HU125" s="62">
        <f t="shared" si="253"/>
        <v>0</v>
      </c>
      <c r="HV125" s="2">
        <v>28</v>
      </c>
      <c r="HW125" s="57">
        <f t="shared" si="258"/>
        <v>0</v>
      </c>
      <c r="HX125" s="62">
        <f t="shared" si="259"/>
        <v>0</v>
      </c>
      <c r="HY125" s="2">
        <v>27</v>
      </c>
      <c r="HZ125" s="57">
        <f t="shared" si="268"/>
        <v>0</v>
      </c>
      <c r="IA125" s="62">
        <f t="shared" si="263"/>
        <v>0</v>
      </c>
      <c r="IB125" s="2">
        <v>26</v>
      </c>
      <c r="IC125" s="57">
        <f t="shared" si="274"/>
        <v>0</v>
      </c>
      <c r="ID125" s="62">
        <f t="shared" si="269"/>
        <v>0</v>
      </c>
      <c r="IE125" s="2">
        <v>25</v>
      </c>
      <c r="IF125" s="57">
        <f t="shared" si="280"/>
        <v>0</v>
      </c>
      <c r="IG125" s="62">
        <f t="shared" si="275"/>
        <v>0</v>
      </c>
      <c r="IH125" s="2">
        <v>24</v>
      </c>
      <c r="II125" s="57">
        <f t="shared" si="281"/>
        <v>0</v>
      </c>
      <c r="IJ125" s="62">
        <f t="shared" si="282"/>
        <v>0</v>
      </c>
      <c r="IK125" s="2">
        <v>23</v>
      </c>
      <c r="IL125" s="57">
        <f t="shared" si="292"/>
        <v>0</v>
      </c>
      <c r="IM125" s="62">
        <f t="shared" si="287"/>
        <v>0</v>
      </c>
      <c r="IN125" s="2">
        <v>22</v>
      </c>
      <c r="IO125" s="57">
        <f t="shared" si="293"/>
        <v>0</v>
      </c>
      <c r="IP125" s="62">
        <f t="shared" si="294"/>
        <v>0</v>
      </c>
    </row>
    <row r="126" spans="7:250">
      <c r="G126" s="284"/>
      <c r="H126" s="284"/>
      <c r="I126" s="2">
        <f t="shared" si="369"/>
        <v>2121</v>
      </c>
      <c r="J126" s="379">
        <f t="shared" si="264"/>
        <v>1903232.4608074129</v>
      </c>
      <c r="K126" s="2">
        <f t="shared" si="370"/>
        <v>102</v>
      </c>
      <c r="L126" s="57">
        <f t="shared" si="200"/>
        <v>189082</v>
      </c>
      <c r="M126" s="62">
        <f t="shared" si="357"/>
        <v>12560.301224986093</v>
      </c>
      <c r="N126" s="2">
        <f t="shared" si="371"/>
        <v>101</v>
      </c>
      <c r="O126" s="57">
        <f t="shared" si="207"/>
        <v>293489</v>
      </c>
      <c r="P126" s="62">
        <f t="shared" si="360"/>
        <v>20291.468364421322</v>
      </c>
      <c r="Q126" s="2">
        <f t="shared" si="372"/>
        <v>100</v>
      </c>
      <c r="R126" s="57">
        <f t="shared" si="213"/>
        <v>283523</v>
      </c>
      <c r="S126" s="62">
        <f t="shared" si="363"/>
        <v>20402.421787057941</v>
      </c>
      <c r="T126" s="2">
        <f t="shared" si="373"/>
        <v>99</v>
      </c>
      <c r="U126" s="57">
        <f t="shared" si="220"/>
        <v>143321</v>
      </c>
      <c r="V126" s="62">
        <f t="shared" si="366"/>
        <v>10734.33228987562</v>
      </c>
      <c r="W126" s="2">
        <f t="shared" si="374"/>
        <v>98</v>
      </c>
      <c r="X126" s="57">
        <f t="shared" si="225"/>
        <v>227851</v>
      </c>
      <c r="Y126" s="62">
        <f t="shared" si="375"/>
        <v>17761.838774123029</v>
      </c>
      <c r="Z126" s="2">
        <f t="shared" si="376"/>
        <v>97</v>
      </c>
      <c r="AA126" s="57">
        <f t="shared" si="232"/>
        <v>238727</v>
      </c>
      <c r="AB126" s="62">
        <f t="shared" si="398"/>
        <v>19369.138489092922</v>
      </c>
      <c r="AC126" s="2">
        <f t="shared" si="377"/>
        <v>96</v>
      </c>
      <c r="AD126" s="57">
        <f t="shared" si="237"/>
        <v>250122</v>
      </c>
      <c r="AE126" s="62">
        <f t="shared" ref="AE126:AE157" si="401">SUM($G$10*$G$11*AD126*(EXP(-($G$10*AC126))),$G$10*$G$11*AD126*(EXP(-($G$10*(AC126+0.1)))),$G$10*$G$11*AD126*(EXP(-($G$10*(AC126+0.2)))),$G$10*$G$11*AD126*(EXP(-($G$10*(AC126+0.3)))),$G$10*$G$11*AD126*(EXP(-($G$10*(AC126+0.4)))),$G$10*$G$11*AD126*(EXP(-($G$10*(AC126+0.5)))),$G$10*$G$11*AD126*(EXP(-($G$10*(AC126+0.6)))),$G$10*$G$11*AD126*(EXP(-($G$10*(AC126+0.7)))),$G$10*$G$11*AD126*(EXP(-($G$10*(AC126+0.8)))),$G$10*$G$11*AD126*(EXP(-($G$10*(AC126+0.9)))))/10</f>
        <v>21121.873431774799</v>
      </c>
      <c r="AF126" s="2">
        <f t="shared" si="378"/>
        <v>95</v>
      </c>
      <c r="AG126" s="57">
        <f t="shared" si="243"/>
        <v>262060</v>
      </c>
      <c r="AH126" s="62">
        <f t="shared" si="244"/>
        <v>23033.135323574723</v>
      </c>
      <c r="AI126" s="2">
        <f t="shared" si="379"/>
        <v>94</v>
      </c>
      <c r="AJ126" s="57">
        <f t="shared" si="250"/>
        <v>274569</v>
      </c>
      <c r="AK126" s="62">
        <f t="shared" si="251"/>
        <v>25117.453315638486</v>
      </c>
      <c r="AL126" s="2">
        <f t="shared" si="380"/>
        <v>93</v>
      </c>
      <c r="AM126" s="57">
        <f t="shared" si="254"/>
        <v>287675</v>
      </c>
      <c r="AN126" s="62">
        <f t="shared" si="255"/>
        <v>27390.376551150453</v>
      </c>
      <c r="AO126" s="2">
        <f t="shared" si="381"/>
        <v>92</v>
      </c>
      <c r="AP126" s="57">
        <f t="shared" si="260"/>
        <v>301406</v>
      </c>
      <c r="AQ126" s="62">
        <f t="shared" si="261"/>
        <v>29868.922342624137</v>
      </c>
      <c r="AR126" s="2">
        <f t="shared" si="382"/>
        <v>91</v>
      </c>
      <c r="AS126" s="57">
        <f t="shared" si="265"/>
        <v>315793</v>
      </c>
      <c r="AT126" s="62">
        <f t="shared" si="266"/>
        <v>32571.813437052781</v>
      </c>
      <c r="AU126" s="2">
        <f t="shared" si="383"/>
        <v>90</v>
      </c>
      <c r="AV126" s="57">
        <f t="shared" si="271"/>
        <v>330866</v>
      </c>
      <c r="AW126" s="62">
        <f t="shared" si="272"/>
        <v>35519.215076346671</v>
      </c>
      <c r="AX126" s="2">
        <f t="shared" si="384"/>
        <v>89</v>
      </c>
      <c r="AY126" s="57">
        <f t="shared" si="277"/>
        <v>346659</v>
      </c>
      <c r="AZ126" s="62">
        <f t="shared" si="278"/>
        <v>38733.387262548364</v>
      </c>
      <c r="BA126" s="2">
        <f t="shared" si="385"/>
        <v>88</v>
      </c>
      <c r="BB126" s="57">
        <f t="shared" si="284"/>
        <v>363206</v>
      </c>
      <c r="BC126" s="62">
        <f t="shared" si="285"/>
        <v>42238.432386427317</v>
      </c>
      <c r="BD126" s="2">
        <f t="shared" si="386"/>
        <v>87</v>
      </c>
      <c r="BE126" s="57">
        <f t="shared" si="289"/>
        <v>380542</v>
      </c>
      <c r="BF126" s="62">
        <f t="shared" si="290"/>
        <v>46060.553558223794</v>
      </c>
      <c r="BG126" s="2">
        <f t="shared" si="387"/>
        <v>86</v>
      </c>
      <c r="BH126" s="57">
        <f t="shared" si="296"/>
        <v>398706</v>
      </c>
      <c r="BI126" s="62">
        <f t="shared" si="297"/>
        <v>50228.603909311278</v>
      </c>
      <c r="BJ126" s="2">
        <f t="shared" si="388"/>
        <v>85</v>
      </c>
      <c r="BK126" s="57">
        <f t="shared" si="300"/>
        <v>417737</v>
      </c>
      <c r="BL126" s="62">
        <f t="shared" si="301"/>
        <v>54773.823590814914</v>
      </c>
      <c r="BM126" s="2">
        <f t="shared" si="389"/>
        <v>84</v>
      </c>
      <c r="BN126" s="57">
        <f t="shared" si="304"/>
        <v>437677</v>
      </c>
      <c r="BO126" s="62">
        <f t="shared" si="305"/>
        <v>59730.427005095444</v>
      </c>
      <c r="BP126" s="2">
        <f t="shared" si="390"/>
        <v>83</v>
      </c>
      <c r="BQ126" s="57">
        <f t="shared" si="308"/>
        <v>458568</v>
      </c>
      <c r="BR126" s="62">
        <f t="shared" si="309"/>
        <v>65135.450181252963</v>
      </c>
      <c r="BS126" s="2">
        <f t="shared" si="391"/>
        <v>82</v>
      </c>
      <c r="BT126" s="57">
        <f t="shared" si="312"/>
        <v>480456</v>
      </c>
      <c r="BU126" s="62">
        <f t="shared" si="313"/>
        <v>71029.551813402039</v>
      </c>
      <c r="BV126" s="2">
        <f t="shared" si="392"/>
        <v>81</v>
      </c>
      <c r="BW126" s="57">
        <f t="shared" si="316"/>
        <v>503389</v>
      </c>
      <c r="BX126" s="62">
        <f t="shared" si="317"/>
        <v>77457.050162215528</v>
      </c>
      <c r="BY126" s="2">
        <f t="shared" si="393"/>
        <v>80</v>
      </c>
      <c r="BZ126" s="57">
        <f t="shared" si="320"/>
        <v>527417</v>
      </c>
      <c r="CA126" s="62">
        <f t="shared" si="321"/>
        <v>84466.234875071226</v>
      </c>
      <c r="CB126" s="2">
        <f t="shared" si="394"/>
        <v>79</v>
      </c>
      <c r="CC126" s="57">
        <f t="shared" si="324"/>
        <v>552592</v>
      </c>
      <c r="CD126" s="62">
        <f t="shared" si="325"/>
        <v>92109.703461336816</v>
      </c>
      <c r="CE126" s="2">
        <f t="shared" si="395"/>
        <v>78</v>
      </c>
      <c r="CF126" s="57">
        <f t="shared" si="328"/>
        <v>578968</v>
      </c>
      <c r="CG126" s="62">
        <f t="shared" si="329"/>
        <v>100444.72423463204</v>
      </c>
      <c r="CH126" s="2">
        <v>77</v>
      </c>
      <c r="CI126" s="57">
        <f t="shared" si="332"/>
        <v>606603</v>
      </c>
      <c r="CJ126" s="62">
        <f t="shared" si="333"/>
        <v>109533.98879773701</v>
      </c>
      <c r="CK126" s="2">
        <v>76</v>
      </c>
      <c r="CL126" s="57">
        <f t="shared" si="336"/>
        <v>635558</v>
      </c>
      <c r="CM126" s="62">
        <f t="shared" si="337"/>
        <v>119445.91961509446</v>
      </c>
      <c r="CN126" s="2">
        <v>75</v>
      </c>
      <c r="CO126" s="57">
        <f t="shared" si="340"/>
        <v>665894</v>
      </c>
      <c r="CP126" s="62">
        <f t="shared" si="341"/>
        <v>130254.58205569345</v>
      </c>
      <c r="CQ126" s="2">
        <v>74</v>
      </c>
      <c r="CR126" s="57">
        <f t="shared" si="344"/>
        <v>697679</v>
      </c>
      <c r="CS126" s="62">
        <f t="shared" si="345"/>
        <v>142041.52889157119</v>
      </c>
      <c r="CT126" s="2">
        <v>73</v>
      </c>
      <c r="CU126" s="57">
        <f t="shared" si="348"/>
        <v>730980</v>
      </c>
      <c r="CV126" s="62">
        <f t="shared" si="349"/>
        <v>154894.84383699083</v>
      </c>
      <c r="CW126" s="2">
        <v>72</v>
      </c>
      <c r="CX126" s="57">
        <f t="shared" si="352"/>
        <v>765871</v>
      </c>
      <c r="CY126" s="62">
        <f t="shared" si="353"/>
        <v>168911.36476227525</v>
      </c>
      <c r="CZ126" s="2">
        <v>71</v>
      </c>
      <c r="DA126" s="57">
        <f t="shared" si="196"/>
        <v>0</v>
      </c>
      <c r="DB126" s="62">
        <f t="shared" si="355"/>
        <v>0</v>
      </c>
      <c r="DC126" s="2">
        <v>70</v>
      </c>
      <c r="DD126" s="57">
        <f t="shared" si="202"/>
        <v>0</v>
      </c>
      <c r="DE126" s="62">
        <f t="shared" si="358"/>
        <v>0</v>
      </c>
      <c r="DF126" s="2">
        <v>69</v>
      </c>
      <c r="DG126" s="57">
        <f t="shared" si="209"/>
        <v>0</v>
      </c>
      <c r="DH126" s="62">
        <f t="shared" si="361"/>
        <v>0</v>
      </c>
      <c r="DI126" s="2">
        <v>68</v>
      </c>
      <c r="DJ126" s="57">
        <f t="shared" si="215"/>
        <v>0</v>
      </c>
      <c r="DK126" s="62">
        <f t="shared" si="364"/>
        <v>0</v>
      </c>
      <c r="DL126" s="2">
        <v>67</v>
      </c>
      <c r="DM126" s="57">
        <f t="shared" si="222"/>
        <v>0</v>
      </c>
      <c r="DN126" s="62">
        <f t="shared" si="367"/>
        <v>0</v>
      </c>
      <c r="DO126" s="2">
        <v>66</v>
      </c>
      <c r="DP126" s="57">
        <f t="shared" si="227"/>
        <v>0</v>
      </c>
      <c r="DQ126" s="62">
        <f t="shared" si="396"/>
        <v>0</v>
      </c>
      <c r="DR126" s="2">
        <v>65</v>
      </c>
      <c r="DS126" s="57">
        <f t="shared" si="234"/>
        <v>0</v>
      </c>
      <c r="DT126" s="62">
        <f t="shared" si="399"/>
        <v>0</v>
      </c>
      <c r="DU126" s="2">
        <v>64</v>
      </c>
      <c r="DV126" s="57">
        <f t="shared" si="239"/>
        <v>0</v>
      </c>
      <c r="DW126" s="62">
        <f t="shared" ref="DW126:DW157" si="402">SUM($G$10*$G$11*DV126*(EXP(-($G$10*DU126))),$G$10*$G$11*DV126*(EXP(-($G$10*(DU126+0.1)))),$G$10*$G$11*DV126*(EXP(-($G$10*(DU126+0.2)))),$G$10*$G$11*DV126*(EXP(-($G$10*(DU126+0.3)))),$G$10*$G$11*DV126*(EXP(-($G$10*(DU126+0.4)))),$G$10*$G$11*DV126*(EXP(-($G$10*(DU126+0.5)))),$G$10*$G$11*DV126*(EXP(-($G$10*(DU126+0.6)))),$G$10*$G$11*DV126*(EXP(-($G$10*(DU126+0.7)))),$G$10*$G$11*DV126*(EXP(-($G$10*(DU126+0.8)))),$G$10*$G$11*DV126*(EXP(-($G$10*(DU126+0.9)))))/10</f>
        <v>0</v>
      </c>
      <c r="DX126" s="2">
        <v>63</v>
      </c>
      <c r="DY126" s="57">
        <f t="shared" si="245"/>
        <v>0</v>
      </c>
      <c r="DZ126" s="62">
        <f t="shared" si="246"/>
        <v>0</v>
      </c>
      <c r="EA126" s="2">
        <v>62</v>
      </c>
      <c r="EB126" s="57">
        <f t="shared" si="109"/>
        <v>0</v>
      </c>
      <c r="EC126" s="62">
        <f t="shared" si="252"/>
        <v>0</v>
      </c>
      <c r="ED126" s="2">
        <v>61</v>
      </c>
      <c r="EE126" s="57">
        <f t="shared" si="113"/>
        <v>0</v>
      </c>
      <c r="EF126" s="62">
        <f t="shared" si="256"/>
        <v>0</v>
      </c>
      <c r="EG126" s="2">
        <v>60</v>
      </c>
      <c r="EH126" s="57">
        <f t="shared" si="117"/>
        <v>0</v>
      </c>
      <c r="EI126" s="62">
        <f t="shared" si="262"/>
        <v>0</v>
      </c>
      <c r="EJ126" s="2">
        <v>59</v>
      </c>
      <c r="EK126" s="57">
        <f t="shared" si="121"/>
        <v>0</v>
      </c>
      <c r="EL126" s="62">
        <f t="shared" si="267"/>
        <v>0</v>
      </c>
      <c r="EM126" s="2">
        <v>58</v>
      </c>
      <c r="EN126" s="57">
        <f t="shared" si="125"/>
        <v>0</v>
      </c>
      <c r="EO126" s="62">
        <f t="shared" si="273"/>
        <v>0</v>
      </c>
      <c r="EP126" s="2">
        <v>57</v>
      </c>
      <c r="EQ126" s="57">
        <f t="shared" si="129"/>
        <v>0</v>
      </c>
      <c r="ER126" s="62">
        <f t="shared" si="279"/>
        <v>0</v>
      </c>
      <c r="ES126" s="2">
        <v>56</v>
      </c>
      <c r="ET126" s="57">
        <f t="shared" si="130"/>
        <v>0</v>
      </c>
      <c r="EU126" s="62">
        <f t="shared" si="286"/>
        <v>0</v>
      </c>
      <c r="EV126" s="2">
        <v>55</v>
      </c>
      <c r="EW126" s="57">
        <f t="shared" si="134"/>
        <v>0</v>
      </c>
      <c r="EX126" s="62">
        <f t="shared" si="291"/>
        <v>0</v>
      </c>
      <c r="EY126" s="2">
        <v>54</v>
      </c>
      <c r="EZ126" s="57">
        <f t="shared" si="141"/>
        <v>0</v>
      </c>
      <c r="FA126" s="62">
        <f t="shared" si="298"/>
        <v>0</v>
      </c>
      <c r="FB126" s="2">
        <v>53</v>
      </c>
      <c r="FC126" s="57">
        <f t="shared" si="142"/>
        <v>0</v>
      </c>
      <c r="FD126" s="62">
        <f t="shared" si="302"/>
        <v>0</v>
      </c>
      <c r="FE126" s="2">
        <v>52</v>
      </c>
      <c r="FF126" s="57">
        <f t="shared" si="149"/>
        <v>0</v>
      </c>
      <c r="FG126" s="62">
        <f t="shared" si="306"/>
        <v>0</v>
      </c>
      <c r="FH126" s="2">
        <v>51</v>
      </c>
      <c r="FI126" s="57">
        <f t="shared" si="150"/>
        <v>0</v>
      </c>
      <c r="FJ126" s="62">
        <f t="shared" si="310"/>
        <v>0</v>
      </c>
      <c r="FK126" s="2">
        <v>50</v>
      </c>
      <c r="FL126" s="57">
        <f t="shared" si="157"/>
        <v>0</v>
      </c>
      <c r="FM126" s="62">
        <f t="shared" si="314"/>
        <v>0</v>
      </c>
      <c r="FN126" s="2">
        <v>49</v>
      </c>
      <c r="FO126" s="57">
        <f t="shared" si="158"/>
        <v>0</v>
      </c>
      <c r="FP126" s="62">
        <f t="shared" si="318"/>
        <v>0</v>
      </c>
      <c r="FQ126" s="2">
        <v>48</v>
      </c>
      <c r="FR126" s="57">
        <f t="shared" si="165"/>
        <v>0</v>
      </c>
      <c r="FS126" s="62">
        <f t="shared" si="322"/>
        <v>0</v>
      </c>
      <c r="FT126" s="2">
        <v>47</v>
      </c>
      <c r="FU126" s="57">
        <f t="shared" si="166"/>
        <v>0</v>
      </c>
      <c r="FV126" s="62">
        <f t="shared" si="326"/>
        <v>0</v>
      </c>
      <c r="FW126" s="2">
        <v>46</v>
      </c>
      <c r="FX126" s="57">
        <f t="shared" si="170"/>
        <v>0</v>
      </c>
      <c r="FY126" s="62">
        <f t="shared" si="330"/>
        <v>0</v>
      </c>
      <c r="FZ126" s="2">
        <v>45</v>
      </c>
      <c r="GA126" s="57">
        <f t="shared" si="177"/>
        <v>0</v>
      </c>
      <c r="GB126" s="62">
        <f t="shared" si="334"/>
        <v>0</v>
      </c>
      <c r="GC126" s="2">
        <v>44</v>
      </c>
      <c r="GD126" s="57">
        <f t="shared" si="178"/>
        <v>0</v>
      </c>
      <c r="GE126" s="62">
        <f t="shared" si="338"/>
        <v>0</v>
      </c>
      <c r="GF126" s="2">
        <v>43</v>
      </c>
      <c r="GG126" s="57">
        <f t="shared" si="185"/>
        <v>0</v>
      </c>
      <c r="GH126" s="62">
        <f t="shared" si="342"/>
        <v>0</v>
      </c>
      <c r="GI126" s="2">
        <v>42</v>
      </c>
      <c r="GJ126" s="57">
        <f t="shared" si="186"/>
        <v>0</v>
      </c>
      <c r="GK126" s="62">
        <f t="shared" si="346"/>
        <v>0</v>
      </c>
      <c r="GL126" s="2">
        <v>41</v>
      </c>
      <c r="GM126" s="57">
        <f t="shared" si="193"/>
        <v>0</v>
      </c>
      <c r="GN126" s="62">
        <f t="shared" si="350"/>
        <v>0</v>
      </c>
      <c r="GO126" s="2">
        <v>40</v>
      </c>
      <c r="GP126" s="57">
        <f t="shared" si="194"/>
        <v>0</v>
      </c>
      <c r="GQ126" s="62">
        <f t="shared" si="354"/>
        <v>0</v>
      </c>
      <c r="GR126" s="2">
        <v>39</v>
      </c>
      <c r="GS126" s="57">
        <f t="shared" si="204"/>
        <v>0</v>
      </c>
      <c r="GT126" s="62">
        <f t="shared" si="356"/>
        <v>0</v>
      </c>
      <c r="GU126" s="2">
        <v>38</v>
      </c>
      <c r="GV126" s="57">
        <f t="shared" si="205"/>
        <v>0</v>
      </c>
      <c r="GW126" s="62">
        <f t="shared" si="359"/>
        <v>0</v>
      </c>
      <c r="GX126" s="2">
        <v>37</v>
      </c>
      <c r="GY126" s="57">
        <f t="shared" si="217"/>
        <v>0</v>
      </c>
      <c r="GZ126" s="62">
        <f t="shared" si="362"/>
        <v>0</v>
      </c>
      <c r="HA126" s="2">
        <v>36</v>
      </c>
      <c r="HB126" s="57">
        <f t="shared" si="218"/>
        <v>0</v>
      </c>
      <c r="HC126" s="62">
        <f t="shared" si="365"/>
        <v>0</v>
      </c>
      <c r="HD126" s="2">
        <v>35</v>
      </c>
      <c r="HE126" s="57">
        <f t="shared" si="229"/>
        <v>0</v>
      </c>
      <c r="HF126" s="62">
        <f t="shared" si="368"/>
        <v>0</v>
      </c>
      <c r="HG126" s="2">
        <v>34</v>
      </c>
      <c r="HH126" s="57">
        <f t="shared" si="230"/>
        <v>0</v>
      </c>
      <c r="HI126" s="62">
        <f t="shared" si="397"/>
        <v>0</v>
      </c>
      <c r="HJ126" s="2">
        <v>33</v>
      </c>
      <c r="HK126" s="57">
        <f t="shared" si="241"/>
        <v>0</v>
      </c>
      <c r="HL126" s="62">
        <f t="shared" si="400"/>
        <v>0</v>
      </c>
      <c r="HM126" s="2">
        <v>32</v>
      </c>
      <c r="HN126" s="57">
        <f t="shared" si="247"/>
        <v>0</v>
      </c>
      <c r="HO126" s="62">
        <f t="shared" ref="HO126:HO157" si="403">SUM($G$10*$G$11*HN126*(EXP(-($G$10*HM126))),$G$10*$G$11*HN126*(EXP(-($G$10*(HM126+0.1)))),$G$10*$G$11*HN126*(EXP(-($G$10*(HM126+0.2)))),$G$10*$G$11*HN126*(EXP(-($G$10*(HM126+0.3)))),$G$10*$G$11*HN126*(EXP(-($G$10*(HM126+0.4)))),$G$10*$G$11*HN126*(EXP(-($G$10*(HM126+0.5)))),$G$10*$G$11*HN126*(EXP(-($G$10*(HM126+0.6)))),$G$10*$G$11*HN126*(EXP(-($G$10*(HM126+0.7)))),$G$10*$G$11*HN126*(EXP(-($G$10*(HM126+0.8)))),$G$10*$G$11*HN126*(EXP(-($G$10*(HM126+0.9)))))/10</f>
        <v>0</v>
      </c>
      <c r="HP126" s="2">
        <v>31</v>
      </c>
      <c r="HQ126" s="57">
        <f t="shared" si="248"/>
        <v>0</v>
      </c>
      <c r="HR126" s="62">
        <f t="shared" si="249"/>
        <v>0</v>
      </c>
      <c r="HS126" s="2">
        <v>30</v>
      </c>
      <c r="HT126" s="57">
        <f t="shared" si="257"/>
        <v>0</v>
      </c>
      <c r="HU126" s="62">
        <f t="shared" si="253"/>
        <v>0</v>
      </c>
      <c r="HV126" s="2">
        <v>29</v>
      </c>
      <c r="HW126" s="57">
        <f t="shared" si="258"/>
        <v>0</v>
      </c>
      <c r="HX126" s="62">
        <f t="shared" si="259"/>
        <v>0</v>
      </c>
      <c r="HY126" s="2">
        <v>28</v>
      </c>
      <c r="HZ126" s="57">
        <f t="shared" si="268"/>
        <v>0</v>
      </c>
      <c r="IA126" s="62">
        <f t="shared" si="263"/>
        <v>0</v>
      </c>
      <c r="IB126" s="2">
        <v>27</v>
      </c>
      <c r="IC126" s="57">
        <f t="shared" si="274"/>
        <v>0</v>
      </c>
      <c r="ID126" s="62">
        <f t="shared" si="269"/>
        <v>0</v>
      </c>
      <c r="IE126" s="2">
        <v>26</v>
      </c>
      <c r="IF126" s="57">
        <f t="shared" si="280"/>
        <v>0</v>
      </c>
      <c r="IG126" s="62">
        <f t="shared" si="275"/>
        <v>0</v>
      </c>
      <c r="IH126" s="2">
        <v>25</v>
      </c>
      <c r="II126" s="57">
        <f t="shared" si="281"/>
        <v>0</v>
      </c>
      <c r="IJ126" s="62">
        <f t="shared" si="282"/>
        <v>0</v>
      </c>
      <c r="IK126" s="2">
        <v>24</v>
      </c>
      <c r="IL126" s="57">
        <f t="shared" si="292"/>
        <v>0</v>
      </c>
      <c r="IM126" s="62">
        <f t="shared" si="287"/>
        <v>0</v>
      </c>
      <c r="IN126" s="2">
        <v>23</v>
      </c>
      <c r="IO126" s="57">
        <f t="shared" si="293"/>
        <v>0</v>
      </c>
      <c r="IP126" s="62">
        <f t="shared" si="294"/>
        <v>0</v>
      </c>
    </row>
    <row r="127" spans="7:250">
      <c r="G127" s="284"/>
      <c r="H127" s="284"/>
      <c r="I127" s="2">
        <f t="shared" si="369"/>
        <v>2122</v>
      </c>
      <c r="J127" s="379">
        <f t="shared" si="264"/>
        <v>1828605.6485956502</v>
      </c>
      <c r="K127" s="2">
        <f t="shared" si="370"/>
        <v>103</v>
      </c>
      <c r="L127" s="57">
        <f t="shared" si="200"/>
        <v>189082</v>
      </c>
      <c r="M127" s="62">
        <f t="shared" si="357"/>
        <v>12067.804769538629</v>
      </c>
      <c r="N127" s="2">
        <f t="shared" si="371"/>
        <v>102</v>
      </c>
      <c r="O127" s="57">
        <f t="shared" si="207"/>
        <v>293489</v>
      </c>
      <c r="P127" s="62">
        <f t="shared" si="360"/>
        <v>19495.82850942947</v>
      </c>
      <c r="Q127" s="2">
        <f t="shared" si="372"/>
        <v>101</v>
      </c>
      <c r="R127" s="57">
        <f t="shared" si="213"/>
        <v>283523</v>
      </c>
      <c r="S127" s="62">
        <f t="shared" si="363"/>
        <v>19602.431386136541</v>
      </c>
      <c r="T127" s="2">
        <f t="shared" si="373"/>
        <v>100</v>
      </c>
      <c r="U127" s="57">
        <f t="shared" si="220"/>
        <v>143321</v>
      </c>
      <c r="V127" s="62">
        <f t="shared" si="366"/>
        <v>10313.433100464268</v>
      </c>
      <c r="W127" s="2">
        <f t="shared" si="374"/>
        <v>99</v>
      </c>
      <c r="X127" s="57">
        <f t="shared" si="225"/>
        <v>227851</v>
      </c>
      <c r="Y127" s="62">
        <f t="shared" si="375"/>
        <v>17065.387114103651</v>
      </c>
      <c r="Z127" s="2">
        <f t="shared" si="376"/>
        <v>98</v>
      </c>
      <c r="AA127" s="57">
        <f t="shared" si="232"/>
        <v>238727</v>
      </c>
      <c r="AB127" s="62">
        <f t="shared" si="398"/>
        <v>18609.663705799267</v>
      </c>
      <c r="AC127" s="2">
        <f t="shared" si="377"/>
        <v>97</v>
      </c>
      <c r="AD127" s="57">
        <f t="shared" si="237"/>
        <v>250122</v>
      </c>
      <c r="AE127" s="62">
        <f t="shared" si="401"/>
        <v>20293.672928361266</v>
      </c>
      <c r="AF127" s="2">
        <f t="shared" si="378"/>
        <v>96</v>
      </c>
      <c r="AG127" s="57">
        <f t="shared" si="243"/>
        <v>262060</v>
      </c>
      <c r="AH127" s="62">
        <f t="shared" ref="AH127:AH158" si="404">SUM($G$10*$G$11*AG127*(EXP(-($G$10*AF127))),$G$10*$G$11*AG127*(EXP(-($G$10*(AF127+0.1)))),$G$10*$G$11*AG127*(EXP(-($G$10*(AF127+0.2)))),$G$10*$G$11*AG127*(EXP(-($G$10*(AF127+0.3)))),$G$10*$G$11*AG127*(EXP(-($G$10*(AF127+0.4)))),$G$10*$G$11*AG127*(EXP(-($G$10*(AF127+0.5)))),$G$10*$G$11*AG127*(EXP(-($G$10*(AF127+0.6)))),$G$10*$G$11*AG127*(EXP(-($G$10*(AF127+0.7)))),$G$10*$G$11*AG127*(EXP(-($G$10*(AF127+0.8)))),$G$10*$G$11*AG127*(EXP(-($G$10*(AF127+0.9)))))/10</f>
        <v>22129.993169456924</v>
      </c>
      <c r="AI127" s="2">
        <f t="shared" si="379"/>
        <v>95</v>
      </c>
      <c r="AJ127" s="57">
        <f t="shared" si="250"/>
        <v>274569</v>
      </c>
      <c r="AK127" s="62">
        <f t="shared" si="251"/>
        <v>24132.58388406696</v>
      </c>
      <c r="AL127" s="2">
        <f t="shared" si="380"/>
        <v>94</v>
      </c>
      <c r="AM127" s="57">
        <f t="shared" si="254"/>
        <v>287675</v>
      </c>
      <c r="AN127" s="62">
        <f t="shared" si="255"/>
        <v>26316.384524750792</v>
      </c>
      <c r="AO127" s="2">
        <f t="shared" si="381"/>
        <v>93</v>
      </c>
      <c r="AP127" s="57">
        <f t="shared" si="260"/>
        <v>301406</v>
      </c>
      <c r="AQ127" s="62">
        <f t="shared" si="261"/>
        <v>28697.745145654142</v>
      </c>
      <c r="AR127" s="2">
        <f t="shared" si="382"/>
        <v>92</v>
      </c>
      <c r="AS127" s="57">
        <f t="shared" si="265"/>
        <v>315793</v>
      </c>
      <c r="AT127" s="62">
        <f t="shared" si="266"/>
        <v>31294.654364360053</v>
      </c>
      <c r="AU127" s="2">
        <f t="shared" si="383"/>
        <v>91</v>
      </c>
      <c r="AV127" s="57">
        <f t="shared" si="271"/>
        <v>330866</v>
      </c>
      <c r="AW127" s="62">
        <f t="shared" si="272"/>
        <v>34126.486732333862</v>
      </c>
      <c r="AX127" s="2">
        <f t="shared" si="384"/>
        <v>90</v>
      </c>
      <c r="AY127" s="57">
        <f t="shared" si="277"/>
        <v>346659</v>
      </c>
      <c r="AZ127" s="62">
        <f t="shared" si="278"/>
        <v>37214.629424453582</v>
      </c>
      <c r="BA127" s="2">
        <f t="shared" si="385"/>
        <v>89</v>
      </c>
      <c r="BB127" s="57">
        <f t="shared" si="284"/>
        <v>363206</v>
      </c>
      <c r="BC127" s="62">
        <f t="shared" si="285"/>
        <v>40582.239763228827</v>
      </c>
      <c r="BD127" s="2">
        <f t="shared" si="386"/>
        <v>88</v>
      </c>
      <c r="BE127" s="57">
        <f t="shared" si="289"/>
        <v>380542</v>
      </c>
      <c r="BF127" s="62">
        <f t="shared" si="290"/>
        <v>44254.49342025139</v>
      </c>
      <c r="BG127" s="2">
        <f t="shared" si="387"/>
        <v>87</v>
      </c>
      <c r="BH127" s="57">
        <f t="shared" si="296"/>
        <v>398706</v>
      </c>
      <c r="BI127" s="62">
        <f t="shared" si="297"/>
        <v>48259.11217943138</v>
      </c>
      <c r="BJ127" s="2">
        <f t="shared" si="388"/>
        <v>86</v>
      </c>
      <c r="BK127" s="57">
        <f t="shared" si="300"/>
        <v>417737</v>
      </c>
      <c r="BL127" s="62">
        <f t="shared" si="301"/>
        <v>52626.111248047346</v>
      </c>
      <c r="BM127" s="2">
        <f t="shared" si="389"/>
        <v>85</v>
      </c>
      <c r="BN127" s="57">
        <f t="shared" si="304"/>
        <v>437677</v>
      </c>
      <c r="BO127" s="62">
        <f t="shared" si="305"/>
        <v>57388.363462554429</v>
      </c>
      <c r="BP127" s="2">
        <f t="shared" si="390"/>
        <v>84</v>
      </c>
      <c r="BQ127" s="57">
        <f t="shared" si="308"/>
        <v>458568</v>
      </c>
      <c r="BR127" s="62">
        <f t="shared" si="309"/>
        <v>62581.452648580133</v>
      </c>
      <c r="BS127" s="2">
        <f t="shared" si="391"/>
        <v>83</v>
      </c>
      <c r="BT127" s="57">
        <f t="shared" si="312"/>
        <v>480456</v>
      </c>
      <c r="BU127" s="62">
        <f t="shared" si="313"/>
        <v>68244.443250039432</v>
      </c>
      <c r="BV127" s="2">
        <f t="shared" si="392"/>
        <v>82</v>
      </c>
      <c r="BW127" s="57">
        <f t="shared" si="316"/>
        <v>503389</v>
      </c>
      <c r="BX127" s="62">
        <f t="shared" si="317"/>
        <v>74419.915783748424</v>
      </c>
      <c r="BY127" s="2">
        <f t="shared" si="393"/>
        <v>81</v>
      </c>
      <c r="BZ127" s="57">
        <f t="shared" si="320"/>
        <v>527417</v>
      </c>
      <c r="CA127" s="62">
        <f t="shared" si="321"/>
        <v>81154.266432928081</v>
      </c>
      <c r="CB127" s="2">
        <f t="shared" si="394"/>
        <v>80</v>
      </c>
      <c r="CC127" s="57">
        <f t="shared" si="324"/>
        <v>552592</v>
      </c>
      <c r="CD127" s="62">
        <f t="shared" si="325"/>
        <v>88498.0303291046</v>
      </c>
      <c r="CE127" s="2">
        <f t="shared" si="395"/>
        <v>79</v>
      </c>
      <c r="CF127" s="57">
        <f t="shared" si="328"/>
        <v>578968</v>
      </c>
      <c r="CG127" s="62">
        <f t="shared" si="329"/>
        <v>96506.230263201855</v>
      </c>
      <c r="CH127" s="2">
        <v>78</v>
      </c>
      <c r="CI127" s="57">
        <f t="shared" si="332"/>
        <v>606603</v>
      </c>
      <c r="CJ127" s="62">
        <f t="shared" si="333"/>
        <v>105239.0996650946</v>
      </c>
      <c r="CK127" s="2">
        <v>77</v>
      </c>
      <c r="CL127" s="57">
        <f t="shared" si="336"/>
        <v>635558</v>
      </c>
      <c r="CM127" s="62">
        <f t="shared" si="337"/>
        <v>114762.37811602009</v>
      </c>
      <c r="CN127" s="2">
        <v>76</v>
      </c>
      <c r="CO127" s="57">
        <f t="shared" si="340"/>
        <v>665894</v>
      </c>
      <c r="CP127" s="62">
        <f t="shared" si="341"/>
        <v>125147.22684030994</v>
      </c>
      <c r="CQ127" s="2">
        <v>75</v>
      </c>
      <c r="CR127" s="57">
        <f t="shared" si="344"/>
        <v>697679</v>
      </c>
      <c r="CS127" s="62">
        <f t="shared" si="345"/>
        <v>136472.00088007122</v>
      </c>
      <c r="CT127" s="2">
        <v>74</v>
      </c>
      <c r="CU127" s="57">
        <f t="shared" si="348"/>
        <v>730980</v>
      </c>
      <c r="CV127" s="62">
        <f t="shared" si="349"/>
        <v>148821.33013772912</v>
      </c>
      <c r="CW127" s="2">
        <v>73</v>
      </c>
      <c r="CX127" s="57">
        <f t="shared" si="352"/>
        <v>765871</v>
      </c>
      <c r="CY127" s="62">
        <f t="shared" si="353"/>
        <v>162288.25541639992</v>
      </c>
      <c r="CZ127" s="2">
        <v>72</v>
      </c>
      <c r="DA127" s="57">
        <f t="shared" si="196"/>
        <v>0</v>
      </c>
      <c r="DB127" s="62">
        <f t="shared" si="355"/>
        <v>0</v>
      </c>
      <c r="DC127" s="2">
        <v>71</v>
      </c>
      <c r="DD127" s="57">
        <f t="shared" si="202"/>
        <v>0</v>
      </c>
      <c r="DE127" s="62">
        <f t="shared" si="358"/>
        <v>0</v>
      </c>
      <c r="DF127" s="2">
        <v>70</v>
      </c>
      <c r="DG127" s="57">
        <f t="shared" si="209"/>
        <v>0</v>
      </c>
      <c r="DH127" s="62">
        <f t="shared" si="361"/>
        <v>0</v>
      </c>
      <c r="DI127" s="2">
        <v>69</v>
      </c>
      <c r="DJ127" s="57">
        <f t="shared" si="215"/>
        <v>0</v>
      </c>
      <c r="DK127" s="62">
        <f t="shared" si="364"/>
        <v>0</v>
      </c>
      <c r="DL127" s="2">
        <v>68</v>
      </c>
      <c r="DM127" s="57">
        <f t="shared" si="222"/>
        <v>0</v>
      </c>
      <c r="DN127" s="62">
        <f t="shared" si="367"/>
        <v>0</v>
      </c>
      <c r="DO127" s="2">
        <v>67</v>
      </c>
      <c r="DP127" s="57">
        <f t="shared" si="227"/>
        <v>0</v>
      </c>
      <c r="DQ127" s="62">
        <f t="shared" si="396"/>
        <v>0</v>
      </c>
      <c r="DR127" s="2">
        <v>66</v>
      </c>
      <c r="DS127" s="57">
        <f t="shared" si="234"/>
        <v>0</v>
      </c>
      <c r="DT127" s="62">
        <f t="shared" si="399"/>
        <v>0</v>
      </c>
      <c r="DU127" s="2">
        <v>65</v>
      </c>
      <c r="DV127" s="57">
        <f t="shared" si="239"/>
        <v>0</v>
      </c>
      <c r="DW127" s="62">
        <f t="shared" si="402"/>
        <v>0</v>
      </c>
      <c r="DX127" s="2">
        <v>64</v>
      </c>
      <c r="DY127" s="57">
        <f t="shared" si="245"/>
        <v>0</v>
      </c>
      <c r="DZ127" s="62">
        <f t="shared" ref="DZ127:DZ158" si="405">SUM($G$10*$G$11*DY127*(EXP(-($G$10*DX127))),$G$10*$G$11*DY127*(EXP(-($G$10*(DX127+0.1)))),$G$10*$G$11*DY127*(EXP(-($G$10*(DX127+0.2)))),$G$10*$G$11*DY127*(EXP(-($G$10*(DX127+0.3)))),$G$10*$G$11*DY127*(EXP(-($G$10*(DX127+0.4)))),$G$10*$G$11*DY127*(EXP(-($G$10*(DX127+0.5)))),$G$10*$G$11*DY127*(EXP(-($G$10*(DX127+0.6)))),$G$10*$G$11*DY127*(EXP(-($G$10*(DX127+0.7)))),$G$10*$G$11*DY127*(EXP(-($G$10*(DX127+0.8)))),$G$10*$G$11*DY127*(EXP(-($G$10*(DX127+0.9)))))/10</f>
        <v>0</v>
      </c>
      <c r="EA127" s="2">
        <v>63</v>
      </c>
      <c r="EB127" s="57">
        <f t="shared" si="109"/>
        <v>0</v>
      </c>
      <c r="EC127" s="62">
        <f t="shared" si="252"/>
        <v>0</v>
      </c>
      <c r="ED127" s="2">
        <v>62</v>
      </c>
      <c r="EE127" s="57">
        <f t="shared" si="113"/>
        <v>0</v>
      </c>
      <c r="EF127" s="62">
        <f t="shared" si="256"/>
        <v>0</v>
      </c>
      <c r="EG127" s="2">
        <v>61</v>
      </c>
      <c r="EH127" s="57">
        <f t="shared" si="117"/>
        <v>0</v>
      </c>
      <c r="EI127" s="62">
        <f t="shared" si="262"/>
        <v>0</v>
      </c>
      <c r="EJ127" s="2">
        <v>60</v>
      </c>
      <c r="EK127" s="57">
        <f t="shared" si="121"/>
        <v>0</v>
      </c>
      <c r="EL127" s="62">
        <f t="shared" si="267"/>
        <v>0</v>
      </c>
      <c r="EM127" s="2">
        <v>59</v>
      </c>
      <c r="EN127" s="57">
        <f t="shared" si="125"/>
        <v>0</v>
      </c>
      <c r="EO127" s="62">
        <f t="shared" si="273"/>
        <v>0</v>
      </c>
      <c r="EP127" s="2">
        <v>58</v>
      </c>
      <c r="EQ127" s="57">
        <f t="shared" si="129"/>
        <v>0</v>
      </c>
      <c r="ER127" s="62">
        <f t="shared" si="279"/>
        <v>0</v>
      </c>
      <c r="ES127" s="2">
        <v>57</v>
      </c>
      <c r="ET127" s="57">
        <f t="shared" si="130"/>
        <v>0</v>
      </c>
      <c r="EU127" s="62">
        <f t="shared" si="286"/>
        <v>0</v>
      </c>
      <c r="EV127" s="2">
        <v>56</v>
      </c>
      <c r="EW127" s="57">
        <f t="shared" si="134"/>
        <v>0</v>
      </c>
      <c r="EX127" s="62">
        <f t="shared" si="291"/>
        <v>0</v>
      </c>
      <c r="EY127" s="2">
        <v>55</v>
      </c>
      <c r="EZ127" s="57">
        <f t="shared" si="141"/>
        <v>0</v>
      </c>
      <c r="FA127" s="62">
        <f t="shared" si="298"/>
        <v>0</v>
      </c>
      <c r="FB127" s="2">
        <v>54</v>
      </c>
      <c r="FC127" s="57">
        <f t="shared" si="142"/>
        <v>0</v>
      </c>
      <c r="FD127" s="62">
        <f t="shared" si="302"/>
        <v>0</v>
      </c>
      <c r="FE127" s="2">
        <v>53</v>
      </c>
      <c r="FF127" s="57">
        <f t="shared" si="149"/>
        <v>0</v>
      </c>
      <c r="FG127" s="62">
        <f t="shared" si="306"/>
        <v>0</v>
      </c>
      <c r="FH127" s="2">
        <v>52</v>
      </c>
      <c r="FI127" s="57">
        <f t="shared" si="150"/>
        <v>0</v>
      </c>
      <c r="FJ127" s="62">
        <f t="shared" si="310"/>
        <v>0</v>
      </c>
      <c r="FK127" s="2">
        <v>51</v>
      </c>
      <c r="FL127" s="57">
        <f t="shared" si="157"/>
        <v>0</v>
      </c>
      <c r="FM127" s="62">
        <f t="shared" si="314"/>
        <v>0</v>
      </c>
      <c r="FN127" s="2">
        <v>50</v>
      </c>
      <c r="FO127" s="57">
        <f t="shared" si="158"/>
        <v>0</v>
      </c>
      <c r="FP127" s="62">
        <f t="shared" si="318"/>
        <v>0</v>
      </c>
      <c r="FQ127" s="2">
        <v>49</v>
      </c>
      <c r="FR127" s="57">
        <f t="shared" si="165"/>
        <v>0</v>
      </c>
      <c r="FS127" s="62">
        <f t="shared" si="322"/>
        <v>0</v>
      </c>
      <c r="FT127" s="2">
        <v>48</v>
      </c>
      <c r="FU127" s="57">
        <f t="shared" si="166"/>
        <v>0</v>
      </c>
      <c r="FV127" s="62">
        <f t="shared" si="326"/>
        <v>0</v>
      </c>
      <c r="FW127" s="2">
        <v>47</v>
      </c>
      <c r="FX127" s="57">
        <f t="shared" si="170"/>
        <v>0</v>
      </c>
      <c r="FY127" s="62">
        <f t="shared" si="330"/>
        <v>0</v>
      </c>
      <c r="FZ127" s="2">
        <v>46</v>
      </c>
      <c r="GA127" s="57">
        <f t="shared" si="177"/>
        <v>0</v>
      </c>
      <c r="GB127" s="62">
        <f t="shared" si="334"/>
        <v>0</v>
      </c>
      <c r="GC127" s="2">
        <v>45</v>
      </c>
      <c r="GD127" s="57">
        <f t="shared" si="178"/>
        <v>0</v>
      </c>
      <c r="GE127" s="62">
        <f t="shared" si="338"/>
        <v>0</v>
      </c>
      <c r="GF127" s="2">
        <v>44</v>
      </c>
      <c r="GG127" s="57">
        <f t="shared" si="185"/>
        <v>0</v>
      </c>
      <c r="GH127" s="62">
        <f t="shared" si="342"/>
        <v>0</v>
      </c>
      <c r="GI127" s="2">
        <v>43</v>
      </c>
      <c r="GJ127" s="57">
        <f t="shared" si="186"/>
        <v>0</v>
      </c>
      <c r="GK127" s="62">
        <f t="shared" si="346"/>
        <v>0</v>
      </c>
      <c r="GL127" s="2">
        <v>42</v>
      </c>
      <c r="GM127" s="57">
        <f t="shared" si="193"/>
        <v>0</v>
      </c>
      <c r="GN127" s="62">
        <f t="shared" si="350"/>
        <v>0</v>
      </c>
      <c r="GO127" s="2">
        <v>41</v>
      </c>
      <c r="GP127" s="57">
        <f t="shared" si="194"/>
        <v>0</v>
      </c>
      <c r="GQ127" s="62">
        <f t="shared" si="354"/>
        <v>0</v>
      </c>
      <c r="GR127" s="2">
        <v>40</v>
      </c>
      <c r="GS127" s="57">
        <f t="shared" si="204"/>
        <v>0</v>
      </c>
      <c r="GT127" s="62">
        <f t="shared" si="356"/>
        <v>0</v>
      </c>
      <c r="GU127" s="2">
        <v>39</v>
      </c>
      <c r="GV127" s="57">
        <f t="shared" si="205"/>
        <v>0</v>
      </c>
      <c r="GW127" s="62">
        <f t="shared" si="359"/>
        <v>0</v>
      </c>
      <c r="GX127" s="2">
        <v>38</v>
      </c>
      <c r="GY127" s="57">
        <f t="shared" si="217"/>
        <v>0</v>
      </c>
      <c r="GZ127" s="62">
        <f t="shared" si="362"/>
        <v>0</v>
      </c>
      <c r="HA127" s="2">
        <v>37</v>
      </c>
      <c r="HB127" s="57">
        <f t="shared" si="218"/>
        <v>0</v>
      </c>
      <c r="HC127" s="62">
        <f t="shared" si="365"/>
        <v>0</v>
      </c>
      <c r="HD127" s="2">
        <v>36</v>
      </c>
      <c r="HE127" s="57">
        <f t="shared" si="229"/>
        <v>0</v>
      </c>
      <c r="HF127" s="62">
        <f t="shared" si="368"/>
        <v>0</v>
      </c>
      <c r="HG127" s="2">
        <v>35</v>
      </c>
      <c r="HH127" s="57">
        <f t="shared" si="230"/>
        <v>0</v>
      </c>
      <c r="HI127" s="62">
        <f t="shared" si="397"/>
        <v>0</v>
      </c>
      <c r="HJ127" s="2">
        <v>34</v>
      </c>
      <c r="HK127" s="57">
        <f t="shared" si="241"/>
        <v>0</v>
      </c>
      <c r="HL127" s="62">
        <f t="shared" si="400"/>
        <v>0</v>
      </c>
      <c r="HM127" s="2">
        <v>33</v>
      </c>
      <c r="HN127" s="57">
        <f t="shared" si="247"/>
        <v>0</v>
      </c>
      <c r="HO127" s="62">
        <f t="shared" si="403"/>
        <v>0</v>
      </c>
      <c r="HP127" s="2">
        <v>32</v>
      </c>
      <c r="HQ127" s="57">
        <f t="shared" si="248"/>
        <v>0</v>
      </c>
      <c r="HR127" s="62">
        <f t="shared" ref="HR127:HR158" si="406">SUM($G$10*$G$11*HQ127*(EXP(-($G$10*HP127))),$G$10*$G$11*HQ127*(EXP(-($G$10*(HP127+0.1)))),$G$10*$G$11*HQ127*(EXP(-($G$10*(HP127+0.2)))),$G$10*$G$11*HQ127*(EXP(-($G$10*(HP127+0.3)))),$G$10*$G$11*HQ127*(EXP(-($G$10*(HP127+0.4)))),$G$10*$G$11*HQ127*(EXP(-($G$10*(HP127+0.5)))),$G$10*$G$11*HQ127*(EXP(-($G$10*(HP127+0.6)))),$G$10*$G$11*HQ127*(EXP(-($G$10*(HP127+0.7)))),$G$10*$G$11*HQ127*(EXP(-($G$10*(HP127+0.8)))),$G$10*$G$11*HQ127*(EXP(-($G$10*(HP127+0.9)))))/10</f>
        <v>0</v>
      </c>
      <c r="HS127" s="2">
        <v>31</v>
      </c>
      <c r="HT127" s="57">
        <f t="shared" si="257"/>
        <v>0</v>
      </c>
      <c r="HU127" s="62">
        <f t="shared" si="253"/>
        <v>0</v>
      </c>
      <c r="HV127" s="2">
        <v>30</v>
      </c>
      <c r="HW127" s="57">
        <f t="shared" si="258"/>
        <v>0</v>
      </c>
      <c r="HX127" s="62">
        <f t="shared" si="259"/>
        <v>0</v>
      </c>
      <c r="HY127" s="2">
        <v>29</v>
      </c>
      <c r="HZ127" s="57">
        <f t="shared" si="268"/>
        <v>0</v>
      </c>
      <c r="IA127" s="62">
        <f t="shared" si="263"/>
        <v>0</v>
      </c>
      <c r="IB127" s="2">
        <v>28</v>
      </c>
      <c r="IC127" s="57">
        <f t="shared" si="274"/>
        <v>0</v>
      </c>
      <c r="ID127" s="62">
        <f t="shared" si="269"/>
        <v>0</v>
      </c>
      <c r="IE127" s="2">
        <v>27</v>
      </c>
      <c r="IF127" s="57">
        <f t="shared" si="280"/>
        <v>0</v>
      </c>
      <c r="IG127" s="62">
        <f t="shared" si="275"/>
        <v>0</v>
      </c>
      <c r="IH127" s="2">
        <v>26</v>
      </c>
      <c r="II127" s="57">
        <f t="shared" si="281"/>
        <v>0</v>
      </c>
      <c r="IJ127" s="62">
        <f t="shared" si="282"/>
        <v>0</v>
      </c>
      <c r="IK127" s="2">
        <v>25</v>
      </c>
      <c r="IL127" s="57">
        <f t="shared" si="292"/>
        <v>0</v>
      </c>
      <c r="IM127" s="62">
        <f t="shared" si="287"/>
        <v>0</v>
      </c>
      <c r="IN127" s="2">
        <v>24</v>
      </c>
      <c r="IO127" s="57">
        <f t="shared" si="293"/>
        <v>0</v>
      </c>
      <c r="IP127" s="62">
        <f t="shared" si="294"/>
        <v>0</v>
      </c>
    </row>
    <row r="128" spans="7:250">
      <c r="G128" s="284"/>
      <c r="H128" s="284"/>
      <c r="I128" s="2">
        <f t="shared" si="369"/>
        <v>2123</v>
      </c>
      <c r="J128" s="379">
        <f t="shared" si="264"/>
        <v>1756904.9955449849</v>
      </c>
      <c r="K128" s="2">
        <f t="shared" si="370"/>
        <v>104</v>
      </c>
      <c r="L128" s="57">
        <f t="shared" si="200"/>
        <v>189082</v>
      </c>
      <c r="M128" s="62">
        <f t="shared" si="357"/>
        <v>11594.619376324747</v>
      </c>
      <c r="N128" s="2">
        <f t="shared" si="371"/>
        <v>103</v>
      </c>
      <c r="O128" s="57">
        <f t="shared" si="207"/>
        <v>293489</v>
      </c>
      <c r="P128" s="62">
        <f t="shared" si="360"/>
        <v>18731.386139384616</v>
      </c>
      <c r="Q128" s="2">
        <f t="shared" si="372"/>
        <v>102</v>
      </c>
      <c r="R128" s="57">
        <f t="shared" si="213"/>
        <v>283523</v>
      </c>
      <c r="S128" s="62">
        <f t="shared" si="363"/>
        <v>18833.809057508028</v>
      </c>
      <c r="T128" s="2">
        <f t="shared" si="373"/>
        <v>101</v>
      </c>
      <c r="U128" s="57">
        <f t="shared" si="220"/>
        <v>143321</v>
      </c>
      <c r="V128" s="62">
        <f t="shared" si="366"/>
        <v>9909.0376043300712</v>
      </c>
      <c r="W128" s="2">
        <f t="shared" si="374"/>
        <v>100</v>
      </c>
      <c r="X128" s="57">
        <f t="shared" si="225"/>
        <v>227851</v>
      </c>
      <c r="Y128" s="62">
        <f t="shared" si="375"/>
        <v>16396.24371427693</v>
      </c>
      <c r="Z128" s="2">
        <f t="shared" si="376"/>
        <v>99</v>
      </c>
      <c r="AA128" s="57">
        <f t="shared" si="232"/>
        <v>238727</v>
      </c>
      <c r="AB128" s="62">
        <f t="shared" si="398"/>
        <v>17879.968354708217</v>
      </c>
      <c r="AC128" s="2">
        <f t="shared" si="377"/>
        <v>98</v>
      </c>
      <c r="AD128" s="57">
        <f t="shared" si="237"/>
        <v>250122</v>
      </c>
      <c r="AE128" s="62">
        <f t="shared" si="401"/>
        <v>19497.946631180905</v>
      </c>
      <c r="AF128" s="2">
        <f t="shared" si="378"/>
        <v>97</v>
      </c>
      <c r="AG128" s="57">
        <f t="shared" si="243"/>
        <v>262060</v>
      </c>
      <c r="AH128" s="62">
        <f t="shared" si="404"/>
        <v>21262.263725727258</v>
      </c>
      <c r="AI128" s="2">
        <f t="shared" si="379"/>
        <v>96</v>
      </c>
      <c r="AJ128" s="57">
        <f t="shared" si="250"/>
        <v>274569</v>
      </c>
      <c r="AK128" s="62">
        <f t="shared" ref="AK128:AK159" si="407">SUM($G$10*$G$11*AJ128*(EXP(-($G$10*AI128))),$G$10*$G$11*AJ128*(EXP(-($G$10*(AI128+0.1)))),$G$10*$G$11*AJ128*(EXP(-($G$10*(AI128+0.2)))),$G$10*$G$11*AJ128*(EXP(-($G$10*(AI128+0.3)))),$G$10*$G$11*AJ128*(EXP(-($G$10*(AI128+0.4)))),$G$10*$G$11*AJ128*(EXP(-($G$10*(AI128+0.5)))),$G$10*$G$11*AJ128*(EXP(-($G$10*(AI128+0.6)))),$G$10*$G$11*AJ128*(EXP(-($G$10*(AI128+0.7)))),$G$10*$G$11*AJ128*(EXP(-($G$10*(AI128+0.8)))),$G$10*$G$11*AJ128*(EXP(-($G$10*(AI128+0.9)))))/10</f>
        <v>23186.331735269086</v>
      </c>
      <c r="AL128" s="2">
        <f t="shared" si="380"/>
        <v>95</v>
      </c>
      <c r="AM128" s="57">
        <f t="shared" si="254"/>
        <v>287675</v>
      </c>
      <c r="AN128" s="62">
        <f t="shared" si="255"/>
        <v>25284.504328052193</v>
      </c>
      <c r="AO128" s="2">
        <f t="shared" si="381"/>
        <v>94</v>
      </c>
      <c r="AP128" s="57">
        <f t="shared" si="260"/>
        <v>301406</v>
      </c>
      <c r="AQ128" s="62">
        <f t="shared" si="261"/>
        <v>27572.490463429353</v>
      </c>
      <c r="AR128" s="2">
        <f t="shared" si="382"/>
        <v>93</v>
      </c>
      <c r="AS128" s="57">
        <f t="shared" si="265"/>
        <v>315793</v>
      </c>
      <c r="AT128" s="62">
        <f t="shared" si="266"/>
        <v>30067.573415199302</v>
      </c>
      <c r="AU128" s="2">
        <f t="shared" si="383"/>
        <v>92</v>
      </c>
      <c r="AV128" s="57">
        <f t="shared" si="271"/>
        <v>330866</v>
      </c>
      <c r="AW128" s="62">
        <f t="shared" si="272"/>
        <v>32788.368047798242</v>
      </c>
      <c r="AX128" s="2">
        <f t="shared" si="384"/>
        <v>91</v>
      </c>
      <c r="AY128" s="57">
        <f t="shared" si="277"/>
        <v>346659</v>
      </c>
      <c r="AZ128" s="62">
        <f t="shared" si="278"/>
        <v>35755.422932982314</v>
      </c>
      <c r="BA128" s="2">
        <f t="shared" si="385"/>
        <v>90</v>
      </c>
      <c r="BB128" s="57">
        <f t="shared" si="284"/>
        <v>363206</v>
      </c>
      <c r="BC128" s="62">
        <f t="shared" si="285"/>
        <v>38990.987381657738</v>
      </c>
      <c r="BD128" s="2">
        <f t="shared" si="386"/>
        <v>89</v>
      </c>
      <c r="BE128" s="57">
        <f t="shared" si="289"/>
        <v>380542</v>
      </c>
      <c r="BF128" s="62">
        <f t="shared" si="290"/>
        <v>42519.249913213505</v>
      </c>
      <c r="BG128" s="2">
        <f t="shared" si="387"/>
        <v>88</v>
      </c>
      <c r="BH128" s="57">
        <f t="shared" si="296"/>
        <v>398706</v>
      </c>
      <c r="BI128" s="62">
        <f t="shared" si="297"/>
        <v>46366.845324864924</v>
      </c>
      <c r="BJ128" s="2">
        <f t="shared" si="388"/>
        <v>87</v>
      </c>
      <c r="BK128" s="57">
        <f t="shared" si="300"/>
        <v>417737</v>
      </c>
      <c r="BL128" s="62">
        <f t="shared" si="301"/>
        <v>50562.611910779182</v>
      </c>
      <c r="BM128" s="2">
        <f t="shared" si="389"/>
        <v>86</v>
      </c>
      <c r="BN128" s="57">
        <f t="shared" si="304"/>
        <v>437677</v>
      </c>
      <c r="BO128" s="62">
        <f t="shared" si="305"/>
        <v>55138.133545057346</v>
      </c>
      <c r="BP128" s="2">
        <f t="shared" si="390"/>
        <v>85</v>
      </c>
      <c r="BQ128" s="57">
        <f t="shared" si="308"/>
        <v>458568</v>
      </c>
      <c r="BR128" s="62">
        <f t="shared" si="309"/>
        <v>60127.598791566968</v>
      </c>
      <c r="BS128" s="2">
        <f t="shared" si="391"/>
        <v>84</v>
      </c>
      <c r="BT128" s="57">
        <f t="shared" si="312"/>
        <v>480456</v>
      </c>
      <c r="BU128" s="62">
        <f t="shared" si="313"/>
        <v>65568.540355467907</v>
      </c>
      <c r="BV128" s="2">
        <f t="shared" si="392"/>
        <v>83</v>
      </c>
      <c r="BW128" s="57">
        <f t="shared" si="316"/>
        <v>503389</v>
      </c>
      <c r="BX128" s="62">
        <f t="shared" si="317"/>
        <v>71501.869147630772</v>
      </c>
      <c r="BY128" s="2">
        <f t="shared" si="393"/>
        <v>82</v>
      </c>
      <c r="BZ128" s="57">
        <f t="shared" si="320"/>
        <v>527417</v>
      </c>
      <c r="CA128" s="62">
        <f t="shared" si="321"/>
        <v>77972.162130911165</v>
      </c>
      <c r="CB128" s="2">
        <f t="shared" si="394"/>
        <v>81</v>
      </c>
      <c r="CC128" s="57">
        <f t="shared" si="324"/>
        <v>552592</v>
      </c>
      <c r="CD128" s="62">
        <f t="shared" si="325"/>
        <v>85027.972925985669</v>
      </c>
      <c r="CE128" s="2">
        <f t="shared" si="395"/>
        <v>80</v>
      </c>
      <c r="CF128" s="57">
        <f t="shared" si="328"/>
        <v>578968</v>
      </c>
      <c r="CG128" s="62">
        <f t="shared" si="329"/>
        <v>92722.166849286688</v>
      </c>
      <c r="CH128" s="2">
        <v>79</v>
      </c>
      <c r="CI128" s="57">
        <f t="shared" si="332"/>
        <v>606603</v>
      </c>
      <c r="CJ128" s="62">
        <f t="shared" si="333"/>
        <v>101112.61554412168</v>
      </c>
      <c r="CK128" s="2">
        <v>78</v>
      </c>
      <c r="CL128" s="57">
        <f t="shared" si="336"/>
        <v>635558</v>
      </c>
      <c r="CM128" s="62">
        <f t="shared" si="337"/>
        <v>110262.4809058778</v>
      </c>
      <c r="CN128" s="2">
        <v>77</v>
      </c>
      <c r="CO128" s="57">
        <f t="shared" si="340"/>
        <v>665894</v>
      </c>
      <c r="CP128" s="62">
        <f t="shared" si="341"/>
        <v>120240.13388736997</v>
      </c>
      <c r="CQ128" s="2">
        <v>76</v>
      </c>
      <c r="CR128" s="57">
        <f t="shared" si="344"/>
        <v>697679</v>
      </c>
      <c r="CS128" s="62">
        <f t="shared" si="345"/>
        <v>131120.85718555897</v>
      </c>
      <c r="CT128" s="2">
        <v>75</v>
      </c>
      <c r="CU128" s="57">
        <f t="shared" si="348"/>
        <v>730980</v>
      </c>
      <c r="CV128" s="62">
        <f t="shared" si="349"/>
        <v>142985.96231693152</v>
      </c>
      <c r="CW128" s="2">
        <v>74</v>
      </c>
      <c r="CX128" s="57">
        <f t="shared" si="352"/>
        <v>765871</v>
      </c>
      <c r="CY128" s="62">
        <f t="shared" si="353"/>
        <v>155924.84190253186</v>
      </c>
      <c r="CZ128" s="2">
        <v>73</v>
      </c>
      <c r="DA128" s="57">
        <f t="shared" si="196"/>
        <v>0</v>
      </c>
      <c r="DB128" s="62">
        <f t="shared" si="355"/>
        <v>0</v>
      </c>
      <c r="DC128" s="2">
        <v>72</v>
      </c>
      <c r="DD128" s="57">
        <f t="shared" si="202"/>
        <v>0</v>
      </c>
      <c r="DE128" s="62">
        <f t="shared" si="358"/>
        <v>0</v>
      </c>
      <c r="DF128" s="2">
        <v>71</v>
      </c>
      <c r="DG128" s="57">
        <f t="shared" si="209"/>
        <v>0</v>
      </c>
      <c r="DH128" s="62">
        <f t="shared" si="361"/>
        <v>0</v>
      </c>
      <c r="DI128" s="2">
        <v>70</v>
      </c>
      <c r="DJ128" s="57">
        <f t="shared" si="215"/>
        <v>0</v>
      </c>
      <c r="DK128" s="62">
        <f t="shared" si="364"/>
        <v>0</v>
      </c>
      <c r="DL128" s="2">
        <v>69</v>
      </c>
      <c r="DM128" s="57">
        <f t="shared" si="222"/>
        <v>0</v>
      </c>
      <c r="DN128" s="62">
        <f t="shared" si="367"/>
        <v>0</v>
      </c>
      <c r="DO128" s="2">
        <v>68</v>
      </c>
      <c r="DP128" s="57">
        <f t="shared" si="227"/>
        <v>0</v>
      </c>
      <c r="DQ128" s="62">
        <f t="shared" si="396"/>
        <v>0</v>
      </c>
      <c r="DR128" s="2">
        <v>67</v>
      </c>
      <c r="DS128" s="57">
        <f t="shared" si="234"/>
        <v>0</v>
      </c>
      <c r="DT128" s="62">
        <f t="shared" si="399"/>
        <v>0</v>
      </c>
      <c r="DU128" s="2">
        <v>66</v>
      </c>
      <c r="DV128" s="57">
        <f t="shared" si="239"/>
        <v>0</v>
      </c>
      <c r="DW128" s="62">
        <f t="shared" si="402"/>
        <v>0</v>
      </c>
      <c r="DX128" s="2">
        <v>65</v>
      </c>
      <c r="DY128" s="57">
        <f t="shared" si="245"/>
        <v>0</v>
      </c>
      <c r="DZ128" s="62">
        <f t="shared" si="405"/>
        <v>0</v>
      </c>
      <c r="EA128" s="2">
        <v>64</v>
      </c>
      <c r="EB128" s="57">
        <f t="shared" si="109"/>
        <v>0</v>
      </c>
      <c r="EC128" s="62">
        <f t="shared" ref="EC128:EC159" si="408">SUM($G$10*$G$11*EB128*(EXP(-($G$10*EA128))),$G$10*$G$11*EB128*(EXP(-($G$10*(EA128+0.1)))),$G$10*$G$11*EB128*(EXP(-($G$10*(EA128+0.2)))),$G$10*$G$11*EB128*(EXP(-($G$10*(EA128+0.3)))),$G$10*$G$11*EB128*(EXP(-($G$10*(EA128+0.4)))),$G$10*$G$11*EB128*(EXP(-($G$10*(EA128+0.5)))),$G$10*$G$11*EB128*(EXP(-($G$10*(EA128+0.6)))),$G$10*$G$11*EB128*(EXP(-($G$10*(EA128+0.7)))),$G$10*$G$11*EB128*(EXP(-($G$10*(EA128+0.8)))),$G$10*$G$11*EB128*(EXP(-($G$10*(EA128+0.9)))))/10</f>
        <v>0</v>
      </c>
      <c r="ED128" s="2">
        <v>63</v>
      </c>
      <c r="EE128" s="57">
        <f t="shared" si="113"/>
        <v>0</v>
      </c>
      <c r="EF128" s="62">
        <f t="shared" si="256"/>
        <v>0</v>
      </c>
      <c r="EG128" s="2">
        <v>62</v>
      </c>
      <c r="EH128" s="57">
        <f t="shared" si="117"/>
        <v>0</v>
      </c>
      <c r="EI128" s="62">
        <f t="shared" si="262"/>
        <v>0</v>
      </c>
      <c r="EJ128" s="2">
        <v>61</v>
      </c>
      <c r="EK128" s="57">
        <f t="shared" si="121"/>
        <v>0</v>
      </c>
      <c r="EL128" s="62">
        <f t="shared" si="267"/>
        <v>0</v>
      </c>
      <c r="EM128" s="2">
        <v>60</v>
      </c>
      <c r="EN128" s="57">
        <f t="shared" si="125"/>
        <v>0</v>
      </c>
      <c r="EO128" s="62">
        <f t="shared" si="273"/>
        <v>0</v>
      </c>
      <c r="EP128" s="2">
        <v>59</v>
      </c>
      <c r="EQ128" s="57">
        <f t="shared" si="129"/>
        <v>0</v>
      </c>
      <c r="ER128" s="62">
        <f t="shared" si="279"/>
        <v>0</v>
      </c>
      <c r="ES128" s="2">
        <v>58</v>
      </c>
      <c r="ET128" s="57">
        <f t="shared" si="130"/>
        <v>0</v>
      </c>
      <c r="EU128" s="62">
        <f t="shared" si="286"/>
        <v>0</v>
      </c>
      <c r="EV128" s="2">
        <v>57</v>
      </c>
      <c r="EW128" s="57">
        <f t="shared" si="134"/>
        <v>0</v>
      </c>
      <c r="EX128" s="62">
        <f t="shared" si="291"/>
        <v>0</v>
      </c>
      <c r="EY128" s="2">
        <v>56</v>
      </c>
      <c r="EZ128" s="57">
        <f t="shared" si="141"/>
        <v>0</v>
      </c>
      <c r="FA128" s="62">
        <f t="shared" si="298"/>
        <v>0</v>
      </c>
      <c r="FB128" s="2">
        <v>55</v>
      </c>
      <c r="FC128" s="57">
        <f t="shared" si="142"/>
        <v>0</v>
      </c>
      <c r="FD128" s="62">
        <f t="shared" si="302"/>
        <v>0</v>
      </c>
      <c r="FE128" s="2">
        <v>54</v>
      </c>
      <c r="FF128" s="57">
        <f t="shared" si="149"/>
        <v>0</v>
      </c>
      <c r="FG128" s="62">
        <f t="shared" si="306"/>
        <v>0</v>
      </c>
      <c r="FH128" s="2">
        <v>53</v>
      </c>
      <c r="FI128" s="57">
        <f t="shared" si="150"/>
        <v>0</v>
      </c>
      <c r="FJ128" s="62">
        <f t="shared" si="310"/>
        <v>0</v>
      </c>
      <c r="FK128" s="2">
        <v>52</v>
      </c>
      <c r="FL128" s="57">
        <f t="shared" si="157"/>
        <v>0</v>
      </c>
      <c r="FM128" s="62">
        <f t="shared" si="314"/>
        <v>0</v>
      </c>
      <c r="FN128" s="2">
        <v>51</v>
      </c>
      <c r="FO128" s="57">
        <f t="shared" si="158"/>
        <v>0</v>
      </c>
      <c r="FP128" s="62">
        <f t="shared" si="318"/>
        <v>0</v>
      </c>
      <c r="FQ128" s="2">
        <v>50</v>
      </c>
      <c r="FR128" s="57">
        <f t="shared" si="165"/>
        <v>0</v>
      </c>
      <c r="FS128" s="62">
        <f t="shared" si="322"/>
        <v>0</v>
      </c>
      <c r="FT128" s="2">
        <v>49</v>
      </c>
      <c r="FU128" s="57">
        <f t="shared" si="166"/>
        <v>0</v>
      </c>
      <c r="FV128" s="62">
        <f t="shared" si="326"/>
        <v>0</v>
      </c>
      <c r="FW128" s="2">
        <v>48</v>
      </c>
      <c r="FX128" s="57">
        <f t="shared" si="170"/>
        <v>0</v>
      </c>
      <c r="FY128" s="62">
        <f t="shared" si="330"/>
        <v>0</v>
      </c>
      <c r="FZ128" s="2">
        <v>47</v>
      </c>
      <c r="GA128" s="57">
        <f t="shared" si="177"/>
        <v>0</v>
      </c>
      <c r="GB128" s="62">
        <f t="shared" si="334"/>
        <v>0</v>
      </c>
      <c r="GC128" s="2">
        <v>46</v>
      </c>
      <c r="GD128" s="57">
        <f t="shared" si="178"/>
        <v>0</v>
      </c>
      <c r="GE128" s="62">
        <f t="shared" si="338"/>
        <v>0</v>
      </c>
      <c r="GF128" s="2">
        <v>45</v>
      </c>
      <c r="GG128" s="57">
        <f t="shared" si="185"/>
        <v>0</v>
      </c>
      <c r="GH128" s="62">
        <f t="shared" si="342"/>
        <v>0</v>
      </c>
      <c r="GI128" s="2">
        <v>44</v>
      </c>
      <c r="GJ128" s="57">
        <f t="shared" si="186"/>
        <v>0</v>
      </c>
      <c r="GK128" s="62">
        <f t="shared" si="346"/>
        <v>0</v>
      </c>
      <c r="GL128" s="2">
        <v>43</v>
      </c>
      <c r="GM128" s="57">
        <f t="shared" si="193"/>
        <v>0</v>
      </c>
      <c r="GN128" s="62">
        <f t="shared" si="350"/>
        <v>0</v>
      </c>
      <c r="GO128" s="2">
        <v>42</v>
      </c>
      <c r="GP128" s="57">
        <f t="shared" si="194"/>
        <v>0</v>
      </c>
      <c r="GQ128" s="62">
        <f t="shared" si="354"/>
        <v>0</v>
      </c>
      <c r="GR128" s="2">
        <v>41</v>
      </c>
      <c r="GS128" s="57">
        <f t="shared" si="204"/>
        <v>0</v>
      </c>
      <c r="GT128" s="62">
        <f t="shared" si="356"/>
        <v>0</v>
      </c>
      <c r="GU128" s="2">
        <v>40</v>
      </c>
      <c r="GV128" s="57">
        <f t="shared" si="205"/>
        <v>0</v>
      </c>
      <c r="GW128" s="62">
        <f t="shared" si="359"/>
        <v>0</v>
      </c>
      <c r="GX128" s="2">
        <v>39</v>
      </c>
      <c r="GY128" s="57">
        <f t="shared" si="217"/>
        <v>0</v>
      </c>
      <c r="GZ128" s="62">
        <f t="shared" si="362"/>
        <v>0</v>
      </c>
      <c r="HA128" s="2">
        <v>38</v>
      </c>
      <c r="HB128" s="57">
        <f t="shared" si="218"/>
        <v>0</v>
      </c>
      <c r="HC128" s="62">
        <f t="shared" si="365"/>
        <v>0</v>
      </c>
      <c r="HD128" s="2">
        <v>37</v>
      </c>
      <c r="HE128" s="57">
        <f t="shared" si="229"/>
        <v>0</v>
      </c>
      <c r="HF128" s="62">
        <f t="shared" si="368"/>
        <v>0</v>
      </c>
      <c r="HG128" s="2">
        <v>36</v>
      </c>
      <c r="HH128" s="57">
        <f t="shared" si="230"/>
        <v>0</v>
      </c>
      <c r="HI128" s="62">
        <f t="shared" si="397"/>
        <v>0</v>
      </c>
      <c r="HJ128" s="2">
        <v>35</v>
      </c>
      <c r="HK128" s="57">
        <f t="shared" si="241"/>
        <v>0</v>
      </c>
      <c r="HL128" s="62">
        <f t="shared" si="400"/>
        <v>0</v>
      </c>
      <c r="HM128" s="2">
        <v>34</v>
      </c>
      <c r="HN128" s="57">
        <f t="shared" si="247"/>
        <v>0</v>
      </c>
      <c r="HO128" s="62">
        <f t="shared" si="403"/>
        <v>0</v>
      </c>
      <c r="HP128" s="2">
        <v>33</v>
      </c>
      <c r="HQ128" s="57">
        <f t="shared" si="248"/>
        <v>0</v>
      </c>
      <c r="HR128" s="62">
        <f t="shared" si="406"/>
        <v>0</v>
      </c>
      <c r="HS128" s="2">
        <v>32</v>
      </c>
      <c r="HT128" s="57">
        <f t="shared" si="257"/>
        <v>0</v>
      </c>
      <c r="HU128" s="62">
        <f t="shared" ref="HU128:HU159" si="409">SUM($G$10*$G$11*HT128*(EXP(-($G$10*HS128))),$G$10*$G$11*HT128*(EXP(-($G$10*(HS128+0.1)))),$G$10*$G$11*HT128*(EXP(-($G$10*(HS128+0.2)))),$G$10*$G$11*HT128*(EXP(-($G$10*(HS128+0.3)))),$G$10*$G$11*HT128*(EXP(-($G$10*(HS128+0.4)))),$G$10*$G$11*HT128*(EXP(-($G$10*(HS128+0.5)))),$G$10*$G$11*HT128*(EXP(-($G$10*(HS128+0.6)))),$G$10*$G$11*HT128*(EXP(-($G$10*(HS128+0.7)))),$G$10*$G$11*HT128*(EXP(-($G$10*(HS128+0.8)))),$G$10*$G$11*HT128*(EXP(-($G$10*(HS128+0.9)))))/10</f>
        <v>0</v>
      </c>
      <c r="HV128" s="2">
        <v>31</v>
      </c>
      <c r="HW128" s="57">
        <f t="shared" si="258"/>
        <v>0</v>
      </c>
      <c r="HX128" s="62">
        <f t="shared" si="259"/>
        <v>0</v>
      </c>
      <c r="HY128" s="2">
        <v>30</v>
      </c>
      <c r="HZ128" s="57">
        <f t="shared" si="268"/>
        <v>0</v>
      </c>
      <c r="IA128" s="62">
        <f t="shared" si="263"/>
        <v>0</v>
      </c>
      <c r="IB128" s="2">
        <v>29</v>
      </c>
      <c r="IC128" s="57">
        <f t="shared" si="274"/>
        <v>0</v>
      </c>
      <c r="ID128" s="62">
        <f t="shared" si="269"/>
        <v>0</v>
      </c>
      <c r="IE128" s="2">
        <v>28</v>
      </c>
      <c r="IF128" s="57">
        <f t="shared" si="280"/>
        <v>0</v>
      </c>
      <c r="IG128" s="62">
        <f t="shared" si="275"/>
        <v>0</v>
      </c>
      <c r="IH128" s="2">
        <v>27</v>
      </c>
      <c r="II128" s="57">
        <f t="shared" si="281"/>
        <v>0</v>
      </c>
      <c r="IJ128" s="62">
        <f t="shared" si="282"/>
        <v>0</v>
      </c>
      <c r="IK128" s="2">
        <v>26</v>
      </c>
      <c r="IL128" s="57">
        <f t="shared" si="292"/>
        <v>0</v>
      </c>
      <c r="IM128" s="62">
        <f t="shared" si="287"/>
        <v>0</v>
      </c>
      <c r="IN128" s="2">
        <v>25</v>
      </c>
      <c r="IO128" s="57">
        <f t="shared" si="293"/>
        <v>0</v>
      </c>
      <c r="IP128" s="62">
        <f t="shared" si="294"/>
        <v>0</v>
      </c>
    </row>
    <row r="129" spans="7:250">
      <c r="G129" s="284"/>
      <c r="H129" s="284"/>
      <c r="I129" s="2">
        <f t="shared" si="369"/>
        <v>2124</v>
      </c>
      <c r="J129" s="379">
        <f t="shared" si="264"/>
        <v>1688015.7653135811</v>
      </c>
      <c r="K129" s="2">
        <f t="shared" si="370"/>
        <v>105</v>
      </c>
      <c r="L129" s="57">
        <f t="shared" si="200"/>
        <v>189082</v>
      </c>
      <c r="M129" s="62">
        <f t="shared" si="357"/>
        <v>11139.987847763714</v>
      </c>
      <c r="N129" s="2">
        <f t="shared" si="371"/>
        <v>104</v>
      </c>
      <c r="O129" s="57">
        <f t="shared" si="207"/>
        <v>293489</v>
      </c>
      <c r="P129" s="62">
        <f t="shared" si="360"/>
        <v>17996.917983404943</v>
      </c>
      <c r="Q129" s="2">
        <f t="shared" si="372"/>
        <v>103</v>
      </c>
      <c r="R129" s="57">
        <f t="shared" si="213"/>
        <v>283523</v>
      </c>
      <c r="S129" s="62">
        <f t="shared" si="363"/>
        <v>18095.324841465081</v>
      </c>
      <c r="T129" s="2">
        <f t="shared" si="373"/>
        <v>102</v>
      </c>
      <c r="U129" s="57">
        <f t="shared" si="220"/>
        <v>143321</v>
      </c>
      <c r="V129" s="62">
        <f t="shared" si="366"/>
        <v>9520.4986824035695</v>
      </c>
      <c r="W129" s="2">
        <f t="shared" si="374"/>
        <v>101</v>
      </c>
      <c r="X129" s="57">
        <f t="shared" si="225"/>
        <v>227851</v>
      </c>
      <c r="Y129" s="62">
        <f t="shared" si="375"/>
        <v>15753.337802444939</v>
      </c>
      <c r="Z129" s="2">
        <f t="shared" si="376"/>
        <v>100</v>
      </c>
      <c r="AA129" s="57">
        <f t="shared" si="232"/>
        <v>238727</v>
      </c>
      <c r="AB129" s="62">
        <f t="shared" si="398"/>
        <v>17178.8847675814</v>
      </c>
      <c r="AC129" s="2">
        <f t="shared" si="377"/>
        <v>99</v>
      </c>
      <c r="AD129" s="57">
        <f t="shared" si="237"/>
        <v>250122</v>
      </c>
      <c r="AE129" s="62">
        <f t="shared" si="401"/>
        <v>18733.421208394229</v>
      </c>
      <c r="AF129" s="2">
        <f t="shared" si="378"/>
        <v>98</v>
      </c>
      <c r="AG129" s="57">
        <f t="shared" si="243"/>
        <v>262060</v>
      </c>
      <c r="AH129" s="62">
        <f t="shared" si="404"/>
        <v>20428.558440150275</v>
      </c>
      <c r="AI129" s="2">
        <f t="shared" si="379"/>
        <v>97</v>
      </c>
      <c r="AJ129" s="57">
        <f t="shared" si="250"/>
        <v>274569</v>
      </c>
      <c r="AK129" s="62">
        <f t="shared" si="407"/>
        <v>22277.182663928899</v>
      </c>
      <c r="AL129" s="2">
        <f t="shared" si="380"/>
        <v>96</v>
      </c>
      <c r="AM129" s="57">
        <f t="shared" si="254"/>
        <v>287675</v>
      </c>
      <c r="AN129" s="62">
        <f t="shared" ref="AN129:AN160" si="410">SUM($G$10*$G$11*AM129*(EXP(-($G$10*AL129))),$G$10*$G$11*AM129*(EXP(-($G$10*(AL129+0.1)))),$G$10*$G$11*AM129*(EXP(-($G$10*(AL129+0.2)))),$G$10*$G$11*AM129*(EXP(-($G$10*(AL129+0.3)))),$G$10*$G$11*AM129*(EXP(-($G$10*(AL129+0.4)))),$G$10*$G$11*AM129*(EXP(-($G$10*(AL129+0.5)))),$G$10*$G$11*AM129*(EXP(-($G$10*(AL129+0.6)))),$G$10*$G$11*AM129*(EXP(-($G$10*(AL129+0.7)))),$G$10*$G$11*AM129*(EXP(-($G$10*(AL129+0.8)))),$G$10*$G$11*AM129*(EXP(-($G$10*(AL129+0.9)))))/10</f>
        <v>24293.084732593754</v>
      </c>
      <c r="AO129" s="2">
        <f t="shared" si="381"/>
        <v>95</v>
      </c>
      <c r="AP129" s="57">
        <f t="shared" si="260"/>
        <v>301406</v>
      </c>
      <c r="AQ129" s="62">
        <f t="shared" si="261"/>
        <v>26491.357648391066</v>
      </c>
      <c r="AR129" s="2">
        <f t="shared" si="382"/>
        <v>94</v>
      </c>
      <c r="AS129" s="57">
        <f t="shared" si="265"/>
        <v>315793</v>
      </c>
      <c r="AT129" s="62">
        <f t="shared" si="266"/>
        <v>28888.606998260635</v>
      </c>
      <c r="AU129" s="2">
        <f t="shared" si="383"/>
        <v>93</v>
      </c>
      <c r="AV129" s="57">
        <f t="shared" si="271"/>
        <v>330866</v>
      </c>
      <c r="AW129" s="62">
        <f t="shared" si="272"/>
        <v>31502.717747364037</v>
      </c>
      <c r="AX129" s="2">
        <f t="shared" si="384"/>
        <v>92</v>
      </c>
      <c r="AY129" s="57">
        <f t="shared" si="277"/>
        <v>346659</v>
      </c>
      <c r="AZ129" s="62">
        <f t="shared" si="278"/>
        <v>34353.432746434184</v>
      </c>
      <c r="BA129" s="2">
        <f t="shared" si="385"/>
        <v>91</v>
      </c>
      <c r="BB129" s="57">
        <f t="shared" si="284"/>
        <v>363206</v>
      </c>
      <c r="BC129" s="62">
        <f t="shared" si="285"/>
        <v>37462.128898418254</v>
      </c>
      <c r="BD129" s="2">
        <f t="shared" si="386"/>
        <v>90</v>
      </c>
      <c r="BE129" s="57">
        <f t="shared" si="289"/>
        <v>380542</v>
      </c>
      <c r="BF129" s="62">
        <f t="shared" si="290"/>
        <v>40852.04627729387</v>
      </c>
      <c r="BG129" s="2">
        <f t="shared" si="387"/>
        <v>89</v>
      </c>
      <c r="BH129" s="57">
        <f t="shared" si="296"/>
        <v>398706</v>
      </c>
      <c r="BI129" s="62">
        <f t="shared" si="297"/>
        <v>44548.775314939485</v>
      </c>
      <c r="BJ129" s="2">
        <f t="shared" si="388"/>
        <v>88</v>
      </c>
      <c r="BK129" s="57">
        <f t="shared" si="300"/>
        <v>417737</v>
      </c>
      <c r="BL129" s="62">
        <f t="shared" si="301"/>
        <v>48580.02353983411</v>
      </c>
      <c r="BM129" s="2">
        <f t="shared" si="389"/>
        <v>87</v>
      </c>
      <c r="BN129" s="57">
        <f t="shared" si="304"/>
        <v>437677</v>
      </c>
      <c r="BO129" s="62">
        <f t="shared" si="305"/>
        <v>52976.136404661542</v>
      </c>
      <c r="BP129" s="2">
        <f t="shared" si="390"/>
        <v>86</v>
      </c>
      <c r="BQ129" s="57">
        <f t="shared" si="308"/>
        <v>458568</v>
      </c>
      <c r="BR129" s="62">
        <f t="shared" si="309"/>
        <v>57769.961920525544</v>
      </c>
      <c r="BS129" s="2">
        <f t="shared" si="391"/>
        <v>85</v>
      </c>
      <c r="BT129" s="57">
        <f t="shared" si="312"/>
        <v>480456</v>
      </c>
      <c r="BU129" s="62">
        <f t="shared" si="313"/>
        <v>62997.561114166492</v>
      </c>
      <c r="BV129" s="2">
        <f t="shared" si="392"/>
        <v>84</v>
      </c>
      <c r="BW129" s="57">
        <f t="shared" si="316"/>
        <v>503389</v>
      </c>
      <c r="BX129" s="62">
        <f t="shared" si="317"/>
        <v>68698.240756694999</v>
      </c>
      <c r="BY129" s="2">
        <f t="shared" si="393"/>
        <v>83</v>
      </c>
      <c r="BZ129" s="57">
        <f t="shared" si="320"/>
        <v>527417</v>
      </c>
      <c r="CA129" s="62">
        <f t="shared" si="321"/>
        <v>74914.829923252168</v>
      </c>
      <c r="CB129" s="2">
        <f t="shared" si="394"/>
        <v>82</v>
      </c>
      <c r="CC129" s="57">
        <f t="shared" si="324"/>
        <v>552592</v>
      </c>
      <c r="CD129" s="62">
        <f t="shared" si="325"/>
        <v>81693.978419816718</v>
      </c>
      <c r="CE129" s="2">
        <f t="shared" si="395"/>
        <v>81</v>
      </c>
      <c r="CF129" s="57">
        <f t="shared" si="328"/>
        <v>578968</v>
      </c>
      <c r="CG129" s="62">
        <f t="shared" si="329"/>
        <v>89086.478684114292</v>
      </c>
      <c r="CH129" s="2">
        <v>80</v>
      </c>
      <c r="CI129" s="57">
        <f t="shared" si="332"/>
        <v>606603</v>
      </c>
      <c r="CJ129" s="62">
        <f t="shared" si="333"/>
        <v>97147.933179861138</v>
      </c>
      <c r="CK129" s="2">
        <v>79</v>
      </c>
      <c r="CL129" s="57">
        <f t="shared" si="336"/>
        <v>635558</v>
      </c>
      <c r="CM129" s="62">
        <f t="shared" si="337"/>
        <v>105939.02718910207</v>
      </c>
      <c r="CN129" s="2">
        <v>78</v>
      </c>
      <c r="CO129" s="57">
        <f t="shared" si="340"/>
        <v>665894</v>
      </c>
      <c r="CP129" s="62">
        <f t="shared" si="341"/>
        <v>115525.45080124648</v>
      </c>
      <c r="CQ129" s="2">
        <v>77</v>
      </c>
      <c r="CR129" s="57">
        <f t="shared" si="344"/>
        <v>697679</v>
      </c>
      <c r="CS129" s="62">
        <f t="shared" si="345"/>
        <v>125979.53483648508</v>
      </c>
      <c r="CT129" s="2">
        <v>76</v>
      </c>
      <c r="CU129" s="57">
        <f t="shared" si="348"/>
        <v>730980</v>
      </c>
      <c r="CV129" s="62">
        <f t="shared" si="349"/>
        <v>137379.4025411398</v>
      </c>
      <c r="CW129" s="2">
        <v>75</v>
      </c>
      <c r="CX129" s="57">
        <f t="shared" si="352"/>
        <v>765871</v>
      </c>
      <c r="CY129" s="62">
        <f t="shared" si="353"/>
        <v>149810.94140144825</v>
      </c>
      <c r="CZ129" s="2">
        <v>74</v>
      </c>
      <c r="DA129" s="57">
        <f t="shared" si="196"/>
        <v>0</v>
      </c>
      <c r="DB129" s="62">
        <f t="shared" si="355"/>
        <v>0</v>
      </c>
      <c r="DC129" s="2">
        <v>73</v>
      </c>
      <c r="DD129" s="57">
        <f t="shared" si="202"/>
        <v>0</v>
      </c>
      <c r="DE129" s="62">
        <f t="shared" si="358"/>
        <v>0</v>
      </c>
      <c r="DF129" s="2">
        <v>72</v>
      </c>
      <c r="DG129" s="57">
        <f t="shared" si="209"/>
        <v>0</v>
      </c>
      <c r="DH129" s="62">
        <f t="shared" si="361"/>
        <v>0</v>
      </c>
      <c r="DI129" s="2">
        <v>71</v>
      </c>
      <c r="DJ129" s="57">
        <f t="shared" si="215"/>
        <v>0</v>
      </c>
      <c r="DK129" s="62">
        <f t="shared" si="364"/>
        <v>0</v>
      </c>
      <c r="DL129" s="2">
        <v>70</v>
      </c>
      <c r="DM129" s="57">
        <f t="shared" si="222"/>
        <v>0</v>
      </c>
      <c r="DN129" s="62">
        <f t="shared" si="367"/>
        <v>0</v>
      </c>
      <c r="DO129" s="2">
        <v>69</v>
      </c>
      <c r="DP129" s="57">
        <f t="shared" si="227"/>
        <v>0</v>
      </c>
      <c r="DQ129" s="62">
        <f t="shared" si="396"/>
        <v>0</v>
      </c>
      <c r="DR129" s="2">
        <v>68</v>
      </c>
      <c r="DS129" s="57">
        <f t="shared" si="234"/>
        <v>0</v>
      </c>
      <c r="DT129" s="62">
        <f t="shared" si="399"/>
        <v>0</v>
      </c>
      <c r="DU129" s="2">
        <v>67</v>
      </c>
      <c r="DV129" s="57">
        <f t="shared" si="239"/>
        <v>0</v>
      </c>
      <c r="DW129" s="62">
        <f t="shared" si="402"/>
        <v>0</v>
      </c>
      <c r="DX129" s="2">
        <v>66</v>
      </c>
      <c r="DY129" s="57">
        <f t="shared" si="245"/>
        <v>0</v>
      </c>
      <c r="DZ129" s="62">
        <f t="shared" si="405"/>
        <v>0</v>
      </c>
      <c r="EA129" s="2">
        <v>65</v>
      </c>
      <c r="EB129" s="57">
        <f t="shared" ref="EB129:EB163" si="411">$E$63</f>
        <v>0</v>
      </c>
      <c r="EC129" s="62">
        <f t="shared" si="408"/>
        <v>0</v>
      </c>
      <c r="ED129" s="2">
        <v>64</v>
      </c>
      <c r="EE129" s="57">
        <f t="shared" si="113"/>
        <v>0</v>
      </c>
      <c r="EF129" s="62">
        <f t="shared" ref="EF129:EF160" si="412">SUM($G$10*$G$11*EE129*(EXP(-($G$10*ED129))),$G$10*$G$11*EE129*(EXP(-($G$10*(ED129+0.1)))),$G$10*$G$11*EE129*(EXP(-($G$10*(ED129+0.2)))),$G$10*$G$11*EE129*(EXP(-($G$10*(ED129+0.3)))),$G$10*$G$11*EE129*(EXP(-($G$10*(ED129+0.4)))),$G$10*$G$11*EE129*(EXP(-($G$10*(ED129+0.5)))),$G$10*$G$11*EE129*(EXP(-($G$10*(ED129+0.6)))),$G$10*$G$11*EE129*(EXP(-($G$10*(ED129+0.7)))),$G$10*$G$11*EE129*(EXP(-($G$10*(ED129+0.8)))),$G$10*$G$11*EE129*(EXP(-($G$10*(ED129+0.9)))))/10</f>
        <v>0</v>
      </c>
      <c r="EG129" s="2">
        <v>63</v>
      </c>
      <c r="EH129" s="57">
        <f t="shared" si="117"/>
        <v>0</v>
      </c>
      <c r="EI129" s="62">
        <f t="shared" si="262"/>
        <v>0</v>
      </c>
      <c r="EJ129" s="2">
        <v>62</v>
      </c>
      <c r="EK129" s="57">
        <f t="shared" si="121"/>
        <v>0</v>
      </c>
      <c r="EL129" s="62">
        <f t="shared" si="267"/>
        <v>0</v>
      </c>
      <c r="EM129" s="2">
        <v>61</v>
      </c>
      <c r="EN129" s="57">
        <f t="shared" si="125"/>
        <v>0</v>
      </c>
      <c r="EO129" s="62">
        <f t="shared" si="273"/>
        <v>0</v>
      </c>
      <c r="EP129" s="2">
        <v>60</v>
      </c>
      <c r="EQ129" s="57">
        <f t="shared" si="129"/>
        <v>0</v>
      </c>
      <c r="ER129" s="62">
        <f t="shared" si="279"/>
        <v>0</v>
      </c>
      <c r="ES129" s="2">
        <v>59</v>
      </c>
      <c r="ET129" s="57">
        <f t="shared" si="130"/>
        <v>0</v>
      </c>
      <c r="EU129" s="62">
        <f t="shared" si="286"/>
        <v>0</v>
      </c>
      <c r="EV129" s="2">
        <v>58</v>
      </c>
      <c r="EW129" s="57">
        <f t="shared" si="134"/>
        <v>0</v>
      </c>
      <c r="EX129" s="62">
        <f t="shared" si="291"/>
        <v>0</v>
      </c>
      <c r="EY129" s="2">
        <v>57</v>
      </c>
      <c r="EZ129" s="57">
        <f t="shared" si="141"/>
        <v>0</v>
      </c>
      <c r="FA129" s="62">
        <f t="shared" si="298"/>
        <v>0</v>
      </c>
      <c r="FB129" s="2">
        <v>56</v>
      </c>
      <c r="FC129" s="57">
        <f t="shared" si="142"/>
        <v>0</v>
      </c>
      <c r="FD129" s="62">
        <f t="shared" si="302"/>
        <v>0</v>
      </c>
      <c r="FE129" s="2">
        <v>55</v>
      </c>
      <c r="FF129" s="57">
        <f t="shared" si="149"/>
        <v>0</v>
      </c>
      <c r="FG129" s="62">
        <f t="shared" si="306"/>
        <v>0</v>
      </c>
      <c r="FH129" s="2">
        <v>54</v>
      </c>
      <c r="FI129" s="57">
        <f t="shared" si="150"/>
        <v>0</v>
      </c>
      <c r="FJ129" s="62">
        <f t="shared" si="310"/>
        <v>0</v>
      </c>
      <c r="FK129" s="2">
        <v>53</v>
      </c>
      <c r="FL129" s="57">
        <f t="shared" si="157"/>
        <v>0</v>
      </c>
      <c r="FM129" s="62">
        <f t="shared" si="314"/>
        <v>0</v>
      </c>
      <c r="FN129" s="2">
        <v>52</v>
      </c>
      <c r="FO129" s="57">
        <f t="shared" si="158"/>
        <v>0</v>
      </c>
      <c r="FP129" s="62">
        <f t="shared" si="318"/>
        <v>0</v>
      </c>
      <c r="FQ129" s="2">
        <v>51</v>
      </c>
      <c r="FR129" s="57">
        <f t="shared" si="165"/>
        <v>0</v>
      </c>
      <c r="FS129" s="62">
        <f t="shared" si="322"/>
        <v>0</v>
      </c>
      <c r="FT129" s="2">
        <v>50</v>
      </c>
      <c r="FU129" s="57">
        <f t="shared" si="166"/>
        <v>0</v>
      </c>
      <c r="FV129" s="62">
        <f t="shared" si="326"/>
        <v>0</v>
      </c>
      <c r="FW129" s="2">
        <v>49</v>
      </c>
      <c r="FX129" s="57">
        <f t="shared" si="170"/>
        <v>0</v>
      </c>
      <c r="FY129" s="62">
        <f t="shared" si="330"/>
        <v>0</v>
      </c>
      <c r="FZ129" s="2">
        <v>48</v>
      </c>
      <c r="GA129" s="57">
        <f t="shared" si="177"/>
        <v>0</v>
      </c>
      <c r="GB129" s="62">
        <f t="shared" si="334"/>
        <v>0</v>
      </c>
      <c r="GC129" s="2">
        <v>47</v>
      </c>
      <c r="GD129" s="57">
        <f t="shared" si="178"/>
        <v>0</v>
      </c>
      <c r="GE129" s="62">
        <f t="shared" si="338"/>
        <v>0</v>
      </c>
      <c r="GF129" s="2">
        <v>46</v>
      </c>
      <c r="GG129" s="57">
        <f t="shared" si="185"/>
        <v>0</v>
      </c>
      <c r="GH129" s="62">
        <f t="shared" si="342"/>
        <v>0</v>
      </c>
      <c r="GI129" s="2">
        <v>45</v>
      </c>
      <c r="GJ129" s="57">
        <f t="shared" si="186"/>
        <v>0</v>
      </c>
      <c r="GK129" s="62">
        <f t="shared" si="346"/>
        <v>0</v>
      </c>
      <c r="GL129" s="2">
        <v>44</v>
      </c>
      <c r="GM129" s="57">
        <f t="shared" si="193"/>
        <v>0</v>
      </c>
      <c r="GN129" s="62">
        <f t="shared" si="350"/>
        <v>0</v>
      </c>
      <c r="GO129" s="2">
        <v>43</v>
      </c>
      <c r="GP129" s="57">
        <f t="shared" si="194"/>
        <v>0</v>
      </c>
      <c r="GQ129" s="62">
        <f t="shared" si="354"/>
        <v>0</v>
      </c>
      <c r="GR129" s="2">
        <v>42</v>
      </c>
      <c r="GS129" s="57">
        <f t="shared" si="204"/>
        <v>0</v>
      </c>
      <c r="GT129" s="62">
        <f t="shared" si="356"/>
        <v>0</v>
      </c>
      <c r="GU129" s="2">
        <v>41</v>
      </c>
      <c r="GV129" s="57">
        <f t="shared" si="205"/>
        <v>0</v>
      </c>
      <c r="GW129" s="62">
        <f t="shared" si="359"/>
        <v>0</v>
      </c>
      <c r="GX129" s="2">
        <v>40</v>
      </c>
      <c r="GY129" s="57">
        <f t="shared" si="217"/>
        <v>0</v>
      </c>
      <c r="GZ129" s="62">
        <f t="shared" si="362"/>
        <v>0</v>
      </c>
      <c r="HA129" s="2">
        <v>39</v>
      </c>
      <c r="HB129" s="57">
        <f t="shared" si="218"/>
        <v>0</v>
      </c>
      <c r="HC129" s="62">
        <f t="shared" si="365"/>
        <v>0</v>
      </c>
      <c r="HD129" s="2">
        <v>38</v>
      </c>
      <c r="HE129" s="57">
        <f t="shared" si="229"/>
        <v>0</v>
      </c>
      <c r="HF129" s="62">
        <f t="shared" si="368"/>
        <v>0</v>
      </c>
      <c r="HG129" s="2">
        <v>37</v>
      </c>
      <c r="HH129" s="57">
        <f t="shared" si="230"/>
        <v>0</v>
      </c>
      <c r="HI129" s="62">
        <f t="shared" si="397"/>
        <v>0</v>
      </c>
      <c r="HJ129" s="2">
        <v>36</v>
      </c>
      <c r="HK129" s="57">
        <f t="shared" si="241"/>
        <v>0</v>
      </c>
      <c r="HL129" s="62">
        <f t="shared" si="400"/>
        <v>0</v>
      </c>
      <c r="HM129" s="2">
        <v>35</v>
      </c>
      <c r="HN129" s="57">
        <f t="shared" si="247"/>
        <v>0</v>
      </c>
      <c r="HO129" s="62">
        <f t="shared" si="403"/>
        <v>0</v>
      </c>
      <c r="HP129" s="2">
        <v>34</v>
      </c>
      <c r="HQ129" s="57">
        <f t="shared" si="248"/>
        <v>0</v>
      </c>
      <c r="HR129" s="62">
        <f t="shared" si="406"/>
        <v>0</v>
      </c>
      <c r="HS129" s="2">
        <v>33</v>
      </c>
      <c r="HT129" s="57">
        <f t="shared" si="257"/>
        <v>0</v>
      </c>
      <c r="HU129" s="62">
        <f t="shared" si="409"/>
        <v>0</v>
      </c>
      <c r="HV129" s="2">
        <v>32</v>
      </c>
      <c r="HW129" s="57">
        <f t="shared" si="258"/>
        <v>0</v>
      </c>
      <c r="HX129" s="62">
        <f t="shared" ref="HX129:HX160" si="413">SUM($G$10*$G$11*HW129*(EXP(-($G$10*HV129))),$G$10*$G$11*HW129*(EXP(-($G$10*(HV129+0.1)))),$G$10*$G$11*HW129*(EXP(-($G$10*(HV129+0.2)))),$G$10*$G$11*HW129*(EXP(-($G$10*(HV129+0.3)))),$G$10*$G$11*HW129*(EXP(-($G$10*(HV129+0.4)))),$G$10*$G$11*HW129*(EXP(-($G$10*(HV129+0.5)))),$G$10*$G$11*HW129*(EXP(-($G$10*(HV129+0.6)))),$G$10*$G$11*HW129*(EXP(-($G$10*(HV129+0.7)))),$G$10*$G$11*HW129*(EXP(-($G$10*(HV129+0.8)))),$G$10*$G$11*HW129*(EXP(-($G$10*(HV129+0.9)))))/10</f>
        <v>0</v>
      </c>
      <c r="HY129" s="2">
        <v>31</v>
      </c>
      <c r="HZ129" s="57">
        <f t="shared" si="268"/>
        <v>0</v>
      </c>
      <c r="IA129" s="62">
        <f t="shared" si="263"/>
        <v>0</v>
      </c>
      <c r="IB129" s="2">
        <v>30</v>
      </c>
      <c r="IC129" s="57">
        <f t="shared" si="274"/>
        <v>0</v>
      </c>
      <c r="ID129" s="62">
        <f t="shared" si="269"/>
        <v>0</v>
      </c>
      <c r="IE129" s="2">
        <v>29</v>
      </c>
      <c r="IF129" s="57">
        <f t="shared" si="280"/>
        <v>0</v>
      </c>
      <c r="IG129" s="62">
        <f t="shared" si="275"/>
        <v>0</v>
      </c>
      <c r="IH129" s="2">
        <v>28</v>
      </c>
      <c r="II129" s="57">
        <f t="shared" si="281"/>
        <v>0</v>
      </c>
      <c r="IJ129" s="62">
        <f t="shared" si="282"/>
        <v>0</v>
      </c>
      <c r="IK129" s="2">
        <v>27</v>
      </c>
      <c r="IL129" s="57">
        <f t="shared" si="292"/>
        <v>0</v>
      </c>
      <c r="IM129" s="62">
        <f t="shared" si="287"/>
        <v>0</v>
      </c>
      <c r="IN129" s="2">
        <v>26</v>
      </c>
      <c r="IO129" s="57">
        <f t="shared" si="293"/>
        <v>0</v>
      </c>
      <c r="IP129" s="62">
        <f t="shared" si="294"/>
        <v>0</v>
      </c>
    </row>
    <row r="130" spans="7:250">
      <c r="G130" s="284"/>
      <c r="H130" s="284"/>
      <c r="I130" s="2">
        <f t="shared" si="369"/>
        <v>2125</v>
      </c>
      <c r="J130" s="379">
        <f t="shared" si="264"/>
        <v>1621827.7204359153</v>
      </c>
      <c r="K130" s="2">
        <f t="shared" si="370"/>
        <v>106</v>
      </c>
      <c r="L130" s="57">
        <f t="shared" si="200"/>
        <v>189082</v>
      </c>
      <c r="M130" s="62">
        <f t="shared" si="357"/>
        <v>10703.182676416594</v>
      </c>
      <c r="N130" s="2">
        <f t="shared" si="371"/>
        <v>105</v>
      </c>
      <c r="O130" s="57">
        <f t="shared" si="207"/>
        <v>293489</v>
      </c>
      <c r="P130" s="62">
        <f t="shared" si="360"/>
        <v>17291.248735745998</v>
      </c>
      <c r="Q130" s="2">
        <f t="shared" si="372"/>
        <v>104</v>
      </c>
      <c r="R130" s="57">
        <f t="shared" si="213"/>
        <v>283523</v>
      </c>
      <c r="S130" s="62">
        <f t="shared" si="363"/>
        <v>17385.79700571033</v>
      </c>
      <c r="T130" s="2">
        <f t="shared" si="373"/>
        <v>103</v>
      </c>
      <c r="U130" s="57">
        <f t="shared" si="220"/>
        <v>143321</v>
      </c>
      <c r="V130" s="62">
        <f t="shared" si="366"/>
        <v>9147.1945895169592</v>
      </c>
      <c r="W130" s="2">
        <f t="shared" si="374"/>
        <v>102</v>
      </c>
      <c r="X130" s="57">
        <f t="shared" si="225"/>
        <v>227851</v>
      </c>
      <c r="Y130" s="62">
        <f t="shared" si="375"/>
        <v>15135.640591988165</v>
      </c>
      <c r="Z130" s="2">
        <f t="shared" si="376"/>
        <v>101</v>
      </c>
      <c r="AA130" s="57">
        <f t="shared" si="232"/>
        <v>238727</v>
      </c>
      <c r="AB130" s="62">
        <f t="shared" si="398"/>
        <v>16505.29106110692</v>
      </c>
      <c r="AC130" s="2">
        <f t="shared" si="377"/>
        <v>100</v>
      </c>
      <c r="AD130" s="57">
        <f t="shared" si="237"/>
        <v>250122</v>
      </c>
      <c r="AE130" s="62">
        <f t="shared" si="401"/>
        <v>17998.873256217332</v>
      </c>
      <c r="AF130" s="2">
        <f t="shared" si="378"/>
        <v>99</v>
      </c>
      <c r="AG130" s="57">
        <f t="shared" si="243"/>
        <v>262060</v>
      </c>
      <c r="AH130" s="62">
        <f t="shared" si="404"/>
        <v>19627.543206402443</v>
      </c>
      <c r="AI130" s="2">
        <f t="shared" si="379"/>
        <v>98</v>
      </c>
      <c r="AJ130" s="57">
        <f t="shared" si="250"/>
        <v>274569</v>
      </c>
      <c r="AK130" s="62">
        <f t="shared" si="407"/>
        <v>21403.681837570104</v>
      </c>
      <c r="AL130" s="2">
        <f t="shared" si="380"/>
        <v>97</v>
      </c>
      <c r="AM130" s="57">
        <f t="shared" si="254"/>
        <v>287675</v>
      </c>
      <c r="AN130" s="62">
        <f t="shared" si="410"/>
        <v>23340.539255508622</v>
      </c>
      <c r="AO130" s="2">
        <f t="shared" si="381"/>
        <v>96</v>
      </c>
      <c r="AP130" s="57">
        <f t="shared" si="260"/>
        <v>301406</v>
      </c>
      <c r="AQ130" s="62">
        <f t="shared" ref="AQ130:AQ161" si="414">SUM($G$10*$G$11*AP130*(EXP(-($G$10*AO130))),$G$10*$G$11*AP130*(EXP(-($G$10*(AO130+0.1)))),$G$10*$G$11*AP130*(EXP(-($G$10*(AO130+0.2)))),$G$10*$G$11*AP130*(EXP(-($G$10*(AO130+0.3)))),$G$10*$G$11*AP130*(EXP(-($G$10*(AO130+0.4)))),$G$10*$G$11*AP130*(EXP(-($G$10*(AO130+0.5)))),$G$10*$G$11*AP130*(EXP(-($G$10*(AO130+0.6)))),$G$10*$G$11*AP130*(EXP(-($G$10*(AO130+0.7)))),$G$10*$G$11*AP130*(EXP(-($G$10*(AO130+0.8)))),$G$10*$G$11*AP130*(EXP(-($G$10*(AO130+0.9)))))/10</f>
        <v>25452.616657381259</v>
      </c>
      <c r="AR130" s="2">
        <f t="shared" si="382"/>
        <v>95</v>
      </c>
      <c r="AS130" s="57">
        <f t="shared" si="265"/>
        <v>315793</v>
      </c>
      <c r="AT130" s="62">
        <f t="shared" si="266"/>
        <v>27755.868515750713</v>
      </c>
      <c r="AU130" s="2">
        <f t="shared" si="383"/>
        <v>94</v>
      </c>
      <c r="AV130" s="57">
        <f t="shared" si="271"/>
        <v>330866</v>
      </c>
      <c r="AW130" s="62">
        <f t="shared" si="272"/>
        <v>30267.478516263829</v>
      </c>
      <c r="AX130" s="2">
        <f t="shared" si="384"/>
        <v>93</v>
      </c>
      <c r="AY130" s="57">
        <f t="shared" si="277"/>
        <v>346659</v>
      </c>
      <c r="AZ130" s="62">
        <f t="shared" si="278"/>
        <v>33006.415381403553</v>
      </c>
      <c r="BA130" s="2">
        <f t="shared" si="385"/>
        <v>92</v>
      </c>
      <c r="BB130" s="57">
        <f t="shared" si="284"/>
        <v>363206</v>
      </c>
      <c r="BC130" s="62">
        <f t="shared" si="285"/>
        <v>35993.217813763302</v>
      </c>
      <c r="BD130" s="2">
        <f t="shared" si="386"/>
        <v>91</v>
      </c>
      <c r="BE130" s="57">
        <f t="shared" si="289"/>
        <v>380542</v>
      </c>
      <c r="BF130" s="62">
        <f t="shared" si="290"/>
        <v>39250.214630985931</v>
      </c>
      <c r="BG130" s="2">
        <f t="shared" si="387"/>
        <v>90</v>
      </c>
      <c r="BH130" s="57">
        <f t="shared" si="296"/>
        <v>398706</v>
      </c>
      <c r="BI130" s="62">
        <f t="shared" si="297"/>
        <v>42801.992849763577</v>
      </c>
      <c r="BJ130" s="2">
        <f t="shared" si="388"/>
        <v>89</v>
      </c>
      <c r="BK130" s="57">
        <f t="shared" si="300"/>
        <v>417737</v>
      </c>
      <c r="BL130" s="62">
        <f t="shared" si="301"/>
        <v>46675.173570843865</v>
      </c>
      <c r="BM130" s="2">
        <f t="shared" si="389"/>
        <v>88</v>
      </c>
      <c r="BN130" s="57">
        <f t="shared" si="304"/>
        <v>437677</v>
      </c>
      <c r="BO130" s="62">
        <f t="shared" si="305"/>
        <v>50898.912384691735</v>
      </c>
      <c r="BP130" s="2">
        <f t="shared" si="390"/>
        <v>87</v>
      </c>
      <c r="BQ130" s="57">
        <f t="shared" si="308"/>
        <v>458568</v>
      </c>
      <c r="BR130" s="62">
        <f t="shared" si="309"/>
        <v>55504.769313472803</v>
      </c>
      <c r="BS130" s="2">
        <f t="shared" si="391"/>
        <v>86</v>
      </c>
      <c r="BT130" s="57">
        <f t="shared" si="312"/>
        <v>480456</v>
      </c>
      <c r="BU130" s="62">
        <f t="shared" si="313"/>
        <v>60527.39141084424</v>
      </c>
      <c r="BV130" s="2">
        <f t="shared" si="392"/>
        <v>85</v>
      </c>
      <c r="BW130" s="57">
        <f t="shared" si="316"/>
        <v>503389</v>
      </c>
      <c r="BX130" s="62">
        <f t="shared" si="317"/>
        <v>66004.544207376239</v>
      </c>
      <c r="BY130" s="2">
        <f t="shared" si="393"/>
        <v>84</v>
      </c>
      <c r="BZ130" s="57">
        <f t="shared" si="320"/>
        <v>527417</v>
      </c>
      <c r="CA130" s="62">
        <f t="shared" si="321"/>
        <v>71977.377426153136</v>
      </c>
      <c r="CB130" s="2">
        <f t="shared" si="394"/>
        <v>83</v>
      </c>
      <c r="CC130" s="57">
        <f t="shared" si="324"/>
        <v>552592</v>
      </c>
      <c r="CD130" s="62">
        <f t="shared" si="325"/>
        <v>78490.71170809769</v>
      </c>
      <c r="CE130" s="2">
        <f t="shared" si="395"/>
        <v>82</v>
      </c>
      <c r="CF130" s="57">
        <f t="shared" si="328"/>
        <v>578968</v>
      </c>
      <c r="CG130" s="62">
        <f t="shared" si="329"/>
        <v>85593.347890965553</v>
      </c>
      <c r="CH130" s="2">
        <v>81</v>
      </c>
      <c r="CI130" s="57">
        <f t="shared" si="332"/>
        <v>606603</v>
      </c>
      <c r="CJ130" s="62">
        <f t="shared" si="333"/>
        <v>93338.708234686172</v>
      </c>
      <c r="CK130" s="2">
        <v>80</v>
      </c>
      <c r="CL130" s="57">
        <f t="shared" si="336"/>
        <v>635558</v>
      </c>
      <c r="CM130" s="62">
        <f t="shared" si="337"/>
        <v>101785.09851736012</v>
      </c>
      <c r="CN130" s="2">
        <v>79</v>
      </c>
      <c r="CO130" s="57">
        <f t="shared" si="340"/>
        <v>665894</v>
      </c>
      <c r="CP130" s="62">
        <f t="shared" si="341"/>
        <v>110995.63308314889</v>
      </c>
      <c r="CQ130" s="2">
        <v>78</v>
      </c>
      <c r="CR130" s="57">
        <f t="shared" si="344"/>
        <v>697679</v>
      </c>
      <c r="CS130" s="62">
        <f t="shared" si="345"/>
        <v>121039.80662021709</v>
      </c>
      <c r="CT130" s="2">
        <v>77</v>
      </c>
      <c r="CU130" s="57">
        <f t="shared" si="348"/>
        <v>730980</v>
      </c>
      <c r="CV130" s="62">
        <f t="shared" si="349"/>
        <v>131992.67911858301</v>
      </c>
      <c r="CW130" s="2">
        <v>76</v>
      </c>
      <c r="CX130" s="57">
        <f t="shared" si="352"/>
        <v>765871</v>
      </c>
      <c r="CY130" s="62">
        <f t="shared" si="353"/>
        <v>143936.77036797901</v>
      </c>
      <c r="CZ130" s="2">
        <v>75</v>
      </c>
      <c r="DA130" s="57">
        <f t="shared" si="196"/>
        <v>0</v>
      </c>
      <c r="DB130" s="62">
        <f t="shared" si="355"/>
        <v>0</v>
      </c>
      <c r="DC130" s="2">
        <v>74</v>
      </c>
      <c r="DD130" s="57">
        <f t="shared" si="202"/>
        <v>0</v>
      </c>
      <c r="DE130" s="62">
        <f t="shared" si="358"/>
        <v>0</v>
      </c>
      <c r="DF130" s="2">
        <v>73</v>
      </c>
      <c r="DG130" s="57">
        <f t="shared" si="209"/>
        <v>0</v>
      </c>
      <c r="DH130" s="62">
        <f t="shared" si="361"/>
        <v>0</v>
      </c>
      <c r="DI130" s="2">
        <v>72</v>
      </c>
      <c r="DJ130" s="57">
        <f t="shared" si="215"/>
        <v>0</v>
      </c>
      <c r="DK130" s="62">
        <f t="shared" si="364"/>
        <v>0</v>
      </c>
      <c r="DL130" s="2">
        <v>71</v>
      </c>
      <c r="DM130" s="57">
        <f t="shared" si="222"/>
        <v>0</v>
      </c>
      <c r="DN130" s="62">
        <f t="shared" si="367"/>
        <v>0</v>
      </c>
      <c r="DO130" s="2">
        <v>70</v>
      </c>
      <c r="DP130" s="57">
        <f t="shared" si="227"/>
        <v>0</v>
      </c>
      <c r="DQ130" s="62">
        <f t="shared" si="396"/>
        <v>0</v>
      </c>
      <c r="DR130" s="2">
        <v>69</v>
      </c>
      <c r="DS130" s="57">
        <f t="shared" si="234"/>
        <v>0</v>
      </c>
      <c r="DT130" s="62">
        <f t="shared" si="399"/>
        <v>0</v>
      </c>
      <c r="DU130" s="2">
        <v>68</v>
      </c>
      <c r="DV130" s="57">
        <f t="shared" si="239"/>
        <v>0</v>
      </c>
      <c r="DW130" s="62">
        <f t="shared" si="402"/>
        <v>0</v>
      </c>
      <c r="DX130" s="2">
        <v>67</v>
      </c>
      <c r="DY130" s="57">
        <f t="shared" si="245"/>
        <v>0</v>
      </c>
      <c r="DZ130" s="62">
        <f t="shared" si="405"/>
        <v>0</v>
      </c>
      <c r="EA130" s="2">
        <v>66</v>
      </c>
      <c r="EB130" s="57">
        <f t="shared" si="411"/>
        <v>0</v>
      </c>
      <c r="EC130" s="62">
        <f t="shared" si="408"/>
        <v>0</v>
      </c>
      <c r="ED130" s="2">
        <v>65</v>
      </c>
      <c r="EE130" s="57">
        <f t="shared" ref="EE130:EE163" si="415">$E$64</f>
        <v>0</v>
      </c>
      <c r="EF130" s="62">
        <f t="shared" si="412"/>
        <v>0</v>
      </c>
      <c r="EG130" s="2">
        <v>64</v>
      </c>
      <c r="EH130" s="57">
        <f t="shared" si="117"/>
        <v>0</v>
      </c>
      <c r="EI130" s="62">
        <f t="shared" ref="EI130:EI161" si="416">SUM($G$10*$G$11*EH130*(EXP(-($G$10*EG130))),$G$10*$G$11*EH130*(EXP(-($G$10*(EG130+0.1)))),$G$10*$G$11*EH130*(EXP(-($G$10*(EG130+0.2)))),$G$10*$G$11*EH130*(EXP(-($G$10*(EG130+0.3)))),$G$10*$G$11*EH130*(EXP(-($G$10*(EG130+0.4)))),$G$10*$G$11*EH130*(EXP(-($G$10*(EG130+0.5)))),$G$10*$G$11*EH130*(EXP(-($G$10*(EG130+0.6)))),$G$10*$G$11*EH130*(EXP(-($G$10*(EG130+0.7)))),$G$10*$G$11*EH130*(EXP(-($G$10*(EG130+0.8)))),$G$10*$G$11*EH130*(EXP(-($G$10*(EG130+0.9)))))/10</f>
        <v>0</v>
      </c>
      <c r="EJ130" s="2">
        <v>63</v>
      </c>
      <c r="EK130" s="57">
        <f t="shared" si="121"/>
        <v>0</v>
      </c>
      <c r="EL130" s="62">
        <f t="shared" si="267"/>
        <v>0</v>
      </c>
      <c r="EM130" s="2">
        <v>62</v>
      </c>
      <c r="EN130" s="57">
        <f t="shared" si="125"/>
        <v>0</v>
      </c>
      <c r="EO130" s="62">
        <f t="shared" si="273"/>
        <v>0</v>
      </c>
      <c r="EP130" s="2">
        <v>61</v>
      </c>
      <c r="EQ130" s="57">
        <f t="shared" si="129"/>
        <v>0</v>
      </c>
      <c r="ER130" s="62">
        <f t="shared" si="279"/>
        <v>0</v>
      </c>
      <c r="ES130" s="2">
        <v>60</v>
      </c>
      <c r="ET130" s="57">
        <f t="shared" si="130"/>
        <v>0</v>
      </c>
      <c r="EU130" s="62">
        <f t="shared" si="286"/>
        <v>0</v>
      </c>
      <c r="EV130" s="2">
        <v>59</v>
      </c>
      <c r="EW130" s="57">
        <f t="shared" si="134"/>
        <v>0</v>
      </c>
      <c r="EX130" s="62">
        <f t="shared" si="291"/>
        <v>0</v>
      </c>
      <c r="EY130" s="2">
        <v>58</v>
      </c>
      <c r="EZ130" s="57">
        <f t="shared" si="141"/>
        <v>0</v>
      </c>
      <c r="FA130" s="62">
        <f t="shared" si="298"/>
        <v>0</v>
      </c>
      <c r="FB130" s="2">
        <v>57</v>
      </c>
      <c r="FC130" s="57">
        <f t="shared" si="142"/>
        <v>0</v>
      </c>
      <c r="FD130" s="62">
        <f t="shared" si="302"/>
        <v>0</v>
      </c>
      <c r="FE130" s="2">
        <v>56</v>
      </c>
      <c r="FF130" s="57">
        <f t="shared" si="149"/>
        <v>0</v>
      </c>
      <c r="FG130" s="62">
        <f t="shared" si="306"/>
        <v>0</v>
      </c>
      <c r="FH130" s="2">
        <v>55</v>
      </c>
      <c r="FI130" s="57">
        <f t="shared" si="150"/>
        <v>0</v>
      </c>
      <c r="FJ130" s="62">
        <f t="shared" si="310"/>
        <v>0</v>
      </c>
      <c r="FK130" s="2">
        <v>54</v>
      </c>
      <c r="FL130" s="57">
        <f t="shared" si="157"/>
        <v>0</v>
      </c>
      <c r="FM130" s="62">
        <f t="shared" si="314"/>
        <v>0</v>
      </c>
      <c r="FN130" s="2">
        <v>53</v>
      </c>
      <c r="FO130" s="57">
        <f t="shared" si="158"/>
        <v>0</v>
      </c>
      <c r="FP130" s="62">
        <f t="shared" si="318"/>
        <v>0</v>
      </c>
      <c r="FQ130" s="2">
        <v>52</v>
      </c>
      <c r="FR130" s="57">
        <f t="shared" si="165"/>
        <v>0</v>
      </c>
      <c r="FS130" s="62">
        <f t="shared" si="322"/>
        <v>0</v>
      </c>
      <c r="FT130" s="2">
        <v>51</v>
      </c>
      <c r="FU130" s="57">
        <f t="shared" si="166"/>
        <v>0</v>
      </c>
      <c r="FV130" s="62">
        <f t="shared" si="326"/>
        <v>0</v>
      </c>
      <c r="FW130" s="2">
        <v>50</v>
      </c>
      <c r="FX130" s="57">
        <f t="shared" si="170"/>
        <v>0</v>
      </c>
      <c r="FY130" s="62">
        <f t="shared" si="330"/>
        <v>0</v>
      </c>
      <c r="FZ130" s="2">
        <v>49</v>
      </c>
      <c r="GA130" s="57">
        <f t="shared" si="177"/>
        <v>0</v>
      </c>
      <c r="GB130" s="62">
        <f t="shared" si="334"/>
        <v>0</v>
      </c>
      <c r="GC130" s="2">
        <v>48</v>
      </c>
      <c r="GD130" s="57">
        <f t="shared" si="178"/>
        <v>0</v>
      </c>
      <c r="GE130" s="62">
        <f t="shared" si="338"/>
        <v>0</v>
      </c>
      <c r="GF130" s="2">
        <v>47</v>
      </c>
      <c r="GG130" s="57">
        <f t="shared" si="185"/>
        <v>0</v>
      </c>
      <c r="GH130" s="62">
        <f t="shared" si="342"/>
        <v>0</v>
      </c>
      <c r="GI130" s="2">
        <v>46</v>
      </c>
      <c r="GJ130" s="57">
        <f t="shared" si="186"/>
        <v>0</v>
      </c>
      <c r="GK130" s="62">
        <f t="shared" si="346"/>
        <v>0</v>
      </c>
      <c r="GL130" s="2">
        <v>45</v>
      </c>
      <c r="GM130" s="57">
        <f t="shared" si="193"/>
        <v>0</v>
      </c>
      <c r="GN130" s="62">
        <f t="shared" si="350"/>
        <v>0</v>
      </c>
      <c r="GO130" s="2">
        <v>44</v>
      </c>
      <c r="GP130" s="57">
        <f t="shared" si="194"/>
        <v>0</v>
      </c>
      <c r="GQ130" s="62">
        <f t="shared" si="354"/>
        <v>0</v>
      </c>
      <c r="GR130" s="2">
        <v>43</v>
      </c>
      <c r="GS130" s="57">
        <f t="shared" si="204"/>
        <v>0</v>
      </c>
      <c r="GT130" s="62">
        <f t="shared" si="356"/>
        <v>0</v>
      </c>
      <c r="GU130" s="2">
        <v>42</v>
      </c>
      <c r="GV130" s="57">
        <f t="shared" si="205"/>
        <v>0</v>
      </c>
      <c r="GW130" s="62">
        <f t="shared" si="359"/>
        <v>0</v>
      </c>
      <c r="GX130" s="2">
        <v>41</v>
      </c>
      <c r="GY130" s="57">
        <f t="shared" si="217"/>
        <v>0</v>
      </c>
      <c r="GZ130" s="62">
        <f t="shared" si="362"/>
        <v>0</v>
      </c>
      <c r="HA130" s="2">
        <v>40</v>
      </c>
      <c r="HB130" s="57">
        <f t="shared" si="218"/>
        <v>0</v>
      </c>
      <c r="HC130" s="62">
        <f t="shared" si="365"/>
        <v>0</v>
      </c>
      <c r="HD130" s="2">
        <v>39</v>
      </c>
      <c r="HE130" s="57">
        <f t="shared" si="229"/>
        <v>0</v>
      </c>
      <c r="HF130" s="62">
        <f t="shared" si="368"/>
        <v>0</v>
      </c>
      <c r="HG130" s="2">
        <v>38</v>
      </c>
      <c r="HH130" s="57">
        <f t="shared" si="230"/>
        <v>0</v>
      </c>
      <c r="HI130" s="62">
        <f t="shared" si="397"/>
        <v>0</v>
      </c>
      <c r="HJ130" s="2">
        <v>37</v>
      </c>
      <c r="HK130" s="57">
        <f t="shared" si="241"/>
        <v>0</v>
      </c>
      <c r="HL130" s="62">
        <f t="shared" si="400"/>
        <v>0</v>
      </c>
      <c r="HM130" s="2">
        <v>36</v>
      </c>
      <c r="HN130" s="57">
        <f t="shared" si="247"/>
        <v>0</v>
      </c>
      <c r="HO130" s="62">
        <f t="shared" si="403"/>
        <v>0</v>
      </c>
      <c r="HP130" s="2">
        <v>35</v>
      </c>
      <c r="HQ130" s="57">
        <f t="shared" si="248"/>
        <v>0</v>
      </c>
      <c r="HR130" s="62">
        <f t="shared" si="406"/>
        <v>0</v>
      </c>
      <c r="HS130" s="2">
        <v>34</v>
      </c>
      <c r="HT130" s="57">
        <f t="shared" si="257"/>
        <v>0</v>
      </c>
      <c r="HU130" s="62">
        <f t="shared" si="409"/>
        <v>0</v>
      </c>
      <c r="HV130" s="2">
        <v>33</v>
      </c>
      <c r="HW130" s="57">
        <f t="shared" si="258"/>
        <v>0</v>
      </c>
      <c r="HX130" s="62">
        <f t="shared" si="413"/>
        <v>0</v>
      </c>
      <c r="HY130" s="2">
        <v>32</v>
      </c>
      <c r="HZ130" s="57">
        <f t="shared" si="268"/>
        <v>0</v>
      </c>
      <c r="IA130" s="62">
        <f t="shared" ref="IA130:IA161" si="417">SUM($G$10*$G$11*HZ130*(EXP(-($G$10*HY130))),$G$10*$G$11*HZ130*(EXP(-($G$10*(HY130+0.1)))),$G$10*$G$11*HZ130*(EXP(-($G$10*(HY130+0.2)))),$G$10*$G$11*HZ130*(EXP(-($G$10*(HY130+0.3)))),$G$10*$G$11*HZ130*(EXP(-($G$10*(HY130+0.4)))),$G$10*$G$11*HZ130*(EXP(-($G$10*(HY130+0.5)))),$G$10*$G$11*HZ130*(EXP(-($G$10*(HY130+0.6)))),$G$10*$G$11*HZ130*(EXP(-($G$10*(HY130+0.7)))),$G$10*$G$11*HZ130*(EXP(-($G$10*(HY130+0.8)))),$G$10*$G$11*HZ130*(EXP(-($G$10*(HY130+0.9)))))/10</f>
        <v>0</v>
      </c>
      <c r="IB130" s="2">
        <v>31</v>
      </c>
      <c r="IC130" s="57">
        <f t="shared" si="274"/>
        <v>0</v>
      </c>
      <c r="ID130" s="62">
        <f t="shared" si="269"/>
        <v>0</v>
      </c>
      <c r="IE130" s="2">
        <v>30</v>
      </c>
      <c r="IF130" s="57">
        <f t="shared" si="280"/>
        <v>0</v>
      </c>
      <c r="IG130" s="62">
        <f t="shared" si="275"/>
        <v>0</v>
      </c>
      <c r="IH130" s="2">
        <v>29</v>
      </c>
      <c r="II130" s="57">
        <f t="shared" si="281"/>
        <v>0</v>
      </c>
      <c r="IJ130" s="62">
        <f t="shared" si="282"/>
        <v>0</v>
      </c>
      <c r="IK130" s="2">
        <v>28</v>
      </c>
      <c r="IL130" s="57">
        <f t="shared" si="292"/>
        <v>0</v>
      </c>
      <c r="IM130" s="62">
        <f t="shared" si="287"/>
        <v>0</v>
      </c>
      <c r="IN130" s="2">
        <v>27</v>
      </c>
      <c r="IO130" s="57">
        <f t="shared" si="293"/>
        <v>0</v>
      </c>
      <c r="IP130" s="62">
        <f t="shared" si="294"/>
        <v>0</v>
      </c>
    </row>
    <row r="131" spans="7:250">
      <c r="G131" s="284"/>
      <c r="H131" s="284"/>
      <c r="I131" s="2">
        <f t="shared" si="369"/>
        <v>2126</v>
      </c>
      <c r="J131" s="379">
        <f t="shared" si="264"/>
        <v>1558234.9459193142</v>
      </c>
      <c r="K131" s="2">
        <f t="shared" si="370"/>
        <v>107</v>
      </c>
      <c r="L131" s="57">
        <f t="shared" si="200"/>
        <v>189082</v>
      </c>
      <c r="M131" s="62">
        <f t="shared" si="357"/>
        <v>10283.504880819162</v>
      </c>
      <c r="N131" s="2">
        <f t="shared" si="371"/>
        <v>106</v>
      </c>
      <c r="O131" s="57">
        <f t="shared" si="207"/>
        <v>293489</v>
      </c>
      <c r="P131" s="62">
        <f t="shared" si="360"/>
        <v>16613.249175060711</v>
      </c>
      <c r="Q131" s="2">
        <f t="shared" si="372"/>
        <v>105</v>
      </c>
      <c r="R131" s="57">
        <f t="shared" si="213"/>
        <v>283523</v>
      </c>
      <c r="S131" s="62">
        <f t="shared" si="363"/>
        <v>16704.090154332571</v>
      </c>
      <c r="T131" s="2">
        <f t="shared" si="373"/>
        <v>104</v>
      </c>
      <c r="U131" s="57">
        <f t="shared" si="220"/>
        <v>143321</v>
      </c>
      <c r="V131" s="62">
        <f t="shared" si="366"/>
        <v>8788.5279594791609</v>
      </c>
      <c r="W131" s="2">
        <f t="shared" si="374"/>
        <v>103</v>
      </c>
      <c r="X131" s="57">
        <f t="shared" si="225"/>
        <v>227851</v>
      </c>
      <c r="Y131" s="62">
        <f t="shared" si="375"/>
        <v>14542.163635587445</v>
      </c>
      <c r="Z131" s="2">
        <f t="shared" si="376"/>
        <v>102</v>
      </c>
      <c r="AA131" s="57">
        <f t="shared" si="232"/>
        <v>238727</v>
      </c>
      <c r="AB131" s="62">
        <f t="shared" si="398"/>
        <v>15858.109341646772</v>
      </c>
      <c r="AC131" s="2">
        <f t="shared" si="377"/>
        <v>101</v>
      </c>
      <c r="AD131" s="57">
        <f t="shared" si="237"/>
        <v>250122</v>
      </c>
      <c r="AE131" s="62">
        <f t="shared" si="401"/>
        <v>17293.127341214797</v>
      </c>
      <c r="AF131" s="2">
        <f t="shared" si="378"/>
        <v>100</v>
      </c>
      <c r="AG131" s="57">
        <f t="shared" si="243"/>
        <v>262060</v>
      </c>
      <c r="AH131" s="62">
        <f t="shared" si="404"/>
        <v>18857.936229217397</v>
      </c>
      <c r="AI131" s="2">
        <f t="shared" si="379"/>
        <v>99</v>
      </c>
      <c r="AJ131" s="57">
        <f t="shared" si="250"/>
        <v>274569</v>
      </c>
      <c r="AK131" s="62">
        <f t="shared" si="407"/>
        <v>20564.431468513747</v>
      </c>
      <c r="AL131" s="2">
        <f t="shared" si="380"/>
        <v>98</v>
      </c>
      <c r="AM131" s="57">
        <f t="shared" si="254"/>
        <v>287675</v>
      </c>
      <c r="AN131" s="62">
        <f t="shared" si="410"/>
        <v>22425.34362081291</v>
      </c>
      <c r="AO131" s="2">
        <f t="shared" si="381"/>
        <v>97</v>
      </c>
      <c r="AP131" s="57">
        <f t="shared" si="260"/>
        <v>301406</v>
      </c>
      <c r="AQ131" s="62">
        <f t="shared" si="414"/>
        <v>24454.605283204419</v>
      </c>
      <c r="AR131" s="2">
        <f t="shared" si="382"/>
        <v>96</v>
      </c>
      <c r="AS131" s="57">
        <f t="shared" si="265"/>
        <v>315793</v>
      </c>
      <c r="AT131" s="62">
        <f t="shared" ref="AT131:AT162" si="418">SUM($G$10*$G$11*AS131*(EXP(-($G$10*AR131))),$G$10*$G$11*AS131*(EXP(-($G$10*(AR131+0.1)))),$G$10*$G$11*AS131*(EXP(-($G$10*(AR131+0.2)))),$G$10*$G$11*AS131*(EXP(-($G$10*(AR131+0.3)))),$G$10*$G$11*AS131*(EXP(-($G$10*(AR131+0.4)))),$G$10*$G$11*AS131*(EXP(-($G$10*(AR131+0.5)))),$G$10*$G$11*AS131*(EXP(-($G$10*(AR131+0.6)))),$G$10*$G$11*AS131*(EXP(-($G$10*(AR131+0.7)))),$G$10*$G$11*AS131*(EXP(-($G$10*(AR131+0.8)))),$G$10*$G$11*AS131*(EXP(-($G$10*(AR131+0.9)))))/10</f>
        <v>26667.545344433755</v>
      </c>
      <c r="AU131" s="2">
        <f t="shared" si="383"/>
        <v>95</v>
      </c>
      <c r="AV131" s="57">
        <f t="shared" si="271"/>
        <v>330866</v>
      </c>
      <c r="AW131" s="62">
        <f t="shared" si="272"/>
        <v>29080.673708196111</v>
      </c>
      <c r="AX131" s="2">
        <f t="shared" si="384"/>
        <v>94</v>
      </c>
      <c r="AY131" s="57">
        <f t="shared" si="277"/>
        <v>346659</v>
      </c>
      <c r="AZ131" s="62">
        <f t="shared" si="278"/>
        <v>31712.215322727337</v>
      </c>
      <c r="BA131" s="2">
        <f t="shared" si="385"/>
        <v>93</v>
      </c>
      <c r="BB131" s="57">
        <f t="shared" si="284"/>
        <v>363206</v>
      </c>
      <c r="BC131" s="62">
        <f t="shared" si="285"/>
        <v>34581.903556573059</v>
      </c>
      <c r="BD131" s="2">
        <f t="shared" si="386"/>
        <v>92</v>
      </c>
      <c r="BE131" s="57">
        <f t="shared" si="289"/>
        <v>380542</v>
      </c>
      <c r="BF131" s="62">
        <f t="shared" si="290"/>
        <v>37711.191701913289</v>
      </c>
      <c r="BG131" s="2">
        <f t="shared" si="387"/>
        <v>91</v>
      </c>
      <c r="BH131" s="57">
        <f t="shared" si="296"/>
        <v>398706</v>
      </c>
      <c r="BI131" s="62">
        <f t="shared" si="297"/>
        <v>41123.702704726093</v>
      </c>
      <c r="BJ131" s="2">
        <f t="shared" si="388"/>
        <v>90</v>
      </c>
      <c r="BK131" s="57">
        <f t="shared" si="300"/>
        <v>417737</v>
      </c>
      <c r="BL131" s="62">
        <f t="shared" si="301"/>
        <v>44845.013837468425</v>
      </c>
      <c r="BM131" s="2">
        <f t="shared" si="389"/>
        <v>89</v>
      </c>
      <c r="BN131" s="57">
        <f t="shared" si="304"/>
        <v>437677</v>
      </c>
      <c r="BO131" s="62">
        <f t="shared" si="305"/>
        <v>48903.137483551211</v>
      </c>
      <c r="BP131" s="2">
        <f t="shared" si="390"/>
        <v>88</v>
      </c>
      <c r="BQ131" s="57">
        <f t="shared" si="308"/>
        <v>458568</v>
      </c>
      <c r="BR131" s="62">
        <f t="shared" si="309"/>
        <v>53328.396178970615</v>
      </c>
      <c r="BS131" s="2">
        <f t="shared" si="391"/>
        <v>87</v>
      </c>
      <c r="BT131" s="57">
        <f t="shared" si="312"/>
        <v>480456</v>
      </c>
      <c r="BU131" s="62">
        <f t="shared" si="313"/>
        <v>58154.078446978179</v>
      </c>
      <c r="BV131" s="2">
        <f t="shared" si="392"/>
        <v>86</v>
      </c>
      <c r="BW131" s="57">
        <f t="shared" si="316"/>
        <v>503389</v>
      </c>
      <c r="BX131" s="62">
        <f t="shared" si="317"/>
        <v>63416.46901050974</v>
      </c>
      <c r="BY131" s="2">
        <f t="shared" si="393"/>
        <v>85</v>
      </c>
      <c r="BZ131" s="57">
        <f t="shared" si="320"/>
        <v>527417</v>
      </c>
      <c r="CA131" s="62">
        <f t="shared" si="321"/>
        <v>69155.104088928754</v>
      </c>
      <c r="CB131" s="2">
        <f t="shared" si="394"/>
        <v>84</v>
      </c>
      <c r="CC131" s="57">
        <f t="shared" si="324"/>
        <v>552592</v>
      </c>
      <c r="CD131" s="62">
        <f t="shared" si="325"/>
        <v>75413.046880689872</v>
      </c>
      <c r="CE131" s="2">
        <f t="shared" si="395"/>
        <v>83</v>
      </c>
      <c r="CF131" s="57">
        <f t="shared" si="328"/>
        <v>578968</v>
      </c>
      <c r="CG131" s="62">
        <f t="shared" si="329"/>
        <v>82237.184715330484</v>
      </c>
      <c r="CH131" s="2">
        <v>82</v>
      </c>
      <c r="CI131" s="57">
        <f t="shared" si="332"/>
        <v>606603</v>
      </c>
      <c r="CJ131" s="62">
        <f t="shared" si="333"/>
        <v>89678.845136006435</v>
      </c>
      <c r="CK131" s="2">
        <v>81</v>
      </c>
      <c r="CL131" s="57">
        <f t="shared" si="336"/>
        <v>635558</v>
      </c>
      <c r="CM131" s="62">
        <f t="shared" si="337"/>
        <v>97794.047718558388</v>
      </c>
      <c r="CN131" s="2">
        <v>80</v>
      </c>
      <c r="CO131" s="57">
        <f t="shared" si="340"/>
        <v>665894</v>
      </c>
      <c r="CP131" s="62">
        <f t="shared" si="341"/>
        <v>106643.43205831568</v>
      </c>
      <c r="CQ131" s="2">
        <v>79</v>
      </c>
      <c r="CR131" s="57">
        <f t="shared" si="344"/>
        <v>697679</v>
      </c>
      <c r="CS131" s="62">
        <f t="shared" si="345"/>
        <v>116293.76791774403</v>
      </c>
      <c r="CT131" s="2">
        <v>78</v>
      </c>
      <c r="CU131" s="57">
        <f t="shared" si="348"/>
        <v>730980</v>
      </c>
      <c r="CV131" s="62">
        <f t="shared" si="349"/>
        <v>126817.17214255594</v>
      </c>
      <c r="CW131" s="2">
        <v>77</v>
      </c>
      <c r="CX131" s="57">
        <f t="shared" si="352"/>
        <v>765871</v>
      </c>
      <c r="CY131" s="62">
        <f t="shared" si="353"/>
        <v>138292.92887524731</v>
      </c>
      <c r="CZ131" s="2">
        <v>76</v>
      </c>
      <c r="DA131" s="57">
        <f t="shared" si="196"/>
        <v>0</v>
      </c>
      <c r="DB131" s="62">
        <f t="shared" si="355"/>
        <v>0</v>
      </c>
      <c r="DC131" s="2">
        <v>75</v>
      </c>
      <c r="DD131" s="57">
        <f t="shared" si="202"/>
        <v>0</v>
      </c>
      <c r="DE131" s="62">
        <f t="shared" si="358"/>
        <v>0</v>
      </c>
      <c r="DF131" s="2">
        <v>74</v>
      </c>
      <c r="DG131" s="57">
        <f t="shared" si="209"/>
        <v>0</v>
      </c>
      <c r="DH131" s="62">
        <f t="shared" si="361"/>
        <v>0</v>
      </c>
      <c r="DI131" s="2">
        <v>73</v>
      </c>
      <c r="DJ131" s="57">
        <f t="shared" si="215"/>
        <v>0</v>
      </c>
      <c r="DK131" s="62">
        <f t="shared" si="364"/>
        <v>0</v>
      </c>
      <c r="DL131" s="2">
        <v>72</v>
      </c>
      <c r="DM131" s="57">
        <f t="shared" si="222"/>
        <v>0</v>
      </c>
      <c r="DN131" s="62">
        <f t="shared" si="367"/>
        <v>0</v>
      </c>
      <c r="DO131" s="2">
        <v>71</v>
      </c>
      <c r="DP131" s="57">
        <f t="shared" si="227"/>
        <v>0</v>
      </c>
      <c r="DQ131" s="62">
        <f t="shared" si="396"/>
        <v>0</v>
      </c>
      <c r="DR131" s="2">
        <v>70</v>
      </c>
      <c r="DS131" s="57">
        <f t="shared" si="234"/>
        <v>0</v>
      </c>
      <c r="DT131" s="62">
        <f t="shared" si="399"/>
        <v>0</v>
      </c>
      <c r="DU131" s="2">
        <v>69</v>
      </c>
      <c r="DV131" s="57">
        <f t="shared" si="239"/>
        <v>0</v>
      </c>
      <c r="DW131" s="62">
        <f t="shared" si="402"/>
        <v>0</v>
      </c>
      <c r="DX131" s="2">
        <v>68</v>
      </c>
      <c r="DY131" s="57">
        <f t="shared" si="245"/>
        <v>0</v>
      </c>
      <c r="DZ131" s="62">
        <f t="shared" si="405"/>
        <v>0</v>
      </c>
      <c r="EA131" s="2">
        <v>67</v>
      </c>
      <c r="EB131" s="57">
        <f t="shared" si="411"/>
        <v>0</v>
      </c>
      <c r="EC131" s="62">
        <f t="shared" si="408"/>
        <v>0</v>
      </c>
      <c r="ED131" s="2">
        <v>66</v>
      </c>
      <c r="EE131" s="57">
        <f t="shared" si="415"/>
        <v>0</v>
      </c>
      <c r="EF131" s="62">
        <f t="shared" si="412"/>
        <v>0</v>
      </c>
      <c r="EG131" s="2">
        <v>65</v>
      </c>
      <c r="EH131" s="57">
        <f t="shared" ref="EH131:EH163" si="419">$E$65</f>
        <v>0</v>
      </c>
      <c r="EI131" s="62">
        <f t="shared" si="416"/>
        <v>0</v>
      </c>
      <c r="EJ131" s="2">
        <v>64</v>
      </c>
      <c r="EK131" s="57">
        <f t="shared" si="121"/>
        <v>0</v>
      </c>
      <c r="EL131" s="62">
        <f t="shared" ref="EL131:EL162" si="420">SUM($G$10*$G$11*EK131*(EXP(-($G$10*EJ131))),$G$10*$G$11*EK131*(EXP(-($G$10*(EJ131+0.1)))),$G$10*$G$11*EK131*(EXP(-($G$10*(EJ131+0.2)))),$G$10*$G$11*EK131*(EXP(-($G$10*(EJ131+0.3)))),$G$10*$G$11*EK131*(EXP(-($G$10*(EJ131+0.4)))),$G$10*$G$11*EK131*(EXP(-($G$10*(EJ131+0.5)))),$G$10*$G$11*EK131*(EXP(-($G$10*(EJ131+0.6)))),$G$10*$G$11*EK131*(EXP(-($G$10*(EJ131+0.7)))),$G$10*$G$11*EK131*(EXP(-($G$10*(EJ131+0.8)))),$G$10*$G$11*EK131*(EXP(-($G$10*(EJ131+0.9)))))/10</f>
        <v>0</v>
      </c>
      <c r="EM131" s="2">
        <v>63</v>
      </c>
      <c r="EN131" s="57">
        <f t="shared" si="125"/>
        <v>0</v>
      </c>
      <c r="EO131" s="62">
        <f t="shared" si="273"/>
        <v>0</v>
      </c>
      <c r="EP131" s="2">
        <v>62</v>
      </c>
      <c r="EQ131" s="57">
        <f t="shared" si="129"/>
        <v>0</v>
      </c>
      <c r="ER131" s="62">
        <f t="shared" si="279"/>
        <v>0</v>
      </c>
      <c r="ES131" s="2">
        <v>61</v>
      </c>
      <c r="ET131" s="57">
        <f t="shared" si="130"/>
        <v>0</v>
      </c>
      <c r="EU131" s="62">
        <f t="shared" si="286"/>
        <v>0</v>
      </c>
      <c r="EV131" s="2">
        <v>60</v>
      </c>
      <c r="EW131" s="57">
        <f t="shared" si="134"/>
        <v>0</v>
      </c>
      <c r="EX131" s="62">
        <f t="shared" si="291"/>
        <v>0</v>
      </c>
      <c r="EY131" s="2">
        <v>59</v>
      </c>
      <c r="EZ131" s="57">
        <f t="shared" si="141"/>
        <v>0</v>
      </c>
      <c r="FA131" s="62">
        <f t="shared" si="298"/>
        <v>0</v>
      </c>
      <c r="FB131" s="2">
        <v>58</v>
      </c>
      <c r="FC131" s="57">
        <f t="shared" si="142"/>
        <v>0</v>
      </c>
      <c r="FD131" s="62">
        <f t="shared" si="302"/>
        <v>0</v>
      </c>
      <c r="FE131" s="2">
        <v>57</v>
      </c>
      <c r="FF131" s="57">
        <f t="shared" si="149"/>
        <v>0</v>
      </c>
      <c r="FG131" s="62">
        <f t="shared" si="306"/>
        <v>0</v>
      </c>
      <c r="FH131" s="2">
        <v>56</v>
      </c>
      <c r="FI131" s="57">
        <f t="shared" si="150"/>
        <v>0</v>
      </c>
      <c r="FJ131" s="62">
        <f t="shared" si="310"/>
        <v>0</v>
      </c>
      <c r="FK131" s="2">
        <v>55</v>
      </c>
      <c r="FL131" s="57">
        <f t="shared" si="157"/>
        <v>0</v>
      </c>
      <c r="FM131" s="62">
        <f t="shared" si="314"/>
        <v>0</v>
      </c>
      <c r="FN131" s="2">
        <v>54</v>
      </c>
      <c r="FO131" s="57">
        <f t="shared" si="158"/>
        <v>0</v>
      </c>
      <c r="FP131" s="62">
        <f t="shared" si="318"/>
        <v>0</v>
      </c>
      <c r="FQ131" s="2">
        <v>53</v>
      </c>
      <c r="FR131" s="57">
        <f t="shared" si="165"/>
        <v>0</v>
      </c>
      <c r="FS131" s="62">
        <f t="shared" si="322"/>
        <v>0</v>
      </c>
      <c r="FT131" s="2">
        <v>52</v>
      </c>
      <c r="FU131" s="57">
        <f t="shared" si="166"/>
        <v>0</v>
      </c>
      <c r="FV131" s="62">
        <f t="shared" si="326"/>
        <v>0</v>
      </c>
      <c r="FW131" s="2">
        <v>51</v>
      </c>
      <c r="FX131" s="57">
        <f t="shared" si="170"/>
        <v>0</v>
      </c>
      <c r="FY131" s="62">
        <f t="shared" si="330"/>
        <v>0</v>
      </c>
      <c r="FZ131" s="2">
        <v>50</v>
      </c>
      <c r="GA131" s="57">
        <f t="shared" si="177"/>
        <v>0</v>
      </c>
      <c r="GB131" s="62">
        <f t="shared" si="334"/>
        <v>0</v>
      </c>
      <c r="GC131" s="2">
        <v>49</v>
      </c>
      <c r="GD131" s="57">
        <f t="shared" si="178"/>
        <v>0</v>
      </c>
      <c r="GE131" s="62">
        <f t="shared" si="338"/>
        <v>0</v>
      </c>
      <c r="GF131" s="2">
        <v>48</v>
      </c>
      <c r="GG131" s="57">
        <f t="shared" si="185"/>
        <v>0</v>
      </c>
      <c r="GH131" s="62">
        <f t="shared" si="342"/>
        <v>0</v>
      </c>
      <c r="GI131" s="2">
        <v>47</v>
      </c>
      <c r="GJ131" s="57">
        <f t="shared" si="186"/>
        <v>0</v>
      </c>
      <c r="GK131" s="62">
        <f t="shared" si="346"/>
        <v>0</v>
      </c>
      <c r="GL131" s="2">
        <v>46</v>
      </c>
      <c r="GM131" s="57">
        <f t="shared" si="193"/>
        <v>0</v>
      </c>
      <c r="GN131" s="62">
        <f t="shared" si="350"/>
        <v>0</v>
      </c>
      <c r="GO131" s="2">
        <v>45</v>
      </c>
      <c r="GP131" s="57">
        <f t="shared" si="194"/>
        <v>0</v>
      </c>
      <c r="GQ131" s="62">
        <f t="shared" si="354"/>
        <v>0</v>
      </c>
      <c r="GR131" s="2">
        <v>44</v>
      </c>
      <c r="GS131" s="57">
        <f t="shared" si="204"/>
        <v>0</v>
      </c>
      <c r="GT131" s="62">
        <f t="shared" si="356"/>
        <v>0</v>
      </c>
      <c r="GU131" s="2">
        <v>43</v>
      </c>
      <c r="GV131" s="57">
        <f t="shared" si="205"/>
        <v>0</v>
      </c>
      <c r="GW131" s="62">
        <f t="shared" si="359"/>
        <v>0</v>
      </c>
      <c r="GX131" s="2">
        <v>42</v>
      </c>
      <c r="GY131" s="57">
        <f t="shared" si="217"/>
        <v>0</v>
      </c>
      <c r="GZ131" s="62">
        <f t="shared" si="362"/>
        <v>0</v>
      </c>
      <c r="HA131" s="2">
        <v>41</v>
      </c>
      <c r="HB131" s="57">
        <f t="shared" si="218"/>
        <v>0</v>
      </c>
      <c r="HC131" s="62">
        <f t="shared" si="365"/>
        <v>0</v>
      </c>
      <c r="HD131" s="2">
        <v>40</v>
      </c>
      <c r="HE131" s="57">
        <f t="shared" si="229"/>
        <v>0</v>
      </c>
      <c r="HF131" s="62">
        <f t="shared" si="368"/>
        <v>0</v>
      </c>
      <c r="HG131" s="2">
        <v>39</v>
      </c>
      <c r="HH131" s="57">
        <f t="shared" si="230"/>
        <v>0</v>
      </c>
      <c r="HI131" s="62">
        <f t="shared" si="397"/>
        <v>0</v>
      </c>
      <c r="HJ131" s="2">
        <v>38</v>
      </c>
      <c r="HK131" s="57">
        <f t="shared" si="241"/>
        <v>0</v>
      </c>
      <c r="HL131" s="62">
        <f t="shared" si="400"/>
        <v>0</v>
      </c>
      <c r="HM131" s="2">
        <v>37</v>
      </c>
      <c r="HN131" s="57">
        <f t="shared" si="247"/>
        <v>0</v>
      </c>
      <c r="HO131" s="62">
        <f t="shared" si="403"/>
        <v>0</v>
      </c>
      <c r="HP131" s="2">
        <v>36</v>
      </c>
      <c r="HQ131" s="57">
        <f t="shared" si="248"/>
        <v>0</v>
      </c>
      <c r="HR131" s="62">
        <f t="shared" si="406"/>
        <v>0</v>
      </c>
      <c r="HS131" s="2">
        <v>35</v>
      </c>
      <c r="HT131" s="57">
        <f t="shared" si="257"/>
        <v>0</v>
      </c>
      <c r="HU131" s="62">
        <f t="shared" si="409"/>
        <v>0</v>
      </c>
      <c r="HV131" s="2">
        <v>34</v>
      </c>
      <c r="HW131" s="57">
        <f t="shared" si="258"/>
        <v>0</v>
      </c>
      <c r="HX131" s="62">
        <f t="shared" si="413"/>
        <v>0</v>
      </c>
      <c r="HY131" s="2">
        <v>33</v>
      </c>
      <c r="HZ131" s="57">
        <f t="shared" si="268"/>
        <v>0</v>
      </c>
      <c r="IA131" s="62">
        <f t="shared" si="417"/>
        <v>0</v>
      </c>
      <c r="IB131" s="2">
        <v>32</v>
      </c>
      <c r="IC131" s="57">
        <f t="shared" si="274"/>
        <v>0</v>
      </c>
      <c r="ID131" s="62">
        <f t="shared" ref="ID131:ID162" si="421">SUM($G$10*$G$11*IC131*(EXP(-($G$10*IB131))),$G$10*$G$11*IC131*(EXP(-($G$10*(IB131+0.1)))),$G$10*$G$11*IC131*(EXP(-($G$10*(IB131+0.2)))),$G$10*$G$11*IC131*(EXP(-($G$10*(IB131+0.3)))),$G$10*$G$11*IC131*(EXP(-($G$10*(IB131+0.4)))),$G$10*$G$11*IC131*(EXP(-($G$10*(IB131+0.5)))),$G$10*$G$11*IC131*(EXP(-($G$10*(IB131+0.6)))),$G$10*$G$11*IC131*(EXP(-($G$10*(IB131+0.7)))),$G$10*$G$11*IC131*(EXP(-($G$10*(IB131+0.8)))),$G$10*$G$11*IC131*(EXP(-($G$10*(IB131+0.9)))))/10</f>
        <v>0</v>
      </c>
      <c r="IE131" s="2">
        <v>31</v>
      </c>
      <c r="IF131" s="57">
        <f t="shared" si="280"/>
        <v>0</v>
      </c>
      <c r="IG131" s="62">
        <f t="shared" si="275"/>
        <v>0</v>
      </c>
      <c r="IH131" s="2">
        <v>30</v>
      </c>
      <c r="II131" s="57">
        <f t="shared" si="281"/>
        <v>0</v>
      </c>
      <c r="IJ131" s="62">
        <f t="shared" si="282"/>
        <v>0</v>
      </c>
      <c r="IK131" s="2">
        <v>29</v>
      </c>
      <c r="IL131" s="57">
        <f t="shared" si="292"/>
        <v>0</v>
      </c>
      <c r="IM131" s="62">
        <f t="shared" si="287"/>
        <v>0</v>
      </c>
      <c r="IN131" s="2">
        <v>28</v>
      </c>
      <c r="IO131" s="57">
        <f t="shared" si="293"/>
        <v>0</v>
      </c>
      <c r="IP131" s="62">
        <f t="shared" si="294"/>
        <v>0</v>
      </c>
    </row>
    <row r="132" spans="7:250">
      <c r="G132" s="284"/>
      <c r="H132" s="284"/>
      <c r="I132" s="2">
        <f t="shared" si="369"/>
        <v>2127</v>
      </c>
      <c r="J132" s="379">
        <f t="shared" si="264"/>
        <v>1497135.6797573685</v>
      </c>
      <c r="K132" s="2">
        <f t="shared" si="370"/>
        <v>108</v>
      </c>
      <c r="L132" s="57">
        <f t="shared" si="200"/>
        <v>189082</v>
      </c>
      <c r="M132" s="62">
        <f t="shared" si="357"/>
        <v>9880.2828869624209</v>
      </c>
      <c r="N132" s="2">
        <f t="shared" si="371"/>
        <v>107</v>
      </c>
      <c r="O132" s="57">
        <f t="shared" si="207"/>
        <v>293489</v>
      </c>
      <c r="P132" s="62">
        <f t="shared" si="360"/>
        <v>15961.834357404377</v>
      </c>
      <c r="Q132" s="2">
        <f t="shared" si="372"/>
        <v>106</v>
      </c>
      <c r="R132" s="57">
        <f t="shared" si="213"/>
        <v>283523</v>
      </c>
      <c r="S132" s="62">
        <f t="shared" si="363"/>
        <v>16049.113410931037</v>
      </c>
      <c r="T132" s="2">
        <f t="shared" si="373"/>
        <v>105</v>
      </c>
      <c r="U132" s="57">
        <f t="shared" si="220"/>
        <v>143321</v>
      </c>
      <c r="V132" s="62">
        <f t="shared" si="366"/>
        <v>8443.9248491624967</v>
      </c>
      <c r="W132" s="2">
        <f t="shared" si="374"/>
        <v>104</v>
      </c>
      <c r="X132" s="57">
        <f t="shared" si="225"/>
        <v>227851</v>
      </c>
      <c r="Y132" s="62">
        <f t="shared" si="375"/>
        <v>13971.957243497371</v>
      </c>
      <c r="Z132" s="2">
        <f t="shared" si="376"/>
        <v>103</v>
      </c>
      <c r="AA132" s="57">
        <f t="shared" si="232"/>
        <v>238727</v>
      </c>
      <c r="AB132" s="62">
        <f t="shared" si="398"/>
        <v>15236.303980377019</v>
      </c>
      <c r="AC132" s="2">
        <f t="shared" si="377"/>
        <v>102</v>
      </c>
      <c r="AD132" s="57">
        <f t="shared" si="237"/>
        <v>250122</v>
      </c>
      <c r="AE132" s="62">
        <f t="shared" si="401"/>
        <v>16615.054119355475</v>
      </c>
      <c r="AF132" s="2">
        <f t="shared" si="378"/>
        <v>101</v>
      </c>
      <c r="AG132" s="57">
        <f t="shared" si="243"/>
        <v>262060</v>
      </c>
      <c r="AH132" s="62">
        <f t="shared" si="404"/>
        <v>18118.505973240059</v>
      </c>
      <c r="AI132" s="2">
        <f t="shared" si="379"/>
        <v>100</v>
      </c>
      <c r="AJ132" s="57">
        <f t="shared" si="250"/>
        <v>274569</v>
      </c>
      <c r="AK132" s="62">
        <f t="shared" si="407"/>
        <v>19758.088577119714</v>
      </c>
      <c r="AL132" s="2">
        <f t="shared" si="380"/>
        <v>99</v>
      </c>
      <c r="AM132" s="57">
        <f t="shared" si="254"/>
        <v>287675</v>
      </c>
      <c r="AN132" s="62">
        <f t="shared" si="410"/>
        <v>21546.033320238967</v>
      </c>
      <c r="AO132" s="2">
        <f t="shared" si="381"/>
        <v>98</v>
      </c>
      <c r="AP132" s="57">
        <f t="shared" si="260"/>
        <v>301406</v>
      </c>
      <c r="AQ132" s="62">
        <f t="shared" si="414"/>
        <v>23495.726494741411</v>
      </c>
      <c r="AR132" s="2">
        <f t="shared" si="382"/>
        <v>97</v>
      </c>
      <c r="AS132" s="57">
        <f t="shared" si="265"/>
        <v>315793</v>
      </c>
      <c r="AT132" s="62">
        <f t="shared" si="418"/>
        <v>25621.895935047651</v>
      </c>
      <c r="AU132" s="2">
        <f t="shared" si="383"/>
        <v>96</v>
      </c>
      <c r="AV132" s="57">
        <f t="shared" si="271"/>
        <v>330866</v>
      </c>
      <c r="AW132" s="62">
        <f t="shared" ref="AW132:AW163" si="422">SUM($G$10*$G$11*AV132*(EXP(-($G$10*AU132))),$G$10*$G$11*AV132*(EXP(-($G$10*(AU132+0.1)))),$G$10*$G$11*AV132*(EXP(-($G$10*(AU132+0.2)))),$G$10*$G$11*AV132*(EXP(-($G$10*(AU132+0.3)))),$G$10*$G$11*AV132*(EXP(-($G$10*(AU132+0.4)))),$G$10*$G$11*AV132*(EXP(-($G$10*(AU132+0.5)))),$G$10*$G$11*AV132*(EXP(-($G$10*(AU132+0.6)))),$G$10*$G$11*AV132*(EXP(-($G$10*(AU132+0.7)))),$G$10*$G$11*AV132*(EXP(-($G$10*(AU132+0.8)))),$G$10*$G$11*AV132*(EXP(-($G$10*(AU132+0.9)))))/10</f>
        <v>27940.404182269453</v>
      </c>
      <c r="AX132" s="2">
        <f t="shared" si="384"/>
        <v>95</v>
      </c>
      <c r="AY132" s="57">
        <f t="shared" si="277"/>
        <v>346659</v>
      </c>
      <c r="AZ132" s="62">
        <f t="shared" si="278"/>
        <v>30468.761574200907</v>
      </c>
      <c r="BA132" s="2">
        <f t="shared" si="385"/>
        <v>94</v>
      </c>
      <c r="BB132" s="57">
        <f t="shared" si="284"/>
        <v>363206</v>
      </c>
      <c r="BC132" s="62">
        <f t="shared" si="285"/>
        <v>33225.927722939559</v>
      </c>
      <c r="BD132" s="2">
        <f t="shared" si="386"/>
        <v>93</v>
      </c>
      <c r="BE132" s="57">
        <f t="shared" si="289"/>
        <v>380542</v>
      </c>
      <c r="BF132" s="62">
        <f t="shared" si="290"/>
        <v>36232.514725047004</v>
      </c>
      <c r="BG132" s="2">
        <f t="shared" si="387"/>
        <v>92</v>
      </c>
      <c r="BH132" s="57">
        <f t="shared" si="296"/>
        <v>398706</v>
      </c>
      <c r="BI132" s="62">
        <f t="shared" si="297"/>
        <v>39511.219257540652</v>
      </c>
      <c r="BJ132" s="2">
        <f t="shared" si="388"/>
        <v>91</v>
      </c>
      <c r="BK132" s="57">
        <f t="shared" si="300"/>
        <v>417737</v>
      </c>
      <c r="BL132" s="62">
        <f t="shared" si="301"/>
        <v>43086.615693679458</v>
      </c>
      <c r="BM132" s="2">
        <f t="shared" si="389"/>
        <v>90</v>
      </c>
      <c r="BN132" s="57">
        <f t="shared" si="304"/>
        <v>437677</v>
      </c>
      <c r="BO132" s="62">
        <f t="shared" si="305"/>
        <v>46985.618035610132</v>
      </c>
      <c r="BP132" s="2">
        <f t="shared" si="390"/>
        <v>89</v>
      </c>
      <c r="BQ132" s="57">
        <f t="shared" si="308"/>
        <v>458568</v>
      </c>
      <c r="BR132" s="62">
        <f t="shared" si="309"/>
        <v>51237.359855686082</v>
      </c>
      <c r="BS132" s="2">
        <f t="shared" si="391"/>
        <v>88</v>
      </c>
      <c r="BT132" s="57">
        <f t="shared" si="312"/>
        <v>480456</v>
      </c>
      <c r="BU132" s="62">
        <f t="shared" si="313"/>
        <v>55873.824415492374</v>
      </c>
      <c r="BV132" s="2">
        <f t="shared" si="392"/>
        <v>87</v>
      </c>
      <c r="BW132" s="57">
        <f t="shared" si="316"/>
        <v>503389</v>
      </c>
      <c r="BX132" s="62">
        <f t="shared" si="317"/>
        <v>60929.873693628339</v>
      </c>
      <c r="BY132" s="2">
        <f t="shared" si="393"/>
        <v>86</v>
      </c>
      <c r="BZ132" s="57">
        <f t="shared" si="320"/>
        <v>527417</v>
      </c>
      <c r="CA132" s="62">
        <f t="shared" si="321"/>
        <v>66443.493672122378</v>
      </c>
      <c r="CB132" s="2">
        <f t="shared" si="394"/>
        <v>85</v>
      </c>
      <c r="CC132" s="57">
        <f t="shared" si="324"/>
        <v>552592</v>
      </c>
      <c r="CD132" s="62">
        <f t="shared" si="325"/>
        <v>72456.059017265885</v>
      </c>
      <c r="CE132" s="2">
        <f t="shared" si="395"/>
        <v>84</v>
      </c>
      <c r="CF132" s="57">
        <f t="shared" si="328"/>
        <v>578968</v>
      </c>
      <c r="CG132" s="62">
        <f t="shared" si="329"/>
        <v>79012.618580108378</v>
      </c>
      <c r="CH132" s="2">
        <v>83</v>
      </c>
      <c r="CI132" s="57">
        <f t="shared" si="332"/>
        <v>606603</v>
      </c>
      <c r="CJ132" s="62">
        <f t="shared" si="333"/>
        <v>86162.487322051689</v>
      </c>
      <c r="CK132" s="2">
        <v>82</v>
      </c>
      <c r="CL132" s="57">
        <f t="shared" si="336"/>
        <v>635558</v>
      </c>
      <c r="CM132" s="62">
        <f t="shared" si="337"/>
        <v>93959.488259949227</v>
      </c>
      <c r="CN132" s="2">
        <v>81</v>
      </c>
      <c r="CO132" s="57">
        <f t="shared" si="340"/>
        <v>665894</v>
      </c>
      <c r="CP132" s="62">
        <f t="shared" si="341"/>
        <v>102461.88327658799</v>
      </c>
      <c r="CQ132" s="2">
        <v>80</v>
      </c>
      <c r="CR132" s="57">
        <f t="shared" si="344"/>
        <v>697679</v>
      </c>
      <c r="CS132" s="62">
        <f t="shared" si="345"/>
        <v>111733.82405459971</v>
      </c>
      <c r="CT132" s="2">
        <v>79</v>
      </c>
      <c r="CU132" s="57">
        <f t="shared" si="348"/>
        <v>730980</v>
      </c>
      <c r="CV132" s="62">
        <f t="shared" si="349"/>
        <v>121844.59969772992</v>
      </c>
      <c r="CW132" s="2">
        <v>78</v>
      </c>
      <c r="CX132" s="57">
        <f t="shared" si="352"/>
        <v>765871</v>
      </c>
      <c r="CY132" s="62">
        <f t="shared" si="353"/>
        <v>132870.385572781</v>
      </c>
      <c r="CZ132" s="2">
        <v>77</v>
      </c>
      <c r="DA132" s="57">
        <f t="shared" si="196"/>
        <v>0</v>
      </c>
      <c r="DB132" s="62">
        <f t="shared" si="355"/>
        <v>0</v>
      </c>
      <c r="DC132" s="2">
        <v>76</v>
      </c>
      <c r="DD132" s="57">
        <f t="shared" si="202"/>
        <v>0</v>
      </c>
      <c r="DE132" s="62">
        <f t="shared" si="358"/>
        <v>0</v>
      </c>
      <c r="DF132" s="2">
        <v>75</v>
      </c>
      <c r="DG132" s="57">
        <f t="shared" si="209"/>
        <v>0</v>
      </c>
      <c r="DH132" s="62">
        <f t="shared" si="361"/>
        <v>0</v>
      </c>
      <c r="DI132" s="2">
        <v>74</v>
      </c>
      <c r="DJ132" s="57">
        <f t="shared" si="215"/>
        <v>0</v>
      </c>
      <c r="DK132" s="62">
        <f t="shared" si="364"/>
        <v>0</v>
      </c>
      <c r="DL132" s="2">
        <v>73</v>
      </c>
      <c r="DM132" s="57">
        <f t="shared" si="222"/>
        <v>0</v>
      </c>
      <c r="DN132" s="62">
        <f t="shared" si="367"/>
        <v>0</v>
      </c>
      <c r="DO132" s="2">
        <v>72</v>
      </c>
      <c r="DP132" s="57">
        <f t="shared" si="227"/>
        <v>0</v>
      </c>
      <c r="DQ132" s="62">
        <f t="shared" si="396"/>
        <v>0</v>
      </c>
      <c r="DR132" s="2">
        <v>71</v>
      </c>
      <c r="DS132" s="57">
        <f t="shared" si="234"/>
        <v>0</v>
      </c>
      <c r="DT132" s="62">
        <f t="shared" si="399"/>
        <v>0</v>
      </c>
      <c r="DU132" s="2">
        <v>70</v>
      </c>
      <c r="DV132" s="57">
        <f t="shared" si="239"/>
        <v>0</v>
      </c>
      <c r="DW132" s="62">
        <f t="shared" si="402"/>
        <v>0</v>
      </c>
      <c r="DX132" s="2">
        <v>69</v>
      </c>
      <c r="DY132" s="57">
        <f t="shared" si="245"/>
        <v>0</v>
      </c>
      <c r="DZ132" s="62">
        <f t="shared" si="405"/>
        <v>0</v>
      </c>
      <c r="EA132" s="2">
        <v>68</v>
      </c>
      <c r="EB132" s="57">
        <f t="shared" si="411"/>
        <v>0</v>
      </c>
      <c r="EC132" s="62">
        <f t="shared" si="408"/>
        <v>0</v>
      </c>
      <c r="ED132" s="2">
        <v>67</v>
      </c>
      <c r="EE132" s="57">
        <f t="shared" si="415"/>
        <v>0</v>
      </c>
      <c r="EF132" s="62">
        <f t="shared" si="412"/>
        <v>0</v>
      </c>
      <c r="EG132" s="2">
        <v>66</v>
      </c>
      <c r="EH132" s="57">
        <f t="shared" si="419"/>
        <v>0</v>
      </c>
      <c r="EI132" s="62">
        <f t="shared" si="416"/>
        <v>0</v>
      </c>
      <c r="EJ132" s="2">
        <v>65</v>
      </c>
      <c r="EK132" s="57">
        <f t="shared" ref="EK132:EK163" si="423">$E$66</f>
        <v>0</v>
      </c>
      <c r="EL132" s="62">
        <f t="shared" si="420"/>
        <v>0</v>
      </c>
      <c r="EM132" s="2">
        <v>64</v>
      </c>
      <c r="EN132" s="57">
        <f t="shared" si="125"/>
        <v>0</v>
      </c>
      <c r="EO132" s="62">
        <f t="shared" ref="EO132:EO163" si="424">SUM($G$10*$G$11*EN132*(EXP(-($G$10*EM132))),$G$10*$G$11*EN132*(EXP(-($G$10*(EM132+0.1)))),$G$10*$G$11*EN132*(EXP(-($G$10*(EM132+0.2)))),$G$10*$G$11*EN132*(EXP(-($G$10*(EM132+0.3)))),$G$10*$G$11*EN132*(EXP(-($G$10*(EM132+0.4)))),$G$10*$G$11*EN132*(EXP(-($G$10*(EM132+0.5)))),$G$10*$G$11*EN132*(EXP(-($G$10*(EM132+0.6)))),$G$10*$G$11*EN132*(EXP(-($G$10*(EM132+0.7)))),$G$10*$G$11*EN132*(EXP(-($G$10*(EM132+0.8)))),$G$10*$G$11*EN132*(EXP(-($G$10*(EM132+0.9)))))/10</f>
        <v>0</v>
      </c>
      <c r="EP132" s="2">
        <v>63</v>
      </c>
      <c r="EQ132" s="57">
        <f t="shared" si="129"/>
        <v>0</v>
      </c>
      <c r="ER132" s="62">
        <f t="shared" si="279"/>
        <v>0</v>
      </c>
      <c r="ES132" s="2">
        <v>62</v>
      </c>
      <c r="ET132" s="57">
        <f t="shared" si="130"/>
        <v>0</v>
      </c>
      <c r="EU132" s="62">
        <f t="shared" si="286"/>
        <v>0</v>
      </c>
      <c r="EV132" s="2">
        <v>61</v>
      </c>
      <c r="EW132" s="57">
        <f t="shared" si="134"/>
        <v>0</v>
      </c>
      <c r="EX132" s="62">
        <f t="shared" si="291"/>
        <v>0</v>
      </c>
      <c r="EY132" s="2">
        <v>60</v>
      </c>
      <c r="EZ132" s="57">
        <f t="shared" si="141"/>
        <v>0</v>
      </c>
      <c r="FA132" s="62">
        <f t="shared" si="298"/>
        <v>0</v>
      </c>
      <c r="FB132" s="2">
        <v>59</v>
      </c>
      <c r="FC132" s="57">
        <f t="shared" si="142"/>
        <v>0</v>
      </c>
      <c r="FD132" s="62">
        <f t="shared" si="302"/>
        <v>0</v>
      </c>
      <c r="FE132" s="2">
        <v>58</v>
      </c>
      <c r="FF132" s="57">
        <f t="shared" si="149"/>
        <v>0</v>
      </c>
      <c r="FG132" s="62">
        <f t="shared" si="306"/>
        <v>0</v>
      </c>
      <c r="FH132" s="2">
        <v>57</v>
      </c>
      <c r="FI132" s="57">
        <f t="shared" si="150"/>
        <v>0</v>
      </c>
      <c r="FJ132" s="62">
        <f t="shared" si="310"/>
        <v>0</v>
      </c>
      <c r="FK132" s="2">
        <v>56</v>
      </c>
      <c r="FL132" s="57">
        <f t="shared" si="157"/>
        <v>0</v>
      </c>
      <c r="FM132" s="62">
        <f t="shared" si="314"/>
        <v>0</v>
      </c>
      <c r="FN132" s="2">
        <v>55</v>
      </c>
      <c r="FO132" s="57">
        <f t="shared" si="158"/>
        <v>0</v>
      </c>
      <c r="FP132" s="62">
        <f t="shared" si="318"/>
        <v>0</v>
      </c>
      <c r="FQ132" s="2">
        <v>54</v>
      </c>
      <c r="FR132" s="57">
        <f t="shared" si="165"/>
        <v>0</v>
      </c>
      <c r="FS132" s="62">
        <f t="shared" si="322"/>
        <v>0</v>
      </c>
      <c r="FT132" s="2">
        <v>53</v>
      </c>
      <c r="FU132" s="57">
        <f t="shared" si="166"/>
        <v>0</v>
      </c>
      <c r="FV132" s="62">
        <f t="shared" si="326"/>
        <v>0</v>
      </c>
      <c r="FW132" s="2">
        <v>52</v>
      </c>
      <c r="FX132" s="57">
        <f t="shared" si="170"/>
        <v>0</v>
      </c>
      <c r="FY132" s="62">
        <f t="shared" si="330"/>
        <v>0</v>
      </c>
      <c r="FZ132" s="2">
        <v>51</v>
      </c>
      <c r="GA132" s="57">
        <f t="shared" si="177"/>
        <v>0</v>
      </c>
      <c r="GB132" s="62">
        <f t="shared" si="334"/>
        <v>0</v>
      </c>
      <c r="GC132" s="2">
        <v>50</v>
      </c>
      <c r="GD132" s="57">
        <f t="shared" si="178"/>
        <v>0</v>
      </c>
      <c r="GE132" s="62">
        <f t="shared" si="338"/>
        <v>0</v>
      </c>
      <c r="GF132" s="2">
        <v>49</v>
      </c>
      <c r="GG132" s="57">
        <f t="shared" si="185"/>
        <v>0</v>
      </c>
      <c r="GH132" s="62">
        <f t="shared" si="342"/>
        <v>0</v>
      </c>
      <c r="GI132" s="2">
        <v>48</v>
      </c>
      <c r="GJ132" s="57">
        <f t="shared" si="186"/>
        <v>0</v>
      </c>
      <c r="GK132" s="62">
        <f t="shared" si="346"/>
        <v>0</v>
      </c>
      <c r="GL132" s="2">
        <v>47</v>
      </c>
      <c r="GM132" s="57">
        <f t="shared" si="193"/>
        <v>0</v>
      </c>
      <c r="GN132" s="62">
        <f t="shared" si="350"/>
        <v>0</v>
      </c>
      <c r="GO132" s="2">
        <v>46</v>
      </c>
      <c r="GP132" s="57">
        <f t="shared" si="194"/>
        <v>0</v>
      </c>
      <c r="GQ132" s="62">
        <f t="shared" si="354"/>
        <v>0</v>
      </c>
      <c r="GR132" s="2">
        <v>45</v>
      </c>
      <c r="GS132" s="57">
        <f t="shared" si="204"/>
        <v>0</v>
      </c>
      <c r="GT132" s="62">
        <f t="shared" si="356"/>
        <v>0</v>
      </c>
      <c r="GU132" s="2">
        <v>44</v>
      </c>
      <c r="GV132" s="57">
        <f t="shared" si="205"/>
        <v>0</v>
      </c>
      <c r="GW132" s="62">
        <f t="shared" si="359"/>
        <v>0</v>
      </c>
      <c r="GX132" s="2">
        <v>43</v>
      </c>
      <c r="GY132" s="57">
        <f t="shared" si="217"/>
        <v>0</v>
      </c>
      <c r="GZ132" s="62">
        <f t="shared" si="362"/>
        <v>0</v>
      </c>
      <c r="HA132" s="2">
        <v>42</v>
      </c>
      <c r="HB132" s="57">
        <f t="shared" si="218"/>
        <v>0</v>
      </c>
      <c r="HC132" s="62">
        <f t="shared" si="365"/>
        <v>0</v>
      </c>
      <c r="HD132" s="2">
        <v>41</v>
      </c>
      <c r="HE132" s="57">
        <f t="shared" si="229"/>
        <v>0</v>
      </c>
      <c r="HF132" s="62">
        <f t="shared" si="368"/>
        <v>0</v>
      </c>
      <c r="HG132" s="2">
        <v>40</v>
      </c>
      <c r="HH132" s="57">
        <f t="shared" si="230"/>
        <v>0</v>
      </c>
      <c r="HI132" s="62">
        <f t="shared" si="397"/>
        <v>0</v>
      </c>
      <c r="HJ132" s="2">
        <v>39</v>
      </c>
      <c r="HK132" s="57">
        <f t="shared" si="241"/>
        <v>0</v>
      </c>
      <c r="HL132" s="62">
        <f t="shared" si="400"/>
        <v>0</v>
      </c>
      <c r="HM132" s="2">
        <v>38</v>
      </c>
      <c r="HN132" s="57">
        <f t="shared" si="247"/>
        <v>0</v>
      </c>
      <c r="HO132" s="62">
        <f t="shared" si="403"/>
        <v>0</v>
      </c>
      <c r="HP132" s="2">
        <v>37</v>
      </c>
      <c r="HQ132" s="57">
        <f t="shared" si="248"/>
        <v>0</v>
      </c>
      <c r="HR132" s="62">
        <f t="shared" si="406"/>
        <v>0</v>
      </c>
      <c r="HS132" s="2">
        <v>36</v>
      </c>
      <c r="HT132" s="57">
        <f t="shared" si="257"/>
        <v>0</v>
      </c>
      <c r="HU132" s="62">
        <f t="shared" si="409"/>
        <v>0</v>
      </c>
      <c r="HV132" s="2">
        <v>35</v>
      </c>
      <c r="HW132" s="57">
        <f t="shared" si="258"/>
        <v>0</v>
      </c>
      <c r="HX132" s="62">
        <f t="shared" si="413"/>
        <v>0</v>
      </c>
      <c r="HY132" s="2">
        <v>34</v>
      </c>
      <c r="HZ132" s="57">
        <f t="shared" si="268"/>
        <v>0</v>
      </c>
      <c r="IA132" s="62">
        <f t="shared" si="417"/>
        <v>0</v>
      </c>
      <c r="IB132" s="2">
        <v>33</v>
      </c>
      <c r="IC132" s="57">
        <f t="shared" si="274"/>
        <v>0</v>
      </c>
      <c r="ID132" s="62">
        <f t="shared" si="421"/>
        <v>0</v>
      </c>
      <c r="IE132" s="2">
        <v>32</v>
      </c>
      <c r="IF132" s="57">
        <f t="shared" si="280"/>
        <v>0</v>
      </c>
      <c r="IG132" s="62">
        <f t="shared" ref="IG132:IG163" si="425">SUM($G$10*$G$11*IF132*(EXP(-($G$10*IE132))),$G$10*$G$11*IF132*(EXP(-($G$10*(IE132+0.1)))),$G$10*$G$11*IF132*(EXP(-($G$10*(IE132+0.2)))),$G$10*$G$11*IF132*(EXP(-($G$10*(IE132+0.3)))),$G$10*$G$11*IF132*(EXP(-($G$10*(IE132+0.4)))),$G$10*$G$11*IF132*(EXP(-($G$10*(IE132+0.5)))),$G$10*$G$11*IF132*(EXP(-($G$10*(IE132+0.6)))),$G$10*$G$11*IF132*(EXP(-($G$10*(IE132+0.7)))),$G$10*$G$11*IF132*(EXP(-($G$10*(IE132+0.8)))),$G$10*$G$11*IF132*(EXP(-($G$10*(IE132+0.9)))))/10</f>
        <v>0</v>
      </c>
      <c r="IH132" s="2">
        <v>31</v>
      </c>
      <c r="II132" s="57">
        <f t="shared" si="281"/>
        <v>0</v>
      </c>
      <c r="IJ132" s="62">
        <f t="shared" si="282"/>
        <v>0</v>
      </c>
      <c r="IK132" s="2">
        <v>30</v>
      </c>
      <c r="IL132" s="57">
        <f t="shared" si="292"/>
        <v>0</v>
      </c>
      <c r="IM132" s="62">
        <f t="shared" si="287"/>
        <v>0</v>
      </c>
      <c r="IN132" s="2">
        <v>29</v>
      </c>
      <c r="IO132" s="57">
        <f t="shared" si="293"/>
        <v>0</v>
      </c>
      <c r="IP132" s="62">
        <f t="shared" si="294"/>
        <v>0</v>
      </c>
    </row>
    <row r="133" spans="7:250">
      <c r="G133" s="284"/>
      <c r="H133" s="284"/>
      <c r="I133" s="2">
        <f t="shared" si="369"/>
        <v>2128</v>
      </c>
      <c r="J133" s="379">
        <f t="shared" si="264"/>
        <v>1438432.1500890139</v>
      </c>
      <c r="K133" s="2">
        <f t="shared" si="370"/>
        <v>109</v>
      </c>
      <c r="L133" s="57">
        <f t="shared" si="200"/>
        <v>189082</v>
      </c>
      <c r="M133" s="62">
        <f t="shared" si="357"/>
        <v>9492.8714536309199</v>
      </c>
      <c r="N133" s="2">
        <f t="shared" si="371"/>
        <v>108</v>
      </c>
      <c r="O133" s="57">
        <f t="shared" si="207"/>
        <v>293489</v>
      </c>
      <c r="P133" s="62">
        <f t="shared" si="360"/>
        <v>15335.961880092838</v>
      </c>
      <c r="Q133" s="2">
        <f t="shared" si="372"/>
        <v>107</v>
      </c>
      <c r="R133" s="57">
        <f t="shared" si="213"/>
        <v>283523</v>
      </c>
      <c r="S133" s="62">
        <f t="shared" si="363"/>
        <v>15419.818672980458</v>
      </c>
      <c r="T133" s="2">
        <f t="shared" si="373"/>
        <v>106</v>
      </c>
      <c r="U133" s="57">
        <f t="shared" si="220"/>
        <v>143321</v>
      </c>
      <c r="V133" s="62">
        <f t="shared" si="366"/>
        <v>8112.8338200711996</v>
      </c>
      <c r="W133" s="2">
        <f t="shared" si="374"/>
        <v>105</v>
      </c>
      <c r="X133" s="57">
        <f t="shared" si="225"/>
        <v>227851</v>
      </c>
      <c r="Y133" s="62">
        <f t="shared" si="375"/>
        <v>13424.108963840079</v>
      </c>
      <c r="Z133" s="2">
        <f t="shared" si="376"/>
        <v>104</v>
      </c>
      <c r="AA133" s="57">
        <f t="shared" si="232"/>
        <v>238727</v>
      </c>
      <c r="AB133" s="62">
        <f t="shared" si="398"/>
        <v>14638.879956060748</v>
      </c>
      <c r="AC133" s="2">
        <f t="shared" si="377"/>
        <v>103</v>
      </c>
      <c r="AD133" s="57">
        <f t="shared" si="237"/>
        <v>250122</v>
      </c>
      <c r="AE133" s="62">
        <f t="shared" si="401"/>
        <v>15963.568528821042</v>
      </c>
      <c r="AF133" s="2">
        <f t="shared" si="378"/>
        <v>102</v>
      </c>
      <c r="AG133" s="57">
        <f t="shared" si="243"/>
        <v>262060</v>
      </c>
      <c r="AH133" s="62">
        <f t="shared" si="404"/>
        <v>17408.069192307335</v>
      </c>
      <c r="AI133" s="2">
        <f t="shared" si="379"/>
        <v>101</v>
      </c>
      <c r="AJ133" s="57">
        <f t="shared" si="250"/>
        <v>274569</v>
      </c>
      <c r="AK133" s="62">
        <f t="shared" si="407"/>
        <v>18983.362842732771</v>
      </c>
      <c r="AL133" s="2">
        <f t="shared" si="380"/>
        <v>100</v>
      </c>
      <c r="AM133" s="57">
        <f t="shared" si="254"/>
        <v>287675</v>
      </c>
      <c r="AN133" s="62">
        <f t="shared" si="410"/>
        <v>20701.201269709662</v>
      </c>
      <c r="AO133" s="2">
        <f t="shared" si="381"/>
        <v>99</v>
      </c>
      <c r="AP133" s="57">
        <f t="shared" si="260"/>
        <v>301406</v>
      </c>
      <c r="AQ133" s="62">
        <f t="shared" si="414"/>
        <v>22574.445881358981</v>
      </c>
      <c r="AR133" s="2">
        <f t="shared" si="382"/>
        <v>98</v>
      </c>
      <c r="AS133" s="57">
        <f t="shared" si="265"/>
        <v>315793</v>
      </c>
      <c r="AT133" s="62">
        <f t="shared" si="418"/>
        <v>24617.247025453624</v>
      </c>
      <c r="AU133" s="2">
        <f t="shared" si="383"/>
        <v>97</v>
      </c>
      <c r="AV133" s="57">
        <f t="shared" si="271"/>
        <v>330866</v>
      </c>
      <c r="AW133" s="62">
        <f t="shared" si="422"/>
        <v>26844.8452639719</v>
      </c>
      <c r="AX133" s="2">
        <f t="shared" si="384"/>
        <v>96</v>
      </c>
      <c r="AY133" s="57">
        <f t="shared" si="277"/>
        <v>346659</v>
      </c>
      <c r="AZ133" s="62">
        <f t="shared" ref="AZ133:AZ163" si="426">SUM($G$10*$G$11*AY133*(EXP(-($G$10*AX133))),$G$10*$G$11*AY133*(EXP(-($G$10*(AX133+0.1)))),$G$10*$G$11*AY133*(EXP(-($G$10*(AX133+0.2)))),$G$10*$G$11*AY133*(EXP(-($G$10*(AX133+0.3)))),$G$10*$G$11*AY133*(EXP(-($G$10*(AX133+0.4)))),$G$10*$G$11*AY133*(EXP(-($G$10*(AX133+0.5)))),$G$10*$G$11*AY133*(EXP(-($G$10*(AX133+0.6)))),$G$10*$G$11*AY133*(EXP(-($G$10*(AX133+0.7)))),$G$10*$G$11*AY133*(EXP(-($G$10*(AX133+0.8)))),$G$10*$G$11*AY133*(EXP(-($G$10*(AX133+0.9)))))/10</f>
        <v>29274.064344542345</v>
      </c>
      <c r="BA133" s="2">
        <f t="shared" si="385"/>
        <v>95</v>
      </c>
      <c r="BB133" s="57">
        <f t="shared" si="284"/>
        <v>363206</v>
      </c>
      <c r="BC133" s="62">
        <f t="shared" si="285"/>
        <v>31923.120462238723</v>
      </c>
      <c r="BD133" s="2">
        <f t="shared" si="386"/>
        <v>94</v>
      </c>
      <c r="BE133" s="57">
        <f t="shared" si="289"/>
        <v>380542</v>
      </c>
      <c r="BF133" s="62">
        <f t="shared" si="290"/>
        <v>34811.81750175621</v>
      </c>
      <c r="BG133" s="2">
        <f t="shared" si="387"/>
        <v>93</v>
      </c>
      <c r="BH133" s="57">
        <f t="shared" si="296"/>
        <v>398706</v>
      </c>
      <c r="BI133" s="62">
        <f t="shared" si="297"/>
        <v>37961.962190676961</v>
      </c>
      <c r="BJ133" s="2">
        <f t="shared" si="388"/>
        <v>92</v>
      </c>
      <c r="BK133" s="57">
        <f t="shared" si="300"/>
        <v>417737</v>
      </c>
      <c r="BL133" s="62">
        <f t="shared" si="301"/>
        <v>41397.165327301984</v>
      </c>
      <c r="BM133" s="2">
        <f t="shared" si="389"/>
        <v>91</v>
      </c>
      <c r="BN133" s="57">
        <f t="shared" si="304"/>
        <v>437677</v>
      </c>
      <c r="BO133" s="62">
        <f t="shared" si="305"/>
        <v>45143.285600659132</v>
      </c>
      <c r="BP133" s="2">
        <f t="shared" si="390"/>
        <v>90</v>
      </c>
      <c r="BQ133" s="57">
        <f t="shared" si="308"/>
        <v>458568</v>
      </c>
      <c r="BR133" s="62">
        <f t="shared" si="309"/>
        <v>49228.314239390384</v>
      </c>
      <c r="BS133" s="2">
        <f t="shared" si="391"/>
        <v>89</v>
      </c>
      <c r="BT133" s="57">
        <f t="shared" si="312"/>
        <v>480456</v>
      </c>
      <c r="BU133" s="62">
        <f t="shared" si="313"/>
        <v>53682.980423456305</v>
      </c>
      <c r="BV133" s="2">
        <f t="shared" si="392"/>
        <v>88</v>
      </c>
      <c r="BW133" s="57">
        <f t="shared" si="316"/>
        <v>503389</v>
      </c>
      <c r="BX133" s="62">
        <f t="shared" si="317"/>
        <v>58540.779173723058</v>
      </c>
      <c r="BY133" s="2">
        <f t="shared" si="393"/>
        <v>87</v>
      </c>
      <c r="BZ133" s="57">
        <f t="shared" si="320"/>
        <v>527417</v>
      </c>
      <c r="CA133" s="62">
        <f t="shared" si="321"/>
        <v>63838.207020559406</v>
      </c>
      <c r="CB133" s="2">
        <f t="shared" si="394"/>
        <v>86</v>
      </c>
      <c r="CC133" s="57">
        <f t="shared" si="324"/>
        <v>552592</v>
      </c>
      <c r="CD133" s="62">
        <f t="shared" si="325"/>
        <v>69615.016306386518</v>
      </c>
      <c r="CE133" s="2">
        <f t="shared" si="395"/>
        <v>85</v>
      </c>
      <c r="CF133" s="57">
        <f t="shared" si="328"/>
        <v>578968</v>
      </c>
      <c r="CG133" s="62">
        <f t="shared" si="329"/>
        <v>75914.489491538756</v>
      </c>
      <c r="CH133" s="2">
        <v>84</v>
      </c>
      <c r="CI133" s="57">
        <f t="shared" si="332"/>
        <v>606603</v>
      </c>
      <c r="CJ133" s="62">
        <f t="shared" si="333"/>
        <v>82784.007870123183</v>
      </c>
      <c r="CK133" s="2">
        <v>83</v>
      </c>
      <c r="CL133" s="57">
        <f t="shared" si="336"/>
        <v>635558</v>
      </c>
      <c r="CM133" s="62">
        <f t="shared" si="337"/>
        <v>90275.284028315917</v>
      </c>
      <c r="CN133" s="2">
        <v>82</v>
      </c>
      <c r="CO133" s="57">
        <f t="shared" si="340"/>
        <v>665894</v>
      </c>
      <c r="CP133" s="62">
        <f t="shared" si="341"/>
        <v>98444.295367803788</v>
      </c>
      <c r="CQ133" s="2">
        <v>81</v>
      </c>
      <c r="CR133" s="57">
        <f t="shared" si="344"/>
        <v>697679</v>
      </c>
      <c r="CS133" s="62">
        <f t="shared" si="345"/>
        <v>107352.67814776322</v>
      </c>
      <c r="CT133" s="2">
        <v>80</v>
      </c>
      <c r="CU133" s="57">
        <f t="shared" si="348"/>
        <v>730980</v>
      </c>
      <c r="CV133" s="62">
        <f t="shared" si="349"/>
        <v>117067.00460732127</v>
      </c>
      <c r="CW133" s="2">
        <v>79</v>
      </c>
      <c r="CX133" s="57">
        <f t="shared" si="352"/>
        <v>765871</v>
      </c>
      <c r="CY133" s="62">
        <f t="shared" si="353"/>
        <v>127660.46323442517</v>
      </c>
      <c r="CZ133" s="2">
        <v>78</v>
      </c>
      <c r="DA133" s="57">
        <f t="shared" si="196"/>
        <v>0</v>
      </c>
      <c r="DB133" s="62">
        <f t="shared" si="355"/>
        <v>0</v>
      </c>
      <c r="DC133" s="2">
        <v>77</v>
      </c>
      <c r="DD133" s="57">
        <f t="shared" si="202"/>
        <v>0</v>
      </c>
      <c r="DE133" s="62">
        <f t="shared" si="358"/>
        <v>0</v>
      </c>
      <c r="DF133" s="2">
        <v>76</v>
      </c>
      <c r="DG133" s="57">
        <f t="shared" si="209"/>
        <v>0</v>
      </c>
      <c r="DH133" s="62">
        <f t="shared" si="361"/>
        <v>0</v>
      </c>
      <c r="DI133" s="2">
        <v>75</v>
      </c>
      <c r="DJ133" s="57">
        <f t="shared" si="215"/>
        <v>0</v>
      </c>
      <c r="DK133" s="62">
        <f t="shared" si="364"/>
        <v>0</v>
      </c>
      <c r="DL133" s="2">
        <v>74</v>
      </c>
      <c r="DM133" s="57">
        <f t="shared" si="222"/>
        <v>0</v>
      </c>
      <c r="DN133" s="62">
        <f t="shared" si="367"/>
        <v>0</v>
      </c>
      <c r="DO133" s="2">
        <v>73</v>
      </c>
      <c r="DP133" s="57">
        <f t="shared" si="227"/>
        <v>0</v>
      </c>
      <c r="DQ133" s="62">
        <f t="shared" si="396"/>
        <v>0</v>
      </c>
      <c r="DR133" s="2">
        <v>72</v>
      </c>
      <c r="DS133" s="57">
        <f t="shared" si="234"/>
        <v>0</v>
      </c>
      <c r="DT133" s="62">
        <f t="shared" si="399"/>
        <v>0</v>
      </c>
      <c r="DU133" s="2">
        <v>71</v>
      </c>
      <c r="DV133" s="57">
        <f t="shared" si="239"/>
        <v>0</v>
      </c>
      <c r="DW133" s="62">
        <f t="shared" si="402"/>
        <v>0</v>
      </c>
      <c r="DX133" s="2">
        <v>70</v>
      </c>
      <c r="DY133" s="57">
        <f t="shared" si="245"/>
        <v>0</v>
      </c>
      <c r="DZ133" s="62">
        <f t="shared" si="405"/>
        <v>0</v>
      </c>
      <c r="EA133" s="2">
        <v>69</v>
      </c>
      <c r="EB133" s="57">
        <f t="shared" si="411"/>
        <v>0</v>
      </c>
      <c r="EC133" s="62">
        <f t="shared" si="408"/>
        <v>0</v>
      </c>
      <c r="ED133" s="2">
        <v>68</v>
      </c>
      <c r="EE133" s="57">
        <f t="shared" si="415"/>
        <v>0</v>
      </c>
      <c r="EF133" s="62">
        <f t="shared" si="412"/>
        <v>0</v>
      </c>
      <c r="EG133" s="2">
        <v>67</v>
      </c>
      <c r="EH133" s="57">
        <f t="shared" si="419"/>
        <v>0</v>
      </c>
      <c r="EI133" s="62">
        <f t="shared" si="416"/>
        <v>0</v>
      </c>
      <c r="EJ133" s="2">
        <v>66</v>
      </c>
      <c r="EK133" s="57">
        <f t="shared" si="423"/>
        <v>0</v>
      </c>
      <c r="EL133" s="62">
        <f t="shared" si="420"/>
        <v>0</v>
      </c>
      <c r="EM133" s="2">
        <v>65</v>
      </c>
      <c r="EN133" s="57">
        <f t="shared" ref="EN133:EN163" si="427">$E$67</f>
        <v>0</v>
      </c>
      <c r="EO133" s="62">
        <f t="shared" si="424"/>
        <v>0</v>
      </c>
      <c r="EP133" s="2">
        <v>64</v>
      </c>
      <c r="EQ133" s="57">
        <f t="shared" si="129"/>
        <v>0</v>
      </c>
      <c r="ER133" s="62">
        <f t="shared" ref="ER133:ER163" si="428">SUM($G$10*$G$11*EQ133*(EXP(-($G$10*EP133))),$G$10*$G$11*EQ133*(EXP(-($G$10*(EP133+0.1)))),$G$10*$G$11*EQ133*(EXP(-($G$10*(EP133+0.2)))),$G$10*$G$11*EQ133*(EXP(-($G$10*(EP133+0.3)))),$G$10*$G$11*EQ133*(EXP(-($G$10*(EP133+0.4)))),$G$10*$G$11*EQ133*(EXP(-($G$10*(EP133+0.5)))),$G$10*$G$11*EQ133*(EXP(-($G$10*(EP133+0.6)))),$G$10*$G$11*EQ133*(EXP(-($G$10*(EP133+0.7)))),$G$10*$G$11*EQ133*(EXP(-($G$10*(EP133+0.8)))),$G$10*$G$11*EQ133*(EXP(-($G$10*(EP133+0.9)))))/10</f>
        <v>0</v>
      </c>
      <c r="ES133" s="2">
        <v>63</v>
      </c>
      <c r="ET133" s="57">
        <f t="shared" si="130"/>
        <v>0</v>
      </c>
      <c r="EU133" s="62">
        <f t="shared" si="286"/>
        <v>0</v>
      </c>
      <c r="EV133" s="2">
        <v>62</v>
      </c>
      <c r="EW133" s="57">
        <f t="shared" si="134"/>
        <v>0</v>
      </c>
      <c r="EX133" s="62">
        <f t="shared" si="291"/>
        <v>0</v>
      </c>
      <c r="EY133" s="2">
        <v>61</v>
      </c>
      <c r="EZ133" s="57">
        <f t="shared" si="141"/>
        <v>0</v>
      </c>
      <c r="FA133" s="62">
        <f t="shared" si="298"/>
        <v>0</v>
      </c>
      <c r="FB133" s="2">
        <v>60</v>
      </c>
      <c r="FC133" s="57">
        <f t="shared" si="142"/>
        <v>0</v>
      </c>
      <c r="FD133" s="62">
        <f t="shared" si="302"/>
        <v>0</v>
      </c>
      <c r="FE133" s="2">
        <v>59</v>
      </c>
      <c r="FF133" s="57">
        <f t="shared" si="149"/>
        <v>0</v>
      </c>
      <c r="FG133" s="62">
        <f t="shared" si="306"/>
        <v>0</v>
      </c>
      <c r="FH133" s="2">
        <v>58</v>
      </c>
      <c r="FI133" s="57">
        <f t="shared" si="150"/>
        <v>0</v>
      </c>
      <c r="FJ133" s="62">
        <f t="shared" si="310"/>
        <v>0</v>
      </c>
      <c r="FK133" s="2">
        <v>57</v>
      </c>
      <c r="FL133" s="57">
        <f t="shared" si="157"/>
        <v>0</v>
      </c>
      <c r="FM133" s="62">
        <f t="shared" si="314"/>
        <v>0</v>
      </c>
      <c r="FN133" s="2">
        <v>56</v>
      </c>
      <c r="FO133" s="57">
        <f t="shared" si="158"/>
        <v>0</v>
      </c>
      <c r="FP133" s="62">
        <f t="shared" si="318"/>
        <v>0</v>
      </c>
      <c r="FQ133" s="2">
        <v>55</v>
      </c>
      <c r="FR133" s="57">
        <f t="shared" si="165"/>
        <v>0</v>
      </c>
      <c r="FS133" s="62">
        <f t="shared" si="322"/>
        <v>0</v>
      </c>
      <c r="FT133" s="2">
        <v>54</v>
      </c>
      <c r="FU133" s="57">
        <f t="shared" si="166"/>
        <v>0</v>
      </c>
      <c r="FV133" s="62">
        <f t="shared" si="326"/>
        <v>0</v>
      </c>
      <c r="FW133" s="2">
        <v>53</v>
      </c>
      <c r="FX133" s="57">
        <f t="shared" si="170"/>
        <v>0</v>
      </c>
      <c r="FY133" s="62">
        <f t="shared" si="330"/>
        <v>0</v>
      </c>
      <c r="FZ133" s="2">
        <v>52</v>
      </c>
      <c r="GA133" s="57">
        <f t="shared" si="177"/>
        <v>0</v>
      </c>
      <c r="GB133" s="62">
        <f t="shared" si="334"/>
        <v>0</v>
      </c>
      <c r="GC133" s="2">
        <v>51</v>
      </c>
      <c r="GD133" s="57">
        <f t="shared" si="178"/>
        <v>0</v>
      </c>
      <c r="GE133" s="62">
        <f t="shared" si="338"/>
        <v>0</v>
      </c>
      <c r="GF133" s="2">
        <v>50</v>
      </c>
      <c r="GG133" s="57">
        <f t="shared" si="185"/>
        <v>0</v>
      </c>
      <c r="GH133" s="62">
        <f t="shared" si="342"/>
        <v>0</v>
      </c>
      <c r="GI133" s="2">
        <v>49</v>
      </c>
      <c r="GJ133" s="57">
        <f t="shared" si="186"/>
        <v>0</v>
      </c>
      <c r="GK133" s="62">
        <f t="shared" si="346"/>
        <v>0</v>
      </c>
      <c r="GL133" s="2">
        <v>48</v>
      </c>
      <c r="GM133" s="57">
        <f t="shared" si="193"/>
        <v>0</v>
      </c>
      <c r="GN133" s="62">
        <f t="shared" si="350"/>
        <v>0</v>
      </c>
      <c r="GO133" s="2">
        <v>47</v>
      </c>
      <c r="GP133" s="57">
        <f t="shared" si="194"/>
        <v>0</v>
      </c>
      <c r="GQ133" s="62">
        <f t="shared" si="354"/>
        <v>0</v>
      </c>
      <c r="GR133" s="2">
        <v>46</v>
      </c>
      <c r="GS133" s="57">
        <f t="shared" si="204"/>
        <v>0</v>
      </c>
      <c r="GT133" s="62">
        <f t="shared" si="356"/>
        <v>0</v>
      </c>
      <c r="GU133" s="2">
        <v>45</v>
      </c>
      <c r="GV133" s="57">
        <f t="shared" si="205"/>
        <v>0</v>
      </c>
      <c r="GW133" s="62">
        <f t="shared" si="359"/>
        <v>0</v>
      </c>
      <c r="GX133" s="2">
        <v>44</v>
      </c>
      <c r="GY133" s="57">
        <f t="shared" si="217"/>
        <v>0</v>
      </c>
      <c r="GZ133" s="62">
        <f t="shared" si="362"/>
        <v>0</v>
      </c>
      <c r="HA133" s="2">
        <v>43</v>
      </c>
      <c r="HB133" s="57">
        <f t="shared" si="218"/>
        <v>0</v>
      </c>
      <c r="HC133" s="62">
        <f t="shared" si="365"/>
        <v>0</v>
      </c>
      <c r="HD133" s="2">
        <v>42</v>
      </c>
      <c r="HE133" s="57">
        <f t="shared" si="229"/>
        <v>0</v>
      </c>
      <c r="HF133" s="62">
        <f t="shared" si="368"/>
        <v>0</v>
      </c>
      <c r="HG133" s="2">
        <v>41</v>
      </c>
      <c r="HH133" s="57">
        <f t="shared" si="230"/>
        <v>0</v>
      </c>
      <c r="HI133" s="62">
        <f t="shared" si="397"/>
        <v>0</v>
      </c>
      <c r="HJ133" s="2">
        <v>40</v>
      </c>
      <c r="HK133" s="57">
        <f t="shared" si="241"/>
        <v>0</v>
      </c>
      <c r="HL133" s="62">
        <f t="shared" si="400"/>
        <v>0</v>
      </c>
      <c r="HM133" s="2">
        <v>39</v>
      </c>
      <c r="HN133" s="57">
        <f t="shared" si="247"/>
        <v>0</v>
      </c>
      <c r="HO133" s="62">
        <f t="shared" si="403"/>
        <v>0</v>
      </c>
      <c r="HP133" s="2">
        <v>38</v>
      </c>
      <c r="HQ133" s="57">
        <f t="shared" si="248"/>
        <v>0</v>
      </c>
      <c r="HR133" s="62">
        <f t="shared" si="406"/>
        <v>0</v>
      </c>
      <c r="HS133" s="2">
        <v>37</v>
      </c>
      <c r="HT133" s="57">
        <f t="shared" si="257"/>
        <v>0</v>
      </c>
      <c r="HU133" s="62">
        <f t="shared" si="409"/>
        <v>0</v>
      </c>
      <c r="HV133" s="2">
        <v>36</v>
      </c>
      <c r="HW133" s="57">
        <f t="shared" si="258"/>
        <v>0</v>
      </c>
      <c r="HX133" s="62">
        <f t="shared" si="413"/>
        <v>0</v>
      </c>
      <c r="HY133" s="2">
        <v>35</v>
      </c>
      <c r="HZ133" s="57">
        <f t="shared" si="268"/>
        <v>0</v>
      </c>
      <c r="IA133" s="62">
        <f t="shared" si="417"/>
        <v>0</v>
      </c>
      <c r="IB133" s="2">
        <v>34</v>
      </c>
      <c r="IC133" s="57">
        <f t="shared" si="274"/>
        <v>0</v>
      </c>
      <c r="ID133" s="62">
        <f t="shared" si="421"/>
        <v>0</v>
      </c>
      <c r="IE133" s="2">
        <v>33</v>
      </c>
      <c r="IF133" s="57">
        <f t="shared" si="280"/>
        <v>0</v>
      </c>
      <c r="IG133" s="62">
        <f t="shared" si="425"/>
        <v>0</v>
      </c>
      <c r="IH133" s="2">
        <v>32</v>
      </c>
      <c r="II133" s="57">
        <f t="shared" si="281"/>
        <v>0</v>
      </c>
      <c r="IJ133" s="62">
        <f t="shared" ref="IJ133:IJ163" si="429">SUM($G$10*$G$11*II133*(EXP(-($G$10*IH133))),$G$10*$G$11*II133*(EXP(-($G$10*(IH133+0.1)))),$G$10*$G$11*II133*(EXP(-($G$10*(IH133+0.2)))),$G$10*$G$11*II133*(EXP(-($G$10*(IH133+0.3)))),$G$10*$G$11*II133*(EXP(-($G$10*(IH133+0.4)))),$G$10*$G$11*II133*(EXP(-($G$10*(IH133+0.5)))),$G$10*$G$11*II133*(EXP(-($G$10*(IH133+0.6)))),$G$10*$G$11*II133*(EXP(-($G$10*(IH133+0.7)))),$G$10*$G$11*II133*(EXP(-($G$10*(IH133+0.8)))),$G$10*$G$11*II133*(EXP(-($G$10*(IH133+0.9)))))/10</f>
        <v>0</v>
      </c>
      <c r="IK133" s="2">
        <v>31</v>
      </c>
      <c r="IL133" s="57">
        <f t="shared" si="292"/>
        <v>0</v>
      </c>
      <c r="IM133" s="62">
        <f t="shared" si="287"/>
        <v>0</v>
      </c>
      <c r="IN133" s="2">
        <v>30</v>
      </c>
      <c r="IO133" s="57">
        <f t="shared" si="293"/>
        <v>0</v>
      </c>
      <c r="IP133" s="62">
        <f t="shared" si="294"/>
        <v>0</v>
      </c>
    </row>
    <row r="134" spans="7:250">
      <c r="G134" s="284"/>
      <c r="H134" s="284"/>
      <c r="I134" s="2">
        <f t="shared" si="369"/>
        <v>2129</v>
      </c>
      <c r="J134" s="379">
        <f t="shared" si="264"/>
        <v>1382030.4187426942</v>
      </c>
      <c r="K134" s="2">
        <f t="shared" si="370"/>
        <v>110</v>
      </c>
      <c r="L134" s="57">
        <f t="shared" si="200"/>
        <v>189082</v>
      </c>
      <c r="M134" s="62">
        <f t="shared" si="357"/>
        <v>9120.6506398791498</v>
      </c>
      <c r="N134" s="2">
        <f t="shared" si="371"/>
        <v>109</v>
      </c>
      <c r="O134" s="57">
        <f t="shared" si="207"/>
        <v>293489</v>
      </c>
      <c r="P134" s="62">
        <f t="shared" si="360"/>
        <v>14734.630213635808</v>
      </c>
      <c r="Q134" s="2">
        <f t="shared" si="372"/>
        <v>108</v>
      </c>
      <c r="R134" s="57">
        <f t="shared" si="213"/>
        <v>283523</v>
      </c>
      <c r="S134" s="62">
        <f t="shared" si="363"/>
        <v>14815.198934643417</v>
      </c>
      <c r="T134" s="2">
        <f t="shared" si="373"/>
        <v>107</v>
      </c>
      <c r="U134" s="57">
        <f t="shared" si="220"/>
        <v>143321</v>
      </c>
      <c r="V134" s="62">
        <f t="shared" si="366"/>
        <v>7794.7250559222084</v>
      </c>
      <c r="W134" s="2">
        <f t="shared" si="374"/>
        <v>106</v>
      </c>
      <c r="X134" s="57">
        <f t="shared" si="225"/>
        <v>227851</v>
      </c>
      <c r="Y134" s="62">
        <f t="shared" si="375"/>
        <v>12897.742122487583</v>
      </c>
      <c r="Z134" s="2">
        <f t="shared" si="376"/>
        <v>105</v>
      </c>
      <c r="AA134" s="57">
        <f t="shared" si="232"/>
        <v>238727</v>
      </c>
      <c r="AB134" s="62">
        <f t="shared" si="398"/>
        <v>14064.881262801791</v>
      </c>
      <c r="AC134" s="2">
        <f t="shared" si="377"/>
        <v>104</v>
      </c>
      <c r="AD134" s="57">
        <f t="shared" si="237"/>
        <v>250122</v>
      </c>
      <c r="AE134" s="62">
        <f t="shared" si="401"/>
        <v>15337.628053675648</v>
      </c>
      <c r="AF134" s="2">
        <f t="shared" si="378"/>
        <v>103</v>
      </c>
      <c r="AG134" s="57">
        <f t="shared" si="243"/>
        <v>262060</v>
      </c>
      <c r="AH134" s="62">
        <f t="shared" si="404"/>
        <v>16725.4890360018</v>
      </c>
      <c r="AI134" s="2">
        <f t="shared" si="379"/>
        <v>102</v>
      </c>
      <c r="AJ134" s="57">
        <f t="shared" si="250"/>
        <v>274569</v>
      </c>
      <c r="AK134" s="62">
        <f t="shared" si="407"/>
        <v>18239.014538894269</v>
      </c>
      <c r="AL134" s="2">
        <f t="shared" si="380"/>
        <v>101</v>
      </c>
      <c r="AM134" s="57">
        <f t="shared" si="254"/>
        <v>287675</v>
      </c>
      <c r="AN134" s="62">
        <f t="shared" si="410"/>
        <v>19889.495557703711</v>
      </c>
      <c r="AO134" s="2">
        <f t="shared" si="381"/>
        <v>100</v>
      </c>
      <c r="AP134" s="57">
        <f t="shared" si="260"/>
        <v>301406</v>
      </c>
      <c r="AQ134" s="62">
        <f t="shared" si="414"/>
        <v>21689.289197525373</v>
      </c>
      <c r="AR134" s="2">
        <f t="shared" si="382"/>
        <v>99</v>
      </c>
      <c r="AS134" s="57">
        <f t="shared" si="265"/>
        <v>315793</v>
      </c>
      <c r="AT134" s="62">
        <f t="shared" si="418"/>
        <v>23651.990963059787</v>
      </c>
      <c r="AU134" s="2">
        <f t="shared" si="383"/>
        <v>98</v>
      </c>
      <c r="AV134" s="57">
        <f t="shared" si="271"/>
        <v>330866</v>
      </c>
      <c r="AW134" s="62">
        <f t="shared" si="422"/>
        <v>25792.243825302459</v>
      </c>
      <c r="AX134" s="2">
        <f t="shared" si="384"/>
        <v>97</v>
      </c>
      <c r="AY134" s="57">
        <f t="shared" si="277"/>
        <v>346659</v>
      </c>
      <c r="AZ134" s="62">
        <f t="shared" si="426"/>
        <v>28126.211863301862</v>
      </c>
      <c r="BA134" s="2">
        <f t="shared" si="385"/>
        <v>96</v>
      </c>
      <c r="BB134" s="57">
        <f t="shared" si="284"/>
        <v>363206</v>
      </c>
      <c r="BC134" s="62">
        <f t="shared" ref="BC134:BC163" si="430">SUM($G$10*$G$11*BB134*(EXP(-($G$10*BA134))),$G$10*$G$11*BB134*(EXP(-($G$10*(BA134+0.1)))),$G$10*$G$11*BB134*(EXP(-($G$10*(BA134+0.2)))),$G$10*$G$11*BB134*(EXP(-($G$10*(BA134+0.3)))),$G$10*$G$11*BB134*(EXP(-($G$10*(BA134+0.4)))),$G$10*$G$11*BB134*(EXP(-($G$10*(BA134+0.5)))),$G$10*$G$11*BB134*(EXP(-($G$10*(BA134+0.6)))),$G$10*$G$11*BB134*(EXP(-($G$10*(BA134+0.7)))),$G$10*$G$11*BB134*(EXP(-($G$10*(BA134+0.8)))),$G$10*$G$11*BB134*(EXP(-($G$10*(BA134+0.9)))))/10</f>
        <v>30671.397004906397</v>
      </c>
      <c r="BD134" s="2">
        <f t="shared" si="386"/>
        <v>95</v>
      </c>
      <c r="BE134" s="57">
        <f t="shared" si="289"/>
        <v>380542</v>
      </c>
      <c r="BF134" s="62">
        <f t="shared" si="290"/>
        <v>33446.826613385376</v>
      </c>
      <c r="BG134" s="2">
        <f t="shared" si="387"/>
        <v>94</v>
      </c>
      <c r="BH134" s="57">
        <f t="shared" si="296"/>
        <v>398706</v>
      </c>
      <c r="BI134" s="62">
        <f t="shared" si="297"/>
        <v>36473.452362302218</v>
      </c>
      <c r="BJ134" s="2">
        <f t="shared" si="388"/>
        <v>93</v>
      </c>
      <c r="BK134" s="57">
        <f t="shared" si="300"/>
        <v>417737</v>
      </c>
      <c r="BL134" s="62">
        <f t="shared" si="301"/>
        <v>39773.959257314462</v>
      </c>
      <c r="BM134" s="2">
        <f t="shared" si="389"/>
        <v>92</v>
      </c>
      <c r="BN134" s="57">
        <f t="shared" si="304"/>
        <v>437677</v>
      </c>
      <c r="BO134" s="62">
        <f t="shared" si="305"/>
        <v>43373.192053750434</v>
      </c>
      <c r="BP134" s="2">
        <f t="shared" si="390"/>
        <v>91</v>
      </c>
      <c r="BQ134" s="57">
        <f t="shared" si="308"/>
        <v>458568</v>
      </c>
      <c r="BR134" s="62">
        <f t="shared" si="309"/>
        <v>47298.044428478213</v>
      </c>
      <c r="BS134" s="2">
        <f t="shared" si="391"/>
        <v>90</v>
      </c>
      <c r="BT134" s="57">
        <f t="shared" si="312"/>
        <v>480456</v>
      </c>
      <c r="BU134" s="62">
        <f t="shared" si="313"/>
        <v>51578.040653077725</v>
      </c>
      <c r="BV134" s="2">
        <f t="shared" si="392"/>
        <v>89</v>
      </c>
      <c r="BW134" s="57">
        <f t="shared" si="316"/>
        <v>503389</v>
      </c>
      <c r="BX134" s="62">
        <f t="shared" si="317"/>
        <v>56245.362389861388</v>
      </c>
      <c r="BY134" s="2">
        <f t="shared" si="393"/>
        <v>88</v>
      </c>
      <c r="BZ134" s="57">
        <f t="shared" si="320"/>
        <v>527417</v>
      </c>
      <c r="CA134" s="62">
        <f t="shared" si="321"/>
        <v>61335.075119773173</v>
      </c>
      <c r="CB134" s="2">
        <f t="shared" si="394"/>
        <v>87</v>
      </c>
      <c r="CC134" s="57">
        <f t="shared" si="324"/>
        <v>552592</v>
      </c>
      <c r="CD134" s="62">
        <f t="shared" si="325"/>
        <v>66885.372473592928</v>
      </c>
      <c r="CE134" s="2">
        <f t="shared" si="395"/>
        <v>86</v>
      </c>
      <c r="CF134" s="57">
        <f t="shared" si="328"/>
        <v>578968</v>
      </c>
      <c r="CG134" s="62">
        <f t="shared" si="329"/>
        <v>72937.839782110459</v>
      </c>
      <c r="CH134" s="2">
        <v>85</v>
      </c>
      <c r="CI134" s="57">
        <f t="shared" si="332"/>
        <v>606603</v>
      </c>
      <c r="CJ134" s="62">
        <f t="shared" si="333"/>
        <v>79538.000492317165</v>
      </c>
      <c r="CK134" s="2">
        <v>84</v>
      </c>
      <c r="CL134" s="57">
        <f t="shared" si="336"/>
        <v>635558</v>
      </c>
      <c r="CM134" s="62">
        <f t="shared" si="337"/>
        <v>86735.539510882329</v>
      </c>
      <c r="CN134" s="2">
        <v>83</v>
      </c>
      <c r="CO134" s="57">
        <f t="shared" si="340"/>
        <v>665894</v>
      </c>
      <c r="CP134" s="62">
        <f t="shared" si="341"/>
        <v>94584.239334177837</v>
      </c>
      <c r="CQ134" s="2">
        <v>82</v>
      </c>
      <c r="CR134" s="57">
        <f t="shared" si="344"/>
        <v>697679</v>
      </c>
      <c r="CS134" s="62">
        <f t="shared" si="345"/>
        <v>103143.31942908927</v>
      </c>
      <c r="CT134" s="2">
        <v>81</v>
      </c>
      <c r="CU134" s="57">
        <f t="shared" si="348"/>
        <v>730980</v>
      </c>
      <c r="CV134" s="62">
        <f t="shared" si="349"/>
        <v>112476.74169991064</v>
      </c>
      <c r="CW134" s="2">
        <v>80</v>
      </c>
      <c r="CX134" s="57">
        <f t="shared" si="352"/>
        <v>765871</v>
      </c>
      <c r="CY134" s="62">
        <f t="shared" si="353"/>
        <v>122654.82487292917</v>
      </c>
      <c r="CZ134" s="2">
        <v>79</v>
      </c>
      <c r="DA134" s="57">
        <f t="shared" si="196"/>
        <v>0</v>
      </c>
      <c r="DB134" s="62">
        <f t="shared" si="355"/>
        <v>0</v>
      </c>
      <c r="DC134" s="2">
        <v>78</v>
      </c>
      <c r="DD134" s="57">
        <f t="shared" si="202"/>
        <v>0</v>
      </c>
      <c r="DE134" s="62">
        <f t="shared" si="358"/>
        <v>0</v>
      </c>
      <c r="DF134" s="2">
        <v>77</v>
      </c>
      <c r="DG134" s="57">
        <f t="shared" si="209"/>
        <v>0</v>
      </c>
      <c r="DH134" s="62">
        <f t="shared" si="361"/>
        <v>0</v>
      </c>
      <c r="DI134" s="2">
        <v>76</v>
      </c>
      <c r="DJ134" s="57">
        <f t="shared" si="215"/>
        <v>0</v>
      </c>
      <c r="DK134" s="62">
        <f t="shared" si="364"/>
        <v>0</v>
      </c>
      <c r="DL134" s="2">
        <v>75</v>
      </c>
      <c r="DM134" s="57">
        <f t="shared" si="222"/>
        <v>0</v>
      </c>
      <c r="DN134" s="62">
        <f t="shared" si="367"/>
        <v>0</v>
      </c>
      <c r="DO134" s="2">
        <v>74</v>
      </c>
      <c r="DP134" s="57">
        <f t="shared" si="227"/>
        <v>0</v>
      </c>
      <c r="DQ134" s="62">
        <f t="shared" si="396"/>
        <v>0</v>
      </c>
      <c r="DR134" s="2">
        <v>73</v>
      </c>
      <c r="DS134" s="57">
        <f t="shared" si="234"/>
        <v>0</v>
      </c>
      <c r="DT134" s="62">
        <f t="shared" si="399"/>
        <v>0</v>
      </c>
      <c r="DU134" s="2">
        <v>72</v>
      </c>
      <c r="DV134" s="57">
        <f t="shared" si="239"/>
        <v>0</v>
      </c>
      <c r="DW134" s="62">
        <f t="shared" si="402"/>
        <v>0</v>
      </c>
      <c r="DX134" s="2">
        <v>71</v>
      </c>
      <c r="DY134" s="57">
        <f t="shared" si="245"/>
        <v>0</v>
      </c>
      <c r="DZ134" s="62">
        <f t="shared" si="405"/>
        <v>0</v>
      </c>
      <c r="EA134" s="2">
        <v>70</v>
      </c>
      <c r="EB134" s="57">
        <f t="shared" si="411"/>
        <v>0</v>
      </c>
      <c r="EC134" s="62">
        <f t="shared" si="408"/>
        <v>0</v>
      </c>
      <c r="ED134" s="2">
        <v>69</v>
      </c>
      <c r="EE134" s="57">
        <f t="shared" si="415"/>
        <v>0</v>
      </c>
      <c r="EF134" s="62">
        <f t="shared" si="412"/>
        <v>0</v>
      </c>
      <c r="EG134" s="2">
        <v>68</v>
      </c>
      <c r="EH134" s="57">
        <f t="shared" si="419"/>
        <v>0</v>
      </c>
      <c r="EI134" s="62">
        <f t="shared" si="416"/>
        <v>0</v>
      </c>
      <c r="EJ134" s="2">
        <v>67</v>
      </c>
      <c r="EK134" s="57">
        <f t="shared" si="423"/>
        <v>0</v>
      </c>
      <c r="EL134" s="62">
        <f t="shared" si="420"/>
        <v>0</v>
      </c>
      <c r="EM134" s="2">
        <v>66</v>
      </c>
      <c r="EN134" s="57">
        <f t="shared" si="427"/>
        <v>0</v>
      </c>
      <c r="EO134" s="62">
        <f t="shared" si="424"/>
        <v>0</v>
      </c>
      <c r="EP134" s="2">
        <v>65</v>
      </c>
      <c r="EQ134" s="57">
        <f t="shared" ref="EQ134:EQ163" si="431">$E$68</f>
        <v>0</v>
      </c>
      <c r="ER134" s="62">
        <f t="shared" si="428"/>
        <v>0</v>
      </c>
      <c r="ES134" s="2">
        <v>64</v>
      </c>
      <c r="ET134" s="57">
        <f t="shared" ref="ET134:ET162" si="432">$E$69</f>
        <v>0</v>
      </c>
      <c r="EU134" s="62">
        <f t="shared" ref="EU134:EU163" si="433">SUM($G$10*$G$11*ET134*(EXP(-($G$10*ES134))),$G$10*$G$11*ET134*(EXP(-($G$10*(ES134+0.1)))),$G$10*$G$11*ET134*(EXP(-($G$10*(ES134+0.2)))),$G$10*$G$11*ET134*(EXP(-($G$10*(ES134+0.3)))),$G$10*$G$11*ET134*(EXP(-($G$10*(ES134+0.4)))),$G$10*$G$11*ET134*(EXP(-($G$10*(ES134+0.5)))),$G$10*$G$11*ET134*(EXP(-($G$10*(ES134+0.6)))),$G$10*$G$11*ET134*(EXP(-($G$10*(ES134+0.7)))),$G$10*$G$11*ET134*(EXP(-($G$10*(ES134+0.8)))),$G$10*$G$11*ET134*(EXP(-($G$10*(ES134+0.9)))))/10</f>
        <v>0</v>
      </c>
      <c r="EV134" s="2">
        <v>63</v>
      </c>
      <c r="EW134" s="57">
        <f t="shared" si="134"/>
        <v>0</v>
      </c>
      <c r="EX134" s="62">
        <f t="shared" si="291"/>
        <v>0</v>
      </c>
      <c r="EY134" s="2">
        <v>62</v>
      </c>
      <c r="EZ134" s="57">
        <f t="shared" si="141"/>
        <v>0</v>
      </c>
      <c r="FA134" s="62">
        <f t="shared" si="298"/>
        <v>0</v>
      </c>
      <c r="FB134" s="2">
        <v>61</v>
      </c>
      <c r="FC134" s="57">
        <f t="shared" si="142"/>
        <v>0</v>
      </c>
      <c r="FD134" s="62">
        <f t="shared" si="302"/>
        <v>0</v>
      </c>
      <c r="FE134" s="2">
        <v>60</v>
      </c>
      <c r="FF134" s="57">
        <f t="shared" si="149"/>
        <v>0</v>
      </c>
      <c r="FG134" s="62">
        <f t="shared" si="306"/>
        <v>0</v>
      </c>
      <c r="FH134" s="2">
        <v>59</v>
      </c>
      <c r="FI134" s="57">
        <f t="shared" si="150"/>
        <v>0</v>
      </c>
      <c r="FJ134" s="62">
        <f t="shared" si="310"/>
        <v>0</v>
      </c>
      <c r="FK134" s="2">
        <v>58</v>
      </c>
      <c r="FL134" s="57">
        <f t="shared" si="157"/>
        <v>0</v>
      </c>
      <c r="FM134" s="62">
        <f t="shared" si="314"/>
        <v>0</v>
      </c>
      <c r="FN134" s="2">
        <v>57</v>
      </c>
      <c r="FO134" s="57">
        <f t="shared" si="158"/>
        <v>0</v>
      </c>
      <c r="FP134" s="62">
        <f t="shared" si="318"/>
        <v>0</v>
      </c>
      <c r="FQ134" s="2">
        <v>56</v>
      </c>
      <c r="FR134" s="57">
        <f t="shared" si="165"/>
        <v>0</v>
      </c>
      <c r="FS134" s="62">
        <f t="shared" si="322"/>
        <v>0</v>
      </c>
      <c r="FT134" s="2">
        <v>55</v>
      </c>
      <c r="FU134" s="57">
        <f t="shared" si="166"/>
        <v>0</v>
      </c>
      <c r="FV134" s="62">
        <f t="shared" si="326"/>
        <v>0</v>
      </c>
      <c r="FW134" s="2">
        <v>54</v>
      </c>
      <c r="FX134" s="57">
        <f t="shared" si="170"/>
        <v>0</v>
      </c>
      <c r="FY134" s="62">
        <f t="shared" si="330"/>
        <v>0</v>
      </c>
      <c r="FZ134" s="2">
        <v>53</v>
      </c>
      <c r="GA134" s="57">
        <f t="shared" si="177"/>
        <v>0</v>
      </c>
      <c r="GB134" s="62">
        <f t="shared" si="334"/>
        <v>0</v>
      </c>
      <c r="GC134" s="2">
        <v>52</v>
      </c>
      <c r="GD134" s="57">
        <f t="shared" si="178"/>
        <v>0</v>
      </c>
      <c r="GE134" s="62">
        <f t="shared" si="338"/>
        <v>0</v>
      </c>
      <c r="GF134" s="2">
        <v>51</v>
      </c>
      <c r="GG134" s="57">
        <f t="shared" si="185"/>
        <v>0</v>
      </c>
      <c r="GH134" s="62">
        <f t="shared" si="342"/>
        <v>0</v>
      </c>
      <c r="GI134" s="2">
        <v>50</v>
      </c>
      <c r="GJ134" s="57">
        <f t="shared" si="186"/>
        <v>0</v>
      </c>
      <c r="GK134" s="62">
        <f t="shared" si="346"/>
        <v>0</v>
      </c>
      <c r="GL134" s="2">
        <v>49</v>
      </c>
      <c r="GM134" s="57">
        <f t="shared" si="193"/>
        <v>0</v>
      </c>
      <c r="GN134" s="62">
        <f t="shared" si="350"/>
        <v>0</v>
      </c>
      <c r="GO134" s="2">
        <v>48</v>
      </c>
      <c r="GP134" s="57">
        <f t="shared" si="194"/>
        <v>0</v>
      </c>
      <c r="GQ134" s="62">
        <f t="shared" si="354"/>
        <v>0</v>
      </c>
      <c r="GR134" s="2">
        <v>47</v>
      </c>
      <c r="GS134" s="57">
        <f t="shared" si="204"/>
        <v>0</v>
      </c>
      <c r="GT134" s="62">
        <f t="shared" si="356"/>
        <v>0</v>
      </c>
      <c r="GU134" s="2">
        <v>46</v>
      </c>
      <c r="GV134" s="57">
        <f t="shared" si="205"/>
        <v>0</v>
      </c>
      <c r="GW134" s="62">
        <f t="shared" si="359"/>
        <v>0</v>
      </c>
      <c r="GX134" s="2">
        <v>45</v>
      </c>
      <c r="GY134" s="57">
        <f t="shared" si="217"/>
        <v>0</v>
      </c>
      <c r="GZ134" s="62">
        <f t="shared" si="362"/>
        <v>0</v>
      </c>
      <c r="HA134" s="2">
        <v>44</v>
      </c>
      <c r="HB134" s="57">
        <f t="shared" si="218"/>
        <v>0</v>
      </c>
      <c r="HC134" s="62">
        <f t="shared" si="365"/>
        <v>0</v>
      </c>
      <c r="HD134" s="2">
        <v>43</v>
      </c>
      <c r="HE134" s="57">
        <f t="shared" si="229"/>
        <v>0</v>
      </c>
      <c r="HF134" s="62">
        <f t="shared" si="368"/>
        <v>0</v>
      </c>
      <c r="HG134" s="2">
        <v>42</v>
      </c>
      <c r="HH134" s="57">
        <f t="shared" si="230"/>
        <v>0</v>
      </c>
      <c r="HI134" s="62">
        <f t="shared" si="397"/>
        <v>0</v>
      </c>
      <c r="HJ134" s="2">
        <v>41</v>
      </c>
      <c r="HK134" s="57">
        <f t="shared" si="241"/>
        <v>0</v>
      </c>
      <c r="HL134" s="62">
        <f t="shared" si="400"/>
        <v>0</v>
      </c>
      <c r="HM134" s="2">
        <v>40</v>
      </c>
      <c r="HN134" s="57">
        <f t="shared" si="247"/>
        <v>0</v>
      </c>
      <c r="HO134" s="62">
        <f t="shared" si="403"/>
        <v>0</v>
      </c>
      <c r="HP134" s="2">
        <v>39</v>
      </c>
      <c r="HQ134" s="57">
        <f t="shared" si="248"/>
        <v>0</v>
      </c>
      <c r="HR134" s="62">
        <f t="shared" si="406"/>
        <v>0</v>
      </c>
      <c r="HS134" s="2">
        <v>38</v>
      </c>
      <c r="HT134" s="57">
        <f t="shared" si="257"/>
        <v>0</v>
      </c>
      <c r="HU134" s="62">
        <f t="shared" si="409"/>
        <v>0</v>
      </c>
      <c r="HV134" s="2">
        <v>37</v>
      </c>
      <c r="HW134" s="57">
        <f t="shared" si="258"/>
        <v>0</v>
      </c>
      <c r="HX134" s="62">
        <f t="shared" si="413"/>
        <v>0</v>
      </c>
      <c r="HY134" s="2">
        <v>36</v>
      </c>
      <c r="HZ134" s="57">
        <f t="shared" si="268"/>
        <v>0</v>
      </c>
      <c r="IA134" s="62">
        <f t="shared" si="417"/>
        <v>0</v>
      </c>
      <c r="IB134" s="2">
        <v>35</v>
      </c>
      <c r="IC134" s="57">
        <f t="shared" si="274"/>
        <v>0</v>
      </c>
      <c r="ID134" s="62">
        <f t="shared" si="421"/>
        <v>0</v>
      </c>
      <c r="IE134" s="2">
        <v>34</v>
      </c>
      <c r="IF134" s="57">
        <f t="shared" si="280"/>
        <v>0</v>
      </c>
      <c r="IG134" s="62">
        <f t="shared" si="425"/>
        <v>0</v>
      </c>
      <c r="IH134" s="2">
        <v>33</v>
      </c>
      <c r="II134" s="57">
        <f t="shared" si="281"/>
        <v>0</v>
      </c>
      <c r="IJ134" s="62">
        <f t="shared" si="429"/>
        <v>0</v>
      </c>
      <c r="IK134" s="2">
        <v>32</v>
      </c>
      <c r="IL134" s="57">
        <f t="shared" si="292"/>
        <v>0</v>
      </c>
      <c r="IM134" s="62">
        <f t="shared" ref="IM134:IM163" si="434">SUM($G$10*$G$11*IL134*(EXP(-($G$10*IK134))),$G$10*$G$11*IL134*(EXP(-($G$10*(IK134+0.1)))),$G$10*$G$11*IL134*(EXP(-($G$10*(IK134+0.2)))),$G$10*$G$11*IL134*(EXP(-($G$10*(IK134+0.3)))),$G$10*$G$11*IL134*(EXP(-($G$10*(IK134+0.4)))),$G$10*$G$11*IL134*(EXP(-($G$10*(IK134+0.5)))),$G$10*$G$11*IL134*(EXP(-($G$10*(IK134+0.6)))),$G$10*$G$11*IL134*(EXP(-($G$10*(IK134+0.7)))),$G$10*$G$11*IL134*(EXP(-($G$10*(IK134+0.8)))),$G$10*$G$11*IL134*(EXP(-($G$10*(IK134+0.9)))))/10</f>
        <v>0</v>
      </c>
      <c r="IN134" s="2">
        <v>31</v>
      </c>
      <c r="IO134" s="57">
        <f t="shared" si="293"/>
        <v>0</v>
      </c>
      <c r="IP134" s="62">
        <f t="shared" si="294"/>
        <v>0</v>
      </c>
    </row>
    <row r="135" spans="7:250">
      <c r="G135" s="284"/>
      <c r="H135" s="284"/>
      <c r="I135" s="2">
        <f t="shared" si="369"/>
        <v>2130</v>
      </c>
      <c r="J135" s="379">
        <f t="shared" si="264"/>
        <v>1327840.2309152435</v>
      </c>
      <c r="K135" s="2">
        <f t="shared" si="370"/>
        <v>111</v>
      </c>
      <c r="L135" s="57">
        <f t="shared" si="200"/>
        <v>189082</v>
      </c>
      <c r="M135" s="62">
        <f t="shared" si="357"/>
        <v>8763.0248129937681</v>
      </c>
      <c r="N135" s="2">
        <f t="shared" si="371"/>
        <v>110</v>
      </c>
      <c r="O135" s="57">
        <f t="shared" si="207"/>
        <v>293489</v>
      </c>
      <c r="P135" s="62">
        <f t="shared" si="360"/>
        <v>14156.877099076019</v>
      </c>
      <c r="Q135" s="2">
        <f t="shared" si="372"/>
        <v>109</v>
      </c>
      <c r="R135" s="57">
        <f t="shared" si="213"/>
        <v>283523</v>
      </c>
      <c r="S135" s="62">
        <f t="shared" si="363"/>
        <v>14234.286675346146</v>
      </c>
      <c r="T135" s="2">
        <f t="shared" si="373"/>
        <v>108</v>
      </c>
      <c r="U135" s="57">
        <f t="shared" si="220"/>
        <v>143321</v>
      </c>
      <c r="V135" s="62">
        <f t="shared" si="366"/>
        <v>7489.0895148260606</v>
      </c>
      <c r="W135" s="2">
        <f t="shared" si="374"/>
        <v>107</v>
      </c>
      <c r="X135" s="57">
        <f t="shared" si="225"/>
        <v>227851</v>
      </c>
      <c r="Y135" s="62">
        <f t="shared" si="375"/>
        <v>12392.014420196141</v>
      </c>
      <c r="Z135" s="2">
        <f t="shared" si="376"/>
        <v>106</v>
      </c>
      <c r="AA135" s="57">
        <f t="shared" si="232"/>
        <v>238727</v>
      </c>
      <c r="AB135" s="62">
        <f t="shared" si="398"/>
        <v>13513.389380231351</v>
      </c>
      <c r="AC135" s="2">
        <f t="shared" si="377"/>
        <v>105</v>
      </c>
      <c r="AD135" s="57">
        <f t="shared" si="237"/>
        <v>250122</v>
      </c>
      <c r="AE135" s="62">
        <f t="shared" si="401"/>
        <v>14736.231055617962</v>
      </c>
      <c r="AF135" s="2">
        <f t="shared" si="378"/>
        <v>104</v>
      </c>
      <c r="AG135" s="57">
        <f t="shared" si="243"/>
        <v>262060</v>
      </c>
      <c r="AH135" s="62">
        <f t="shared" si="404"/>
        <v>16069.673230448499</v>
      </c>
      <c r="AI135" s="2">
        <f t="shared" si="379"/>
        <v>103</v>
      </c>
      <c r="AJ135" s="57">
        <f t="shared" si="250"/>
        <v>274569</v>
      </c>
      <c r="AK135" s="62">
        <f t="shared" si="407"/>
        <v>17523.852549515294</v>
      </c>
      <c r="AL135" s="2">
        <f t="shared" si="380"/>
        <v>102</v>
      </c>
      <c r="AM135" s="57">
        <f t="shared" si="254"/>
        <v>287675</v>
      </c>
      <c r="AN135" s="62">
        <f t="shared" si="410"/>
        <v>19109.617281908773</v>
      </c>
      <c r="AO135" s="2">
        <f t="shared" si="381"/>
        <v>101</v>
      </c>
      <c r="AP135" s="57">
        <f t="shared" si="260"/>
        <v>301406</v>
      </c>
      <c r="AQ135" s="62">
        <f t="shared" si="414"/>
        <v>20838.840003702942</v>
      </c>
      <c r="AR135" s="2">
        <f t="shared" si="382"/>
        <v>100</v>
      </c>
      <c r="AS135" s="57">
        <f t="shared" si="265"/>
        <v>315793</v>
      </c>
      <c r="AT135" s="62">
        <f t="shared" si="418"/>
        <v>22724.583132234027</v>
      </c>
      <c r="AU135" s="2">
        <f t="shared" si="383"/>
        <v>99</v>
      </c>
      <c r="AV135" s="57">
        <f t="shared" si="271"/>
        <v>330866</v>
      </c>
      <c r="AW135" s="62">
        <f t="shared" si="422"/>
        <v>24780.915479392319</v>
      </c>
      <c r="AX135" s="2">
        <f t="shared" si="384"/>
        <v>98</v>
      </c>
      <c r="AY135" s="57">
        <f t="shared" si="277"/>
        <v>346659</v>
      </c>
      <c r="AZ135" s="62">
        <f t="shared" si="426"/>
        <v>27023.367321621212</v>
      </c>
      <c r="BA135" s="2">
        <f t="shared" si="385"/>
        <v>97</v>
      </c>
      <c r="BB135" s="57">
        <f t="shared" si="284"/>
        <v>363206</v>
      </c>
      <c r="BC135" s="62">
        <f t="shared" si="430"/>
        <v>29468.754326362261</v>
      </c>
      <c r="BD135" s="2">
        <f t="shared" si="386"/>
        <v>96</v>
      </c>
      <c r="BE135" s="57">
        <f t="shared" si="289"/>
        <v>380542</v>
      </c>
      <c r="BF135" s="62">
        <f t="shared" ref="BF135:BF163" si="435">SUM($G$10*$G$11*BE135*(EXP(-($G$10*BD135))),$G$10*$G$11*BE135*(EXP(-($G$10*(BD135+0.1)))),$G$10*$G$11*BE135*(EXP(-($G$10*(BD135+0.2)))),$G$10*$G$11*BE135*(EXP(-($G$10*(BD135+0.3)))),$G$10*$G$11*BE135*(EXP(-($G$10*(BD135+0.4)))),$G$10*$G$11*BE135*(EXP(-($G$10*(BD135+0.5)))),$G$10*$G$11*BE135*(EXP(-($G$10*(BD135+0.6)))),$G$10*$G$11*BE135*(EXP(-($G$10*(BD135+0.7)))),$G$10*$G$11*BE135*(EXP(-($G$10*(BD135+0.8)))),$G$10*$G$11*BE135*(EXP(-($G$10*(BD135+0.9)))))/10</f>
        <v>32135.357783299529</v>
      </c>
      <c r="BG135" s="2">
        <f t="shared" si="387"/>
        <v>95</v>
      </c>
      <c r="BH135" s="57">
        <f t="shared" si="296"/>
        <v>398706</v>
      </c>
      <c r="BI135" s="62">
        <f t="shared" si="297"/>
        <v>35043.307839125322</v>
      </c>
      <c r="BJ135" s="2">
        <f t="shared" si="388"/>
        <v>94</v>
      </c>
      <c r="BK135" s="57">
        <f t="shared" si="300"/>
        <v>417737</v>
      </c>
      <c r="BL135" s="62">
        <f t="shared" si="301"/>
        <v>38214.400007702527</v>
      </c>
      <c r="BM135" s="2">
        <f t="shared" si="389"/>
        <v>93</v>
      </c>
      <c r="BN135" s="57">
        <f t="shared" si="304"/>
        <v>437677</v>
      </c>
      <c r="BO135" s="62">
        <f t="shared" si="305"/>
        <v>41672.504867568889</v>
      </c>
      <c r="BP135" s="2">
        <f t="shared" si="390"/>
        <v>92</v>
      </c>
      <c r="BQ135" s="57">
        <f t="shared" si="308"/>
        <v>458568</v>
      </c>
      <c r="BR135" s="62">
        <f t="shared" si="309"/>
        <v>45443.461579439245</v>
      </c>
      <c r="BS135" s="2">
        <f t="shared" si="391"/>
        <v>91</v>
      </c>
      <c r="BT135" s="57">
        <f t="shared" si="312"/>
        <v>480456</v>
      </c>
      <c r="BU135" s="62">
        <f t="shared" si="313"/>
        <v>49555.636751646278</v>
      </c>
      <c r="BV135" s="2">
        <f t="shared" si="392"/>
        <v>90</v>
      </c>
      <c r="BW135" s="57">
        <f t="shared" si="316"/>
        <v>503389</v>
      </c>
      <c r="BX135" s="62">
        <f t="shared" si="317"/>
        <v>54039.950185474103</v>
      </c>
      <c r="BY135" s="2">
        <f t="shared" si="393"/>
        <v>89</v>
      </c>
      <c r="BZ135" s="57">
        <f t="shared" si="320"/>
        <v>527417</v>
      </c>
      <c r="CA135" s="62">
        <f t="shared" si="321"/>
        <v>58930.092424692484</v>
      </c>
      <c r="CB135" s="2">
        <f t="shared" si="394"/>
        <v>88</v>
      </c>
      <c r="CC135" s="57">
        <f t="shared" si="324"/>
        <v>552592</v>
      </c>
      <c r="CD135" s="62">
        <f t="shared" si="325"/>
        <v>64262.759506397575</v>
      </c>
      <c r="CE135" s="2">
        <f t="shared" si="395"/>
        <v>87</v>
      </c>
      <c r="CF135" s="57">
        <f t="shared" si="328"/>
        <v>578968</v>
      </c>
      <c r="CG135" s="62">
        <f t="shared" si="329"/>
        <v>70077.906177235927</v>
      </c>
      <c r="CH135" s="2">
        <v>86</v>
      </c>
      <c r="CI135" s="57">
        <f t="shared" si="332"/>
        <v>606603</v>
      </c>
      <c r="CJ135" s="62">
        <f t="shared" si="333"/>
        <v>76419.270884310637</v>
      </c>
      <c r="CK135" s="2">
        <v>85</v>
      </c>
      <c r="CL135" s="57">
        <f t="shared" si="336"/>
        <v>635558</v>
      </c>
      <c r="CM135" s="62">
        <f t="shared" si="337"/>
        <v>83334.590361234819</v>
      </c>
      <c r="CN135" s="2">
        <v>84</v>
      </c>
      <c r="CO135" s="57">
        <f t="shared" si="340"/>
        <v>665894</v>
      </c>
      <c r="CP135" s="62">
        <f t="shared" si="341"/>
        <v>90875.538262533839</v>
      </c>
      <c r="CQ135" s="2">
        <v>83</v>
      </c>
      <c r="CR135" s="57">
        <f t="shared" si="344"/>
        <v>697679</v>
      </c>
      <c r="CS135" s="62">
        <f t="shared" si="345"/>
        <v>99099.012026583601</v>
      </c>
      <c r="CT135" s="2">
        <v>82</v>
      </c>
      <c r="CU135" s="57">
        <f t="shared" si="348"/>
        <v>730980</v>
      </c>
      <c r="CV135" s="62">
        <f t="shared" si="349"/>
        <v>108066.46557553785</v>
      </c>
      <c r="CW135" s="2">
        <v>81</v>
      </c>
      <c r="CX135" s="57">
        <f t="shared" si="352"/>
        <v>765871</v>
      </c>
      <c r="CY135" s="62">
        <f t="shared" si="353"/>
        <v>117845.46039898801</v>
      </c>
      <c r="CZ135" s="2">
        <v>80</v>
      </c>
      <c r="DA135" s="57">
        <f t="shared" si="196"/>
        <v>0</v>
      </c>
      <c r="DB135" s="62">
        <f t="shared" si="355"/>
        <v>0</v>
      </c>
      <c r="DC135" s="2">
        <v>79</v>
      </c>
      <c r="DD135" s="57">
        <f t="shared" si="202"/>
        <v>0</v>
      </c>
      <c r="DE135" s="62">
        <f t="shared" si="358"/>
        <v>0</v>
      </c>
      <c r="DF135" s="2">
        <v>78</v>
      </c>
      <c r="DG135" s="57">
        <f t="shared" si="209"/>
        <v>0</v>
      </c>
      <c r="DH135" s="62">
        <f t="shared" si="361"/>
        <v>0</v>
      </c>
      <c r="DI135" s="2">
        <v>77</v>
      </c>
      <c r="DJ135" s="57">
        <f t="shared" si="215"/>
        <v>0</v>
      </c>
      <c r="DK135" s="62">
        <f t="shared" si="364"/>
        <v>0</v>
      </c>
      <c r="DL135" s="2">
        <v>76</v>
      </c>
      <c r="DM135" s="57">
        <f t="shared" si="222"/>
        <v>0</v>
      </c>
      <c r="DN135" s="62">
        <f t="shared" si="367"/>
        <v>0</v>
      </c>
      <c r="DO135" s="2">
        <v>75</v>
      </c>
      <c r="DP135" s="57">
        <f t="shared" si="227"/>
        <v>0</v>
      </c>
      <c r="DQ135" s="62">
        <f t="shared" si="396"/>
        <v>0</v>
      </c>
      <c r="DR135" s="2">
        <v>74</v>
      </c>
      <c r="DS135" s="57">
        <f t="shared" si="234"/>
        <v>0</v>
      </c>
      <c r="DT135" s="62">
        <f t="shared" si="399"/>
        <v>0</v>
      </c>
      <c r="DU135" s="2">
        <v>73</v>
      </c>
      <c r="DV135" s="57">
        <f t="shared" si="239"/>
        <v>0</v>
      </c>
      <c r="DW135" s="62">
        <f t="shared" si="402"/>
        <v>0</v>
      </c>
      <c r="DX135" s="2">
        <v>72</v>
      </c>
      <c r="DY135" s="57">
        <f t="shared" si="245"/>
        <v>0</v>
      </c>
      <c r="DZ135" s="62">
        <f t="shared" si="405"/>
        <v>0</v>
      </c>
      <c r="EA135" s="2">
        <v>71</v>
      </c>
      <c r="EB135" s="57">
        <f t="shared" si="411"/>
        <v>0</v>
      </c>
      <c r="EC135" s="62">
        <f t="shared" si="408"/>
        <v>0</v>
      </c>
      <c r="ED135" s="2">
        <v>70</v>
      </c>
      <c r="EE135" s="57">
        <f t="shared" si="415"/>
        <v>0</v>
      </c>
      <c r="EF135" s="62">
        <f t="shared" si="412"/>
        <v>0</v>
      </c>
      <c r="EG135" s="2">
        <v>69</v>
      </c>
      <c r="EH135" s="57">
        <f t="shared" si="419"/>
        <v>0</v>
      </c>
      <c r="EI135" s="62">
        <f t="shared" si="416"/>
        <v>0</v>
      </c>
      <c r="EJ135" s="2">
        <v>68</v>
      </c>
      <c r="EK135" s="57">
        <f t="shared" si="423"/>
        <v>0</v>
      </c>
      <c r="EL135" s="62">
        <f t="shared" si="420"/>
        <v>0</v>
      </c>
      <c r="EM135" s="2">
        <v>67</v>
      </c>
      <c r="EN135" s="57">
        <f t="shared" si="427"/>
        <v>0</v>
      </c>
      <c r="EO135" s="62">
        <f t="shared" si="424"/>
        <v>0</v>
      </c>
      <c r="EP135" s="2">
        <v>66</v>
      </c>
      <c r="EQ135" s="57">
        <f t="shared" si="431"/>
        <v>0</v>
      </c>
      <c r="ER135" s="62">
        <f t="shared" si="428"/>
        <v>0</v>
      </c>
      <c r="ES135" s="2">
        <v>65</v>
      </c>
      <c r="ET135" s="57">
        <f t="shared" si="432"/>
        <v>0</v>
      </c>
      <c r="EU135" s="62">
        <f t="shared" si="433"/>
        <v>0</v>
      </c>
      <c r="EV135" s="2">
        <v>64</v>
      </c>
      <c r="EW135" s="57">
        <f t="shared" ref="EW135:EW162" si="436">$E$70</f>
        <v>0</v>
      </c>
      <c r="EX135" s="62">
        <f t="shared" ref="EX135:EX163" si="437">SUM($G$10*$G$11*EW135*(EXP(-($G$10*EV135))),$G$10*$G$11*EW135*(EXP(-($G$10*(EV135+0.1)))),$G$10*$G$11*EW135*(EXP(-($G$10*(EV135+0.2)))),$G$10*$G$11*EW135*(EXP(-($G$10*(EV135+0.3)))),$G$10*$G$11*EW135*(EXP(-($G$10*(EV135+0.4)))),$G$10*$G$11*EW135*(EXP(-($G$10*(EV135+0.5)))),$G$10*$G$11*EW135*(EXP(-($G$10*(EV135+0.6)))),$G$10*$G$11*EW135*(EXP(-($G$10*(EV135+0.7)))),$G$10*$G$11*EW135*(EXP(-($G$10*(EV135+0.8)))),$G$10*$G$11*EW135*(EXP(-($G$10*(EV135+0.9)))))/10</f>
        <v>0</v>
      </c>
      <c r="EY135" s="2">
        <v>63</v>
      </c>
      <c r="EZ135" s="57">
        <f t="shared" si="141"/>
        <v>0</v>
      </c>
      <c r="FA135" s="62">
        <f t="shared" si="298"/>
        <v>0</v>
      </c>
      <c r="FB135" s="2">
        <v>62</v>
      </c>
      <c r="FC135" s="57">
        <f t="shared" si="142"/>
        <v>0</v>
      </c>
      <c r="FD135" s="62">
        <f t="shared" si="302"/>
        <v>0</v>
      </c>
      <c r="FE135" s="2">
        <v>61</v>
      </c>
      <c r="FF135" s="57">
        <f t="shared" si="149"/>
        <v>0</v>
      </c>
      <c r="FG135" s="62">
        <f t="shared" si="306"/>
        <v>0</v>
      </c>
      <c r="FH135" s="2">
        <v>60</v>
      </c>
      <c r="FI135" s="57">
        <f t="shared" si="150"/>
        <v>0</v>
      </c>
      <c r="FJ135" s="62">
        <f t="shared" si="310"/>
        <v>0</v>
      </c>
      <c r="FK135" s="2">
        <v>59</v>
      </c>
      <c r="FL135" s="57">
        <f t="shared" si="157"/>
        <v>0</v>
      </c>
      <c r="FM135" s="62">
        <f t="shared" si="314"/>
        <v>0</v>
      </c>
      <c r="FN135" s="2">
        <v>58</v>
      </c>
      <c r="FO135" s="57">
        <f t="shared" si="158"/>
        <v>0</v>
      </c>
      <c r="FP135" s="62">
        <f t="shared" si="318"/>
        <v>0</v>
      </c>
      <c r="FQ135" s="2">
        <v>57</v>
      </c>
      <c r="FR135" s="57">
        <f t="shared" si="165"/>
        <v>0</v>
      </c>
      <c r="FS135" s="62">
        <f t="shared" si="322"/>
        <v>0</v>
      </c>
      <c r="FT135" s="2">
        <v>56</v>
      </c>
      <c r="FU135" s="57">
        <f t="shared" si="166"/>
        <v>0</v>
      </c>
      <c r="FV135" s="62">
        <f t="shared" si="326"/>
        <v>0</v>
      </c>
      <c r="FW135" s="2">
        <v>55</v>
      </c>
      <c r="FX135" s="57">
        <f t="shared" si="170"/>
        <v>0</v>
      </c>
      <c r="FY135" s="62">
        <f t="shared" si="330"/>
        <v>0</v>
      </c>
      <c r="FZ135" s="2">
        <v>54</v>
      </c>
      <c r="GA135" s="57">
        <f t="shared" si="177"/>
        <v>0</v>
      </c>
      <c r="GB135" s="62">
        <f t="shared" si="334"/>
        <v>0</v>
      </c>
      <c r="GC135" s="2">
        <v>53</v>
      </c>
      <c r="GD135" s="57">
        <f t="shared" si="178"/>
        <v>0</v>
      </c>
      <c r="GE135" s="62">
        <f t="shared" si="338"/>
        <v>0</v>
      </c>
      <c r="GF135" s="2">
        <v>52</v>
      </c>
      <c r="GG135" s="57">
        <f t="shared" si="185"/>
        <v>0</v>
      </c>
      <c r="GH135" s="62">
        <f t="shared" si="342"/>
        <v>0</v>
      </c>
      <c r="GI135" s="2">
        <v>51</v>
      </c>
      <c r="GJ135" s="57">
        <f t="shared" si="186"/>
        <v>0</v>
      </c>
      <c r="GK135" s="62">
        <f t="shared" si="346"/>
        <v>0</v>
      </c>
      <c r="GL135" s="2">
        <v>50</v>
      </c>
      <c r="GM135" s="57">
        <f t="shared" si="193"/>
        <v>0</v>
      </c>
      <c r="GN135" s="62">
        <f t="shared" si="350"/>
        <v>0</v>
      </c>
      <c r="GO135" s="2">
        <v>49</v>
      </c>
      <c r="GP135" s="57">
        <f t="shared" si="194"/>
        <v>0</v>
      </c>
      <c r="GQ135" s="62">
        <f t="shared" si="354"/>
        <v>0</v>
      </c>
      <c r="GR135" s="2">
        <v>48</v>
      </c>
      <c r="GS135" s="57">
        <f t="shared" si="204"/>
        <v>0</v>
      </c>
      <c r="GT135" s="62">
        <f t="shared" si="356"/>
        <v>0</v>
      </c>
      <c r="GU135" s="2">
        <v>47</v>
      </c>
      <c r="GV135" s="57">
        <f t="shared" si="205"/>
        <v>0</v>
      </c>
      <c r="GW135" s="62">
        <f t="shared" si="359"/>
        <v>0</v>
      </c>
      <c r="GX135" s="2">
        <v>46</v>
      </c>
      <c r="GY135" s="57">
        <f t="shared" si="217"/>
        <v>0</v>
      </c>
      <c r="GZ135" s="62">
        <f t="shared" si="362"/>
        <v>0</v>
      </c>
      <c r="HA135" s="2">
        <v>45</v>
      </c>
      <c r="HB135" s="57">
        <f t="shared" si="218"/>
        <v>0</v>
      </c>
      <c r="HC135" s="62">
        <f t="shared" si="365"/>
        <v>0</v>
      </c>
      <c r="HD135" s="2">
        <v>44</v>
      </c>
      <c r="HE135" s="57">
        <f t="shared" si="229"/>
        <v>0</v>
      </c>
      <c r="HF135" s="62">
        <f t="shared" si="368"/>
        <v>0</v>
      </c>
      <c r="HG135" s="2">
        <v>43</v>
      </c>
      <c r="HH135" s="57">
        <f t="shared" si="230"/>
        <v>0</v>
      </c>
      <c r="HI135" s="62">
        <f t="shared" si="397"/>
        <v>0</v>
      </c>
      <c r="HJ135" s="2">
        <v>42</v>
      </c>
      <c r="HK135" s="57">
        <f t="shared" si="241"/>
        <v>0</v>
      </c>
      <c r="HL135" s="62">
        <f t="shared" si="400"/>
        <v>0</v>
      </c>
      <c r="HM135" s="2">
        <v>41</v>
      </c>
      <c r="HN135" s="57">
        <f t="shared" si="247"/>
        <v>0</v>
      </c>
      <c r="HO135" s="62">
        <f t="shared" si="403"/>
        <v>0</v>
      </c>
      <c r="HP135" s="2">
        <v>40</v>
      </c>
      <c r="HQ135" s="57">
        <f t="shared" si="248"/>
        <v>0</v>
      </c>
      <c r="HR135" s="62">
        <f t="shared" si="406"/>
        <v>0</v>
      </c>
      <c r="HS135" s="2">
        <v>39</v>
      </c>
      <c r="HT135" s="57">
        <f t="shared" si="257"/>
        <v>0</v>
      </c>
      <c r="HU135" s="62">
        <f t="shared" si="409"/>
        <v>0</v>
      </c>
      <c r="HV135" s="2">
        <v>38</v>
      </c>
      <c r="HW135" s="57">
        <f t="shared" si="258"/>
        <v>0</v>
      </c>
      <c r="HX135" s="62">
        <f t="shared" si="413"/>
        <v>0</v>
      </c>
      <c r="HY135" s="2">
        <v>37</v>
      </c>
      <c r="HZ135" s="57">
        <f t="shared" si="268"/>
        <v>0</v>
      </c>
      <c r="IA135" s="62">
        <f t="shared" si="417"/>
        <v>0</v>
      </c>
      <c r="IB135" s="2">
        <v>36</v>
      </c>
      <c r="IC135" s="57">
        <f t="shared" si="274"/>
        <v>0</v>
      </c>
      <c r="ID135" s="62">
        <f t="shared" si="421"/>
        <v>0</v>
      </c>
      <c r="IE135" s="2">
        <v>35</v>
      </c>
      <c r="IF135" s="57">
        <f t="shared" si="280"/>
        <v>0</v>
      </c>
      <c r="IG135" s="62">
        <f t="shared" si="425"/>
        <v>0</v>
      </c>
      <c r="IH135" s="2">
        <v>34</v>
      </c>
      <c r="II135" s="57">
        <f t="shared" si="281"/>
        <v>0</v>
      </c>
      <c r="IJ135" s="62">
        <f t="shared" si="429"/>
        <v>0</v>
      </c>
      <c r="IK135" s="2">
        <v>33</v>
      </c>
      <c r="IL135" s="57">
        <f t="shared" si="292"/>
        <v>0</v>
      </c>
      <c r="IM135" s="62">
        <f t="shared" si="434"/>
        <v>0</v>
      </c>
      <c r="IN135" s="2">
        <v>32</v>
      </c>
      <c r="IO135" s="57">
        <f t="shared" si="293"/>
        <v>0</v>
      </c>
      <c r="IP135" s="62">
        <f t="shared" ref="IP135:IP163" si="438">SUM($G$10*$G$11*IO135*(EXP(-($G$10*IN135))),$G$10*$G$11*IO135*(EXP(-($G$10*(IN135+0.1)))),$G$10*$G$11*IO135*(EXP(-($G$10*(IN135+0.2)))),$G$10*$G$11*IO135*(EXP(-($G$10*(IN135+0.3)))),$G$10*$G$11*IO135*(EXP(-($G$10*(IN135+0.4)))),$G$10*$G$11*IO135*(EXP(-($G$10*(IN135+0.5)))),$G$10*$G$11*IO135*(EXP(-($G$10*(IN135+0.6)))),$G$10*$G$11*IO135*(EXP(-($G$10*(IN135+0.7)))),$G$10*$G$11*IO135*(EXP(-($G$10*(IN135+0.8)))),$G$10*$G$11*IO135*(EXP(-($G$10*(IN135+0.9)))))/10</f>
        <v>0</v>
      </c>
    </row>
    <row r="136" spans="7:250">
      <c r="G136" s="284"/>
      <c r="H136" s="284"/>
      <c r="I136" s="2">
        <f t="shared" si="369"/>
        <v>2131</v>
      </c>
      <c r="J136" s="379">
        <f t="shared" si="264"/>
        <v>1275774.8707449478</v>
      </c>
      <c r="K136" s="2">
        <f t="shared" si="370"/>
        <v>112</v>
      </c>
      <c r="L136" s="57">
        <f t="shared" si="200"/>
        <v>189082</v>
      </c>
      <c r="M136" s="62">
        <f t="shared" si="357"/>
        <v>8419.4216953541727</v>
      </c>
      <c r="N136" s="2">
        <f t="shared" si="371"/>
        <v>111</v>
      </c>
      <c r="O136" s="57">
        <f t="shared" si="207"/>
        <v>293489</v>
      </c>
      <c r="P136" s="62">
        <f t="shared" si="360"/>
        <v>13601.77800816962</v>
      </c>
      <c r="Q136" s="2">
        <f t="shared" si="372"/>
        <v>110</v>
      </c>
      <c r="R136" s="57">
        <f t="shared" si="213"/>
        <v>283523</v>
      </c>
      <c r="S136" s="62">
        <f t="shared" si="363"/>
        <v>13676.152311539208</v>
      </c>
      <c r="T136" s="2">
        <f t="shared" si="373"/>
        <v>109</v>
      </c>
      <c r="U136" s="57">
        <f t="shared" si="220"/>
        <v>143321</v>
      </c>
      <c r="V136" s="62">
        <f t="shared" si="366"/>
        <v>7195.4381147112754</v>
      </c>
      <c r="W136" s="2">
        <f t="shared" si="374"/>
        <v>108</v>
      </c>
      <c r="X136" s="57">
        <f t="shared" si="225"/>
        <v>227851</v>
      </c>
      <c r="Y136" s="62">
        <f t="shared" si="375"/>
        <v>11906.11658474775</v>
      </c>
      <c r="Z136" s="2">
        <f t="shared" si="376"/>
        <v>107</v>
      </c>
      <c r="AA136" s="57">
        <f t="shared" si="232"/>
        <v>238727</v>
      </c>
      <c r="AB136" s="62">
        <f t="shared" si="398"/>
        <v>12983.521803679441</v>
      </c>
      <c r="AC136" s="2">
        <f t="shared" si="377"/>
        <v>106</v>
      </c>
      <c r="AD136" s="57">
        <f t="shared" si="237"/>
        <v>250122</v>
      </c>
      <c r="AE136" s="62">
        <f t="shared" si="401"/>
        <v>14158.415171146229</v>
      </c>
      <c r="AF136" s="2">
        <f t="shared" si="378"/>
        <v>105</v>
      </c>
      <c r="AG136" s="57">
        <f t="shared" si="243"/>
        <v>262060</v>
      </c>
      <c r="AH136" s="62">
        <f t="shared" si="404"/>
        <v>15439.572330443718</v>
      </c>
      <c r="AI136" s="2">
        <f t="shared" si="379"/>
        <v>104</v>
      </c>
      <c r="AJ136" s="57">
        <f t="shared" si="250"/>
        <v>274569</v>
      </c>
      <c r="AK136" s="62">
        <f t="shared" si="407"/>
        <v>16836.732462836808</v>
      </c>
      <c r="AL136" s="2">
        <f t="shared" si="380"/>
        <v>103</v>
      </c>
      <c r="AM136" s="57">
        <f t="shared" si="254"/>
        <v>287675</v>
      </c>
      <c r="AN136" s="62">
        <f t="shared" si="410"/>
        <v>18360.318470700673</v>
      </c>
      <c r="AO136" s="2">
        <f t="shared" si="381"/>
        <v>102</v>
      </c>
      <c r="AP136" s="57">
        <f t="shared" si="260"/>
        <v>301406</v>
      </c>
      <c r="AQ136" s="62">
        <f t="shared" si="414"/>
        <v>20021.737399742746</v>
      </c>
      <c r="AR136" s="2">
        <f t="shared" si="382"/>
        <v>101</v>
      </c>
      <c r="AS136" s="57">
        <f t="shared" si="265"/>
        <v>315793</v>
      </c>
      <c r="AT136" s="62">
        <f t="shared" si="418"/>
        <v>21833.539482589476</v>
      </c>
      <c r="AU136" s="2">
        <f t="shared" si="383"/>
        <v>100</v>
      </c>
      <c r="AV136" s="57">
        <f t="shared" si="271"/>
        <v>330866</v>
      </c>
      <c r="AW136" s="62">
        <f t="shared" si="422"/>
        <v>23809.241885126474</v>
      </c>
      <c r="AX136" s="2">
        <f t="shared" si="384"/>
        <v>99</v>
      </c>
      <c r="AY136" s="57">
        <f t="shared" si="277"/>
        <v>346659</v>
      </c>
      <c r="AZ136" s="62">
        <f t="shared" si="426"/>
        <v>25963.765932947663</v>
      </c>
      <c r="BA136" s="2">
        <f t="shared" si="385"/>
        <v>98</v>
      </c>
      <c r="BB136" s="57">
        <f t="shared" si="284"/>
        <v>363206</v>
      </c>
      <c r="BC136" s="62">
        <f t="shared" si="430"/>
        <v>28313.267941743194</v>
      </c>
      <c r="BD136" s="2">
        <f t="shared" si="386"/>
        <v>97</v>
      </c>
      <c r="BE136" s="57">
        <f t="shared" si="289"/>
        <v>380542</v>
      </c>
      <c r="BF136" s="62">
        <f t="shared" si="435"/>
        <v>30875.312381575604</v>
      </c>
      <c r="BG136" s="2">
        <f t="shared" si="387"/>
        <v>96</v>
      </c>
      <c r="BH136" s="57">
        <f t="shared" si="296"/>
        <v>398706</v>
      </c>
      <c r="BI136" s="62">
        <f t="shared" ref="BI136:BI163" si="439">SUM($G$10*$G$11*BH136*(EXP(-($G$10*BG136))),$G$10*$G$11*BH136*(EXP(-($G$10*(BG136+0.1)))),$G$10*$G$11*BH136*(EXP(-($G$10*(BG136+0.2)))),$G$10*$G$11*BH136*(EXP(-($G$10*(BG136+0.3)))),$G$10*$G$11*BH136*(EXP(-($G$10*(BG136+0.4)))),$G$10*$G$11*BH136*(EXP(-($G$10*(BG136+0.5)))),$G$10*$G$11*BH136*(EXP(-($G$10*(BG136+0.6)))),$G$10*$G$11*BH136*(EXP(-($G$10*(BG136+0.7)))),$G$10*$G$11*BH136*(EXP(-($G$10*(BG136+0.8)))),$G$10*$G$11*BH136*(EXP(-($G$10*(BG136+0.9)))))/10</f>
        <v>33669.240084795434</v>
      </c>
      <c r="BJ136" s="2">
        <f t="shared" si="388"/>
        <v>95</v>
      </c>
      <c r="BK136" s="57">
        <f t="shared" si="300"/>
        <v>417737</v>
      </c>
      <c r="BL136" s="62">
        <f t="shared" si="301"/>
        <v>36715.99195094304</v>
      </c>
      <c r="BM136" s="2">
        <f t="shared" si="389"/>
        <v>94</v>
      </c>
      <c r="BN136" s="57">
        <f t="shared" si="304"/>
        <v>437677</v>
      </c>
      <c r="BO136" s="62">
        <f t="shared" si="305"/>
        <v>40038.50257978397</v>
      </c>
      <c r="BP136" s="2">
        <f t="shared" si="390"/>
        <v>93</v>
      </c>
      <c r="BQ136" s="57">
        <f t="shared" si="308"/>
        <v>458568</v>
      </c>
      <c r="BR136" s="62">
        <f t="shared" si="309"/>
        <v>43661.597964049586</v>
      </c>
      <c r="BS136" s="2">
        <f t="shared" si="391"/>
        <v>92</v>
      </c>
      <c r="BT136" s="57">
        <f t="shared" si="312"/>
        <v>480456</v>
      </c>
      <c r="BU136" s="62">
        <f t="shared" si="313"/>
        <v>47612.532441450479</v>
      </c>
      <c r="BV136" s="2">
        <f t="shared" si="392"/>
        <v>91</v>
      </c>
      <c r="BW136" s="57">
        <f t="shared" si="316"/>
        <v>503389</v>
      </c>
      <c r="BX136" s="62">
        <f t="shared" si="317"/>
        <v>51921.013430521147</v>
      </c>
      <c r="BY136" s="2">
        <f t="shared" si="393"/>
        <v>90</v>
      </c>
      <c r="BZ136" s="57">
        <f t="shared" si="320"/>
        <v>527417</v>
      </c>
      <c r="CA136" s="62">
        <f t="shared" si="321"/>
        <v>56619.410449914867</v>
      </c>
      <c r="CB136" s="2">
        <f t="shared" si="394"/>
        <v>89</v>
      </c>
      <c r="CC136" s="57">
        <f t="shared" si="324"/>
        <v>552592</v>
      </c>
      <c r="CD136" s="62">
        <f t="shared" si="325"/>
        <v>61742.980664532362</v>
      </c>
      <c r="CE136" s="2">
        <f t="shared" si="395"/>
        <v>88</v>
      </c>
      <c r="CF136" s="57">
        <f t="shared" si="328"/>
        <v>578968</v>
      </c>
      <c r="CG136" s="62">
        <f t="shared" si="329"/>
        <v>67330.112172995636</v>
      </c>
      <c r="CH136" s="2">
        <v>87</v>
      </c>
      <c r="CI136" s="57">
        <f t="shared" si="332"/>
        <v>606603</v>
      </c>
      <c r="CJ136" s="62">
        <f t="shared" si="333"/>
        <v>73422.828413366267</v>
      </c>
      <c r="CK136" s="2">
        <v>86</v>
      </c>
      <c r="CL136" s="57">
        <f t="shared" si="336"/>
        <v>635558</v>
      </c>
      <c r="CM136" s="62">
        <f t="shared" si="337"/>
        <v>80066.994335159383</v>
      </c>
      <c r="CN136" s="2">
        <v>85</v>
      </c>
      <c r="CO136" s="57">
        <f t="shared" si="340"/>
        <v>665894</v>
      </c>
      <c r="CP136" s="62">
        <f t="shared" si="341"/>
        <v>87312.257439925364</v>
      </c>
      <c r="CQ136" s="2">
        <v>84</v>
      </c>
      <c r="CR136" s="57">
        <f t="shared" si="344"/>
        <v>697679</v>
      </c>
      <c r="CS136" s="62">
        <f t="shared" si="345"/>
        <v>95213.284185570592</v>
      </c>
      <c r="CT136" s="2">
        <v>83</v>
      </c>
      <c r="CU136" s="57">
        <f t="shared" si="348"/>
        <v>730980</v>
      </c>
      <c r="CV136" s="62">
        <f t="shared" si="349"/>
        <v>103829.11885149486</v>
      </c>
      <c r="CW136" s="2">
        <v>82</v>
      </c>
      <c r="CX136" s="57">
        <f t="shared" si="352"/>
        <v>765871</v>
      </c>
      <c r="CY136" s="62">
        <f t="shared" si="353"/>
        <v>113224.67380339102</v>
      </c>
      <c r="CZ136" s="2">
        <v>81</v>
      </c>
      <c r="DA136" s="57">
        <f t="shared" si="196"/>
        <v>0</v>
      </c>
      <c r="DB136" s="62">
        <f t="shared" si="355"/>
        <v>0</v>
      </c>
      <c r="DC136" s="2">
        <v>80</v>
      </c>
      <c r="DD136" s="57">
        <f t="shared" si="202"/>
        <v>0</v>
      </c>
      <c r="DE136" s="62">
        <f t="shared" si="358"/>
        <v>0</v>
      </c>
      <c r="DF136" s="2">
        <v>79</v>
      </c>
      <c r="DG136" s="57">
        <f t="shared" si="209"/>
        <v>0</v>
      </c>
      <c r="DH136" s="62">
        <f t="shared" si="361"/>
        <v>0</v>
      </c>
      <c r="DI136" s="2">
        <v>78</v>
      </c>
      <c r="DJ136" s="57">
        <f t="shared" si="215"/>
        <v>0</v>
      </c>
      <c r="DK136" s="62">
        <f t="shared" si="364"/>
        <v>0</v>
      </c>
      <c r="DL136" s="2">
        <v>77</v>
      </c>
      <c r="DM136" s="57">
        <f t="shared" si="222"/>
        <v>0</v>
      </c>
      <c r="DN136" s="62">
        <f t="shared" si="367"/>
        <v>0</v>
      </c>
      <c r="DO136" s="2">
        <v>76</v>
      </c>
      <c r="DP136" s="57">
        <f t="shared" si="227"/>
        <v>0</v>
      </c>
      <c r="DQ136" s="62">
        <f t="shared" si="396"/>
        <v>0</v>
      </c>
      <c r="DR136" s="2">
        <v>75</v>
      </c>
      <c r="DS136" s="57">
        <f t="shared" si="234"/>
        <v>0</v>
      </c>
      <c r="DT136" s="62">
        <f t="shared" si="399"/>
        <v>0</v>
      </c>
      <c r="DU136" s="2">
        <v>74</v>
      </c>
      <c r="DV136" s="57">
        <f t="shared" si="239"/>
        <v>0</v>
      </c>
      <c r="DW136" s="62">
        <f t="shared" si="402"/>
        <v>0</v>
      </c>
      <c r="DX136" s="2">
        <v>73</v>
      </c>
      <c r="DY136" s="57">
        <f t="shared" si="245"/>
        <v>0</v>
      </c>
      <c r="DZ136" s="62">
        <f t="shared" si="405"/>
        <v>0</v>
      </c>
      <c r="EA136" s="2">
        <v>72</v>
      </c>
      <c r="EB136" s="57">
        <f t="shared" si="411"/>
        <v>0</v>
      </c>
      <c r="EC136" s="62">
        <f t="shared" si="408"/>
        <v>0</v>
      </c>
      <c r="ED136" s="2">
        <v>71</v>
      </c>
      <c r="EE136" s="57">
        <f t="shared" si="415"/>
        <v>0</v>
      </c>
      <c r="EF136" s="62">
        <f t="shared" si="412"/>
        <v>0</v>
      </c>
      <c r="EG136" s="2">
        <v>70</v>
      </c>
      <c r="EH136" s="57">
        <f t="shared" si="419"/>
        <v>0</v>
      </c>
      <c r="EI136" s="62">
        <f t="shared" si="416"/>
        <v>0</v>
      </c>
      <c r="EJ136" s="2">
        <v>69</v>
      </c>
      <c r="EK136" s="57">
        <f t="shared" si="423"/>
        <v>0</v>
      </c>
      <c r="EL136" s="62">
        <f t="shared" si="420"/>
        <v>0</v>
      </c>
      <c r="EM136" s="2">
        <v>68</v>
      </c>
      <c r="EN136" s="57">
        <f t="shared" si="427"/>
        <v>0</v>
      </c>
      <c r="EO136" s="62">
        <f t="shared" si="424"/>
        <v>0</v>
      </c>
      <c r="EP136" s="2">
        <v>67</v>
      </c>
      <c r="EQ136" s="57">
        <f t="shared" si="431"/>
        <v>0</v>
      </c>
      <c r="ER136" s="62">
        <f t="shared" si="428"/>
        <v>0</v>
      </c>
      <c r="ES136" s="2">
        <v>66</v>
      </c>
      <c r="ET136" s="57">
        <f t="shared" si="432"/>
        <v>0</v>
      </c>
      <c r="EU136" s="62">
        <f t="shared" si="433"/>
        <v>0</v>
      </c>
      <c r="EV136" s="2">
        <v>65</v>
      </c>
      <c r="EW136" s="57">
        <f t="shared" si="436"/>
        <v>0</v>
      </c>
      <c r="EX136" s="62">
        <f t="shared" si="437"/>
        <v>0</v>
      </c>
      <c r="EY136" s="2">
        <v>64</v>
      </c>
      <c r="EZ136" s="57">
        <f t="shared" si="141"/>
        <v>0</v>
      </c>
      <c r="FA136" s="62">
        <f t="shared" ref="FA136:FA163" si="440">SUM($G$10*$G$11*EZ136*(EXP(-($G$10*EY136))),$G$10*$G$11*EZ136*(EXP(-($G$10*(EY136+0.1)))),$G$10*$G$11*EZ136*(EXP(-($G$10*(EY136+0.2)))),$G$10*$G$11*EZ136*(EXP(-($G$10*(EY136+0.3)))),$G$10*$G$11*EZ136*(EXP(-($G$10*(EY136+0.4)))),$G$10*$G$11*EZ136*(EXP(-($G$10*(EY136+0.5)))),$G$10*$G$11*EZ136*(EXP(-($G$10*(EY136+0.6)))),$G$10*$G$11*EZ136*(EXP(-($G$10*(EY136+0.7)))),$G$10*$G$11*EZ136*(EXP(-($G$10*(EY136+0.8)))),$G$10*$G$11*EZ136*(EXP(-($G$10*(EY136+0.9)))))/10</f>
        <v>0</v>
      </c>
      <c r="FB136" s="2">
        <v>63</v>
      </c>
      <c r="FC136" s="57">
        <f t="shared" si="142"/>
        <v>0</v>
      </c>
      <c r="FD136" s="62">
        <f t="shared" si="302"/>
        <v>0</v>
      </c>
      <c r="FE136" s="2">
        <v>62</v>
      </c>
      <c r="FF136" s="57">
        <f t="shared" si="149"/>
        <v>0</v>
      </c>
      <c r="FG136" s="62">
        <f t="shared" si="306"/>
        <v>0</v>
      </c>
      <c r="FH136" s="2">
        <v>61</v>
      </c>
      <c r="FI136" s="57">
        <f t="shared" si="150"/>
        <v>0</v>
      </c>
      <c r="FJ136" s="62">
        <f t="shared" si="310"/>
        <v>0</v>
      </c>
      <c r="FK136" s="2">
        <v>60</v>
      </c>
      <c r="FL136" s="57">
        <f t="shared" si="157"/>
        <v>0</v>
      </c>
      <c r="FM136" s="62">
        <f t="shared" si="314"/>
        <v>0</v>
      </c>
      <c r="FN136" s="2">
        <v>59</v>
      </c>
      <c r="FO136" s="57">
        <f t="shared" si="158"/>
        <v>0</v>
      </c>
      <c r="FP136" s="62">
        <f t="shared" si="318"/>
        <v>0</v>
      </c>
      <c r="FQ136" s="2">
        <v>58</v>
      </c>
      <c r="FR136" s="57">
        <f t="shared" si="165"/>
        <v>0</v>
      </c>
      <c r="FS136" s="62">
        <f t="shared" si="322"/>
        <v>0</v>
      </c>
      <c r="FT136" s="2">
        <v>57</v>
      </c>
      <c r="FU136" s="57">
        <f t="shared" si="166"/>
        <v>0</v>
      </c>
      <c r="FV136" s="62">
        <f t="shared" si="326"/>
        <v>0</v>
      </c>
      <c r="FW136" s="2">
        <v>56</v>
      </c>
      <c r="FX136" s="57">
        <f t="shared" si="170"/>
        <v>0</v>
      </c>
      <c r="FY136" s="62">
        <f t="shared" si="330"/>
        <v>0</v>
      </c>
      <c r="FZ136" s="2">
        <v>55</v>
      </c>
      <c r="GA136" s="57">
        <f t="shared" si="177"/>
        <v>0</v>
      </c>
      <c r="GB136" s="62">
        <f t="shared" si="334"/>
        <v>0</v>
      </c>
      <c r="GC136" s="2">
        <v>54</v>
      </c>
      <c r="GD136" s="57">
        <f t="shared" si="178"/>
        <v>0</v>
      </c>
      <c r="GE136" s="62">
        <f t="shared" si="338"/>
        <v>0</v>
      </c>
      <c r="GF136" s="2">
        <v>53</v>
      </c>
      <c r="GG136" s="57">
        <f t="shared" si="185"/>
        <v>0</v>
      </c>
      <c r="GH136" s="62">
        <f t="shared" si="342"/>
        <v>0</v>
      </c>
      <c r="GI136" s="2">
        <v>52</v>
      </c>
      <c r="GJ136" s="57">
        <f t="shared" si="186"/>
        <v>0</v>
      </c>
      <c r="GK136" s="62">
        <f t="shared" si="346"/>
        <v>0</v>
      </c>
      <c r="GL136" s="2">
        <v>51</v>
      </c>
      <c r="GM136" s="57">
        <f t="shared" si="193"/>
        <v>0</v>
      </c>
      <c r="GN136" s="62">
        <f t="shared" si="350"/>
        <v>0</v>
      </c>
      <c r="GO136" s="2">
        <v>50</v>
      </c>
      <c r="GP136" s="57">
        <f t="shared" si="194"/>
        <v>0</v>
      </c>
      <c r="GQ136" s="62">
        <f t="shared" si="354"/>
        <v>0</v>
      </c>
      <c r="GR136" s="2">
        <v>49</v>
      </c>
      <c r="GS136" s="57">
        <f t="shared" si="204"/>
        <v>0</v>
      </c>
      <c r="GT136" s="62">
        <f t="shared" si="356"/>
        <v>0</v>
      </c>
      <c r="GU136" s="2">
        <v>48</v>
      </c>
      <c r="GV136" s="57">
        <f t="shared" si="205"/>
        <v>0</v>
      </c>
      <c r="GW136" s="62">
        <f t="shared" si="359"/>
        <v>0</v>
      </c>
      <c r="GX136" s="2">
        <v>47</v>
      </c>
      <c r="GY136" s="57">
        <f t="shared" si="217"/>
        <v>0</v>
      </c>
      <c r="GZ136" s="62">
        <f t="shared" si="362"/>
        <v>0</v>
      </c>
      <c r="HA136" s="2">
        <v>46</v>
      </c>
      <c r="HB136" s="57">
        <f t="shared" si="218"/>
        <v>0</v>
      </c>
      <c r="HC136" s="62">
        <f t="shared" si="365"/>
        <v>0</v>
      </c>
      <c r="HD136" s="2">
        <v>45</v>
      </c>
      <c r="HE136" s="57">
        <f t="shared" si="229"/>
        <v>0</v>
      </c>
      <c r="HF136" s="62">
        <f t="shared" si="368"/>
        <v>0</v>
      </c>
      <c r="HG136" s="2">
        <v>44</v>
      </c>
      <c r="HH136" s="57">
        <f t="shared" si="230"/>
        <v>0</v>
      </c>
      <c r="HI136" s="62">
        <f t="shared" si="397"/>
        <v>0</v>
      </c>
      <c r="HJ136" s="2">
        <v>43</v>
      </c>
      <c r="HK136" s="57">
        <f t="shared" si="241"/>
        <v>0</v>
      </c>
      <c r="HL136" s="62">
        <f t="shared" si="400"/>
        <v>0</v>
      </c>
      <c r="HM136" s="2">
        <v>42</v>
      </c>
      <c r="HN136" s="57">
        <f t="shared" si="247"/>
        <v>0</v>
      </c>
      <c r="HO136" s="62">
        <f t="shared" si="403"/>
        <v>0</v>
      </c>
      <c r="HP136" s="2">
        <v>41</v>
      </c>
      <c r="HQ136" s="57">
        <f t="shared" si="248"/>
        <v>0</v>
      </c>
      <c r="HR136" s="62">
        <f t="shared" si="406"/>
        <v>0</v>
      </c>
      <c r="HS136" s="2">
        <v>40</v>
      </c>
      <c r="HT136" s="57">
        <f t="shared" si="257"/>
        <v>0</v>
      </c>
      <c r="HU136" s="62">
        <f t="shared" si="409"/>
        <v>0</v>
      </c>
      <c r="HV136" s="2">
        <v>39</v>
      </c>
      <c r="HW136" s="57">
        <f t="shared" si="258"/>
        <v>0</v>
      </c>
      <c r="HX136" s="62">
        <f t="shared" si="413"/>
        <v>0</v>
      </c>
      <c r="HY136" s="2">
        <v>38</v>
      </c>
      <c r="HZ136" s="57">
        <f t="shared" si="268"/>
        <v>0</v>
      </c>
      <c r="IA136" s="62">
        <f t="shared" si="417"/>
        <v>0</v>
      </c>
      <c r="IB136" s="2">
        <v>37</v>
      </c>
      <c r="IC136" s="57">
        <f t="shared" si="274"/>
        <v>0</v>
      </c>
      <c r="ID136" s="62">
        <f t="shared" si="421"/>
        <v>0</v>
      </c>
      <c r="IE136" s="2">
        <v>36</v>
      </c>
      <c r="IF136" s="57">
        <f t="shared" si="280"/>
        <v>0</v>
      </c>
      <c r="IG136" s="62">
        <f t="shared" si="425"/>
        <v>0</v>
      </c>
      <c r="IH136" s="2">
        <v>35</v>
      </c>
      <c r="II136" s="57">
        <f t="shared" si="281"/>
        <v>0</v>
      </c>
      <c r="IJ136" s="62">
        <f t="shared" si="429"/>
        <v>0</v>
      </c>
      <c r="IK136" s="2">
        <v>34</v>
      </c>
      <c r="IL136" s="57">
        <f t="shared" si="292"/>
        <v>0</v>
      </c>
      <c r="IM136" s="62">
        <f t="shared" si="434"/>
        <v>0</v>
      </c>
      <c r="IN136" s="2">
        <v>33</v>
      </c>
      <c r="IO136" s="57">
        <f t="shared" si="293"/>
        <v>0</v>
      </c>
      <c r="IP136" s="62">
        <f t="shared" si="438"/>
        <v>0</v>
      </c>
    </row>
    <row r="137" spans="7:250">
      <c r="G137" s="284"/>
      <c r="H137" s="284"/>
      <c r="I137" s="2">
        <f t="shared" si="369"/>
        <v>2132</v>
      </c>
      <c r="J137" s="379">
        <f t="shared" si="264"/>
        <v>1225751.0225476662</v>
      </c>
      <c r="K137" s="2">
        <f t="shared" si="370"/>
        <v>113</v>
      </c>
      <c r="L137" s="57">
        <f t="shared" si="200"/>
        <v>189082</v>
      </c>
      <c r="M137" s="62">
        <f t="shared" si="357"/>
        <v>8089.2914486662385</v>
      </c>
      <c r="N137" s="2">
        <f t="shared" si="371"/>
        <v>112</v>
      </c>
      <c r="O137" s="57">
        <f t="shared" si="207"/>
        <v>293489</v>
      </c>
      <c r="P137" s="62">
        <f t="shared" si="360"/>
        <v>13068.444663943692</v>
      </c>
      <c r="Q137" s="2">
        <f t="shared" si="372"/>
        <v>111</v>
      </c>
      <c r="R137" s="57">
        <f t="shared" si="213"/>
        <v>283523</v>
      </c>
      <c r="S137" s="62">
        <f t="shared" si="363"/>
        <v>13139.902709165504</v>
      </c>
      <c r="T137" s="2">
        <f t="shared" si="373"/>
        <v>110</v>
      </c>
      <c r="U137" s="57">
        <f t="shared" si="220"/>
        <v>143321</v>
      </c>
      <c r="V137" s="62">
        <f t="shared" si="366"/>
        <v>6913.3009506886956</v>
      </c>
      <c r="W137" s="2">
        <f t="shared" si="374"/>
        <v>109</v>
      </c>
      <c r="X137" s="57">
        <f t="shared" si="225"/>
        <v>227851</v>
      </c>
      <c r="Y137" s="62">
        <f t="shared" si="375"/>
        <v>11439.271075941968</v>
      </c>
      <c r="Z137" s="2">
        <f t="shared" si="376"/>
        <v>108</v>
      </c>
      <c r="AA137" s="57">
        <f t="shared" si="232"/>
        <v>238727</v>
      </c>
      <c r="AB137" s="62">
        <f t="shared" si="398"/>
        <v>12474.430631979129</v>
      </c>
      <c r="AC137" s="2">
        <f t="shared" si="377"/>
        <v>107</v>
      </c>
      <c r="AD137" s="57">
        <f t="shared" si="237"/>
        <v>250122</v>
      </c>
      <c r="AE137" s="62">
        <f t="shared" si="401"/>
        <v>13603.25577157133</v>
      </c>
      <c r="AF137" s="2">
        <f t="shared" si="378"/>
        <v>106</v>
      </c>
      <c r="AG137" s="57">
        <f t="shared" si="243"/>
        <v>262060</v>
      </c>
      <c r="AH137" s="62">
        <f t="shared" si="404"/>
        <v>14834.178040118746</v>
      </c>
      <c r="AI137" s="2">
        <f t="shared" si="379"/>
        <v>105</v>
      </c>
      <c r="AJ137" s="57">
        <f t="shared" si="250"/>
        <v>274569</v>
      </c>
      <c r="AK137" s="62">
        <f t="shared" si="407"/>
        <v>16176.554740126692</v>
      </c>
      <c r="AL137" s="2">
        <f t="shared" si="380"/>
        <v>104</v>
      </c>
      <c r="AM137" s="57">
        <f t="shared" si="254"/>
        <v>287675</v>
      </c>
      <c r="AN137" s="62">
        <f t="shared" si="410"/>
        <v>17640.400086122536</v>
      </c>
      <c r="AO137" s="2">
        <f t="shared" si="381"/>
        <v>103</v>
      </c>
      <c r="AP137" s="57">
        <f t="shared" si="260"/>
        <v>301406</v>
      </c>
      <c r="AQ137" s="62">
        <f t="shared" si="414"/>
        <v>19236.673847153925</v>
      </c>
      <c r="AR137" s="2">
        <f t="shared" si="382"/>
        <v>102</v>
      </c>
      <c r="AS137" s="57">
        <f t="shared" si="265"/>
        <v>315793</v>
      </c>
      <c r="AT137" s="62">
        <f t="shared" si="418"/>
        <v>20977.434154187242</v>
      </c>
      <c r="AU137" s="2">
        <f t="shared" si="383"/>
        <v>101</v>
      </c>
      <c r="AV137" s="57">
        <f t="shared" si="271"/>
        <v>330866</v>
      </c>
      <c r="AW137" s="62">
        <f t="shared" si="422"/>
        <v>22875.668157452666</v>
      </c>
      <c r="AX137" s="2">
        <f t="shared" si="384"/>
        <v>100</v>
      </c>
      <c r="AY137" s="57">
        <f t="shared" si="277"/>
        <v>346659</v>
      </c>
      <c r="AZ137" s="62">
        <f t="shared" si="426"/>
        <v>24945.712108998985</v>
      </c>
      <c r="BA137" s="2">
        <f t="shared" si="385"/>
        <v>99</v>
      </c>
      <c r="BB137" s="57">
        <f t="shared" si="284"/>
        <v>363206</v>
      </c>
      <c r="BC137" s="62">
        <f t="shared" si="430"/>
        <v>27203.088826316893</v>
      </c>
      <c r="BD137" s="2">
        <f t="shared" si="386"/>
        <v>98</v>
      </c>
      <c r="BE137" s="57">
        <f t="shared" si="289"/>
        <v>380542</v>
      </c>
      <c r="BF137" s="62">
        <f t="shared" si="435"/>
        <v>29664.674066746793</v>
      </c>
      <c r="BG137" s="2">
        <f t="shared" si="387"/>
        <v>97</v>
      </c>
      <c r="BH137" s="57">
        <f t="shared" si="296"/>
        <v>398706</v>
      </c>
      <c r="BI137" s="62">
        <f t="shared" si="439"/>
        <v>32349.050297755522</v>
      </c>
      <c r="BJ137" s="2">
        <f t="shared" si="388"/>
        <v>96</v>
      </c>
      <c r="BK137" s="57">
        <f t="shared" si="300"/>
        <v>417737</v>
      </c>
      <c r="BL137" s="62">
        <f t="shared" ref="BL137:BL163" si="441">SUM($G$10*$G$11*BK137*(EXP(-($G$10*BJ137))),$G$10*$G$11*BK137*(EXP(-($G$10*(BJ137+0.1)))),$G$10*$G$11*BK137*(EXP(-($G$10*(BJ137+0.2)))),$G$10*$G$11*BK137*(EXP(-($G$10*(BJ137+0.3)))),$G$10*$G$11*BK137*(EXP(-($G$10*(BJ137+0.4)))),$G$10*$G$11*BK137*(EXP(-($G$10*(BJ137+0.5)))),$G$10*$G$11*BK137*(EXP(-($G$10*(BJ137+0.6)))),$G$10*$G$11*BK137*(EXP(-($G$10*(BJ137+0.7)))),$G$10*$G$11*BK137*(EXP(-($G$10*(BJ137+0.8)))),$G$10*$G$11*BK137*(EXP(-($G$10*(BJ137+0.9)))))/10</f>
        <v>35276.337314467775</v>
      </c>
      <c r="BM137" s="2">
        <f t="shared" si="389"/>
        <v>95</v>
      </c>
      <c r="BN137" s="57">
        <f t="shared" si="304"/>
        <v>437677</v>
      </c>
      <c r="BO137" s="62">
        <f t="shared" si="305"/>
        <v>38468.570438129493</v>
      </c>
      <c r="BP137" s="2">
        <f t="shared" si="390"/>
        <v>94</v>
      </c>
      <c r="BQ137" s="57">
        <f t="shared" si="308"/>
        <v>458568</v>
      </c>
      <c r="BR137" s="62">
        <f t="shared" si="309"/>
        <v>41949.602220373417</v>
      </c>
      <c r="BS137" s="2">
        <f t="shared" si="391"/>
        <v>93</v>
      </c>
      <c r="BT137" s="57">
        <f t="shared" si="312"/>
        <v>480456</v>
      </c>
      <c r="BU137" s="62">
        <f t="shared" si="313"/>
        <v>45745.618341042995</v>
      </c>
      <c r="BV137" s="2">
        <f t="shared" si="392"/>
        <v>92</v>
      </c>
      <c r="BW137" s="57">
        <f t="shared" si="316"/>
        <v>503389</v>
      </c>
      <c r="BX137" s="62">
        <f t="shared" si="317"/>
        <v>49885.161374130657</v>
      </c>
      <c r="BY137" s="2">
        <f t="shared" si="393"/>
        <v>91</v>
      </c>
      <c r="BZ137" s="57">
        <f t="shared" si="320"/>
        <v>527417</v>
      </c>
      <c r="CA137" s="62">
        <f t="shared" si="321"/>
        <v>54399.331611308888</v>
      </c>
      <c r="CB137" s="2">
        <f t="shared" si="394"/>
        <v>90</v>
      </c>
      <c r="CC137" s="57">
        <f t="shared" si="324"/>
        <v>552592</v>
      </c>
      <c r="CD137" s="62">
        <f t="shared" si="325"/>
        <v>59322.003764268804</v>
      </c>
      <c r="CE137" s="2">
        <f t="shared" si="395"/>
        <v>89</v>
      </c>
      <c r="CF137" s="57">
        <f t="shared" si="328"/>
        <v>578968</v>
      </c>
      <c r="CG137" s="62">
        <f t="shared" si="329"/>
        <v>64690.060712755483</v>
      </c>
      <c r="CH137" s="2">
        <v>88</v>
      </c>
      <c r="CI137" s="57">
        <f t="shared" si="332"/>
        <v>606603</v>
      </c>
      <c r="CJ137" s="62">
        <f t="shared" si="333"/>
        <v>70543.878132255428</v>
      </c>
      <c r="CK137" s="2">
        <v>87</v>
      </c>
      <c r="CL137" s="57">
        <f t="shared" si="336"/>
        <v>635558</v>
      </c>
      <c r="CM137" s="62">
        <f t="shared" si="337"/>
        <v>76927.522581890036</v>
      </c>
      <c r="CN137" s="2">
        <v>86</v>
      </c>
      <c r="CO137" s="57">
        <f t="shared" si="340"/>
        <v>665894</v>
      </c>
      <c r="CP137" s="62">
        <f t="shared" si="341"/>
        <v>83888.694856829155</v>
      </c>
      <c r="CQ137" s="2">
        <v>85</v>
      </c>
      <c r="CR137" s="57">
        <f t="shared" si="344"/>
        <v>697679</v>
      </c>
      <c r="CS137" s="62">
        <f t="shared" si="345"/>
        <v>91479.917912505131</v>
      </c>
      <c r="CT137" s="2">
        <v>84</v>
      </c>
      <c r="CU137" s="57">
        <f t="shared" si="348"/>
        <v>730980</v>
      </c>
      <c r="CV137" s="62">
        <f t="shared" si="349"/>
        <v>99757.920869007663</v>
      </c>
      <c r="CW137" s="2">
        <v>83</v>
      </c>
      <c r="CX137" s="57">
        <f t="shared" si="352"/>
        <v>765871</v>
      </c>
      <c r="CY137" s="62">
        <f t="shared" si="353"/>
        <v>108785.0708417648</v>
      </c>
      <c r="CZ137" s="2">
        <v>82</v>
      </c>
      <c r="DA137" s="57">
        <f t="shared" si="196"/>
        <v>0</v>
      </c>
      <c r="DB137" s="62">
        <f t="shared" si="355"/>
        <v>0</v>
      </c>
      <c r="DC137" s="2">
        <v>81</v>
      </c>
      <c r="DD137" s="57">
        <f t="shared" si="202"/>
        <v>0</v>
      </c>
      <c r="DE137" s="62">
        <f t="shared" si="358"/>
        <v>0</v>
      </c>
      <c r="DF137" s="2">
        <v>80</v>
      </c>
      <c r="DG137" s="57">
        <f t="shared" si="209"/>
        <v>0</v>
      </c>
      <c r="DH137" s="62">
        <f t="shared" si="361"/>
        <v>0</v>
      </c>
      <c r="DI137" s="2">
        <v>79</v>
      </c>
      <c r="DJ137" s="57">
        <f t="shared" si="215"/>
        <v>0</v>
      </c>
      <c r="DK137" s="62">
        <f t="shared" si="364"/>
        <v>0</v>
      </c>
      <c r="DL137" s="2">
        <v>78</v>
      </c>
      <c r="DM137" s="57">
        <f t="shared" si="222"/>
        <v>0</v>
      </c>
      <c r="DN137" s="62">
        <f t="shared" si="367"/>
        <v>0</v>
      </c>
      <c r="DO137" s="2">
        <v>77</v>
      </c>
      <c r="DP137" s="57">
        <f t="shared" si="227"/>
        <v>0</v>
      </c>
      <c r="DQ137" s="62">
        <f t="shared" si="396"/>
        <v>0</v>
      </c>
      <c r="DR137" s="2">
        <v>76</v>
      </c>
      <c r="DS137" s="57">
        <f t="shared" si="234"/>
        <v>0</v>
      </c>
      <c r="DT137" s="62">
        <f t="shared" si="399"/>
        <v>0</v>
      </c>
      <c r="DU137" s="2">
        <v>75</v>
      </c>
      <c r="DV137" s="57">
        <f t="shared" si="239"/>
        <v>0</v>
      </c>
      <c r="DW137" s="62">
        <f t="shared" si="402"/>
        <v>0</v>
      </c>
      <c r="DX137" s="2">
        <v>74</v>
      </c>
      <c r="DY137" s="57">
        <f t="shared" si="245"/>
        <v>0</v>
      </c>
      <c r="DZ137" s="62">
        <f t="shared" si="405"/>
        <v>0</v>
      </c>
      <c r="EA137" s="2">
        <v>73</v>
      </c>
      <c r="EB137" s="57">
        <f t="shared" si="411"/>
        <v>0</v>
      </c>
      <c r="EC137" s="62">
        <f t="shared" si="408"/>
        <v>0</v>
      </c>
      <c r="ED137" s="2">
        <v>72</v>
      </c>
      <c r="EE137" s="57">
        <f t="shared" si="415"/>
        <v>0</v>
      </c>
      <c r="EF137" s="62">
        <f t="shared" si="412"/>
        <v>0</v>
      </c>
      <c r="EG137" s="2">
        <v>71</v>
      </c>
      <c r="EH137" s="57">
        <f t="shared" si="419"/>
        <v>0</v>
      </c>
      <c r="EI137" s="62">
        <f t="shared" si="416"/>
        <v>0</v>
      </c>
      <c r="EJ137" s="2">
        <v>70</v>
      </c>
      <c r="EK137" s="57">
        <f t="shared" si="423"/>
        <v>0</v>
      </c>
      <c r="EL137" s="62">
        <f t="shared" si="420"/>
        <v>0</v>
      </c>
      <c r="EM137" s="2">
        <v>69</v>
      </c>
      <c r="EN137" s="57">
        <f t="shared" si="427"/>
        <v>0</v>
      </c>
      <c r="EO137" s="62">
        <f t="shared" si="424"/>
        <v>0</v>
      </c>
      <c r="EP137" s="2">
        <v>68</v>
      </c>
      <c r="EQ137" s="57">
        <f t="shared" si="431"/>
        <v>0</v>
      </c>
      <c r="ER137" s="62">
        <f t="shared" si="428"/>
        <v>0</v>
      </c>
      <c r="ES137" s="2">
        <v>67</v>
      </c>
      <c r="ET137" s="57">
        <f t="shared" si="432"/>
        <v>0</v>
      </c>
      <c r="EU137" s="62">
        <f t="shared" si="433"/>
        <v>0</v>
      </c>
      <c r="EV137" s="2">
        <v>66</v>
      </c>
      <c r="EW137" s="57">
        <f t="shared" si="436"/>
        <v>0</v>
      </c>
      <c r="EX137" s="62">
        <f t="shared" si="437"/>
        <v>0</v>
      </c>
      <c r="EY137" s="2">
        <v>65</v>
      </c>
      <c r="EZ137" s="57">
        <f t="shared" ref="EZ137:EZ163" si="442">$E$71</f>
        <v>0</v>
      </c>
      <c r="FA137" s="62">
        <f t="shared" si="440"/>
        <v>0</v>
      </c>
      <c r="FB137" s="2">
        <v>64</v>
      </c>
      <c r="FC137" s="57">
        <f t="shared" ref="FC137:FC162" si="443">$E$72</f>
        <v>0</v>
      </c>
      <c r="FD137" s="62">
        <f t="shared" ref="FD137:FD163" si="444">SUM($G$10*$G$11*FC137*(EXP(-($G$10*FB137))),$G$10*$G$11*FC137*(EXP(-($G$10*(FB137+0.1)))),$G$10*$G$11*FC137*(EXP(-($G$10*(FB137+0.2)))),$G$10*$G$11*FC137*(EXP(-($G$10*(FB137+0.3)))),$G$10*$G$11*FC137*(EXP(-($G$10*(FB137+0.4)))),$G$10*$G$11*FC137*(EXP(-($G$10*(FB137+0.5)))),$G$10*$G$11*FC137*(EXP(-($G$10*(FB137+0.6)))),$G$10*$G$11*FC137*(EXP(-($G$10*(FB137+0.7)))),$G$10*$G$11*FC137*(EXP(-($G$10*(FB137+0.8)))),$G$10*$G$11*FC137*(EXP(-($G$10*(FB137+0.9)))))/10</f>
        <v>0</v>
      </c>
      <c r="FE137" s="2">
        <v>63</v>
      </c>
      <c r="FF137" s="57">
        <f t="shared" si="149"/>
        <v>0</v>
      </c>
      <c r="FG137" s="62">
        <f t="shared" si="306"/>
        <v>0</v>
      </c>
      <c r="FH137" s="2">
        <v>62</v>
      </c>
      <c r="FI137" s="57">
        <f t="shared" si="150"/>
        <v>0</v>
      </c>
      <c r="FJ137" s="62">
        <f t="shared" si="310"/>
        <v>0</v>
      </c>
      <c r="FK137" s="2">
        <v>61</v>
      </c>
      <c r="FL137" s="57">
        <f t="shared" si="157"/>
        <v>0</v>
      </c>
      <c r="FM137" s="62">
        <f t="shared" si="314"/>
        <v>0</v>
      </c>
      <c r="FN137" s="2">
        <v>60</v>
      </c>
      <c r="FO137" s="57">
        <f t="shared" si="158"/>
        <v>0</v>
      </c>
      <c r="FP137" s="62">
        <f t="shared" si="318"/>
        <v>0</v>
      </c>
      <c r="FQ137" s="2">
        <v>59</v>
      </c>
      <c r="FR137" s="57">
        <f t="shared" si="165"/>
        <v>0</v>
      </c>
      <c r="FS137" s="62">
        <f t="shared" si="322"/>
        <v>0</v>
      </c>
      <c r="FT137" s="2">
        <v>58</v>
      </c>
      <c r="FU137" s="57">
        <f t="shared" si="166"/>
        <v>0</v>
      </c>
      <c r="FV137" s="62">
        <f t="shared" si="326"/>
        <v>0</v>
      </c>
      <c r="FW137" s="2">
        <v>57</v>
      </c>
      <c r="FX137" s="57">
        <f t="shared" si="170"/>
        <v>0</v>
      </c>
      <c r="FY137" s="62">
        <f t="shared" si="330"/>
        <v>0</v>
      </c>
      <c r="FZ137" s="2">
        <v>56</v>
      </c>
      <c r="GA137" s="57">
        <f t="shared" si="177"/>
        <v>0</v>
      </c>
      <c r="GB137" s="62">
        <f t="shared" si="334"/>
        <v>0</v>
      </c>
      <c r="GC137" s="2">
        <v>55</v>
      </c>
      <c r="GD137" s="57">
        <f t="shared" si="178"/>
        <v>0</v>
      </c>
      <c r="GE137" s="62">
        <f t="shared" si="338"/>
        <v>0</v>
      </c>
      <c r="GF137" s="2">
        <v>54</v>
      </c>
      <c r="GG137" s="57">
        <f t="shared" si="185"/>
        <v>0</v>
      </c>
      <c r="GH137" s="62">
        <f t="shared" si="342"/>
        <v>0</v>
      </c>
      <c r="GI137" s="2">
        <v>53</v>
      </c>
      <c r="GJ137" s="57">
        <f t="shared" si="186"/>
        <v>0</v>
      </c>
      <c r="GK137" s="62">
        <f t="shared" si="346"/>
        <v>0</v>
      </c>
      <c r="GL137" s="2">
        <v>52</v>
      </c>
      <c r="GM137" s="57">
        <f t="shared" si="193"/>
        <v>0</v>
      </c>
      <c r="GN137" s="62">
        <f t="shared" si="350"/>
        <v>0</v>
      </c>
      <c r="GO137" s="2">
        <v>51</v>
      </c>
      <c r="GP137" s="57">
        <f t="shared" si="194"/>
        <v>0</v>
      </c>
      <c r="GQ137" s="62">
        <f t="shared" si="354"/>
        <v>0</v>
      </c>
      <c r="GR137" s="2">
        <v>50</v>
      </c>
      <c r="GS137" s="57">
        <f t="shared" si="204"/>
        <v>0</v>
      </c>
      <c r="GT137" s="62">
        <f t="shared" si="356"/>
        <v>0</v>
      </c>
      <c r="GU137" s="2">
        <v>49</v>
      </c>
      <c r="GV137" s="57">
        <f t="shared" si="205"/>
        <v>0</v>
      </c>
      <c r="GW137" s="62">
        <f t="shared" si="359"/>
        <v>0</v>
      </c>
      <c r="GX137" s="2">
        <v>48</v>
      </c>
      <c r="GY137" s="57">
        <f t="shared" si="217"/>
        <v>0</v>
      </c>
      <c r="GZ137" s="62">
        <f t="shared" si="362"/>
        <v>0</v>
      </c>
      <c r="HA137" s="2">
        <v>47</v>
      </c>
      <c r="HB137" s="57">
        <f t="shared" si="218"/>
        <v>0</v>
      </c>
      <c r="HC137" s="62">
        <f t="shared" si="365"/>
        <v>0</v>
      </c>
      <c r="HD137" s="2">
        <v>46</v>
      </c>
      <c r="HE137" s="57">
        <f t="shared" si="229"/>
        <v>0</v>
      </c>
      <c r="HF137" s="62">
        <f t="shared" si="368"/>
        <v>0</v>
      </c>
      <c r="HG137" s="2">
        <v>45</v>
      </c>
      <c r="HH137" s="57">
        <f t="shared" si="230"/>
        <v>0</v>
      </c>
      <c r="HI137" s="62">
        <f t="shared" si="397"/>
        <v>0</v>
      </c>
      <c r="HJ137" s="2">
        <v>44</v>
      </c>
      <c r="HK137" s="57">
        <f t="shared" si="241"/>
        <v>0</v>
      </c>
      <c r="HL137" s="62">
        <f t="shared" si="400"/>
        <v>0</v>
      </c>
      <c r="HM137" s="2">
        <v>43</v>
      </c>
      <c r="HN137" s="57">
        <f t="shared" si="247"/>
        <v>0</v>
      </c>
      <c r="HO137" s="62">
        <f t="shared" si="403"/>
        <v>0</v>
      </c>
      <c r="HP137" s="2">
        <v>42</v>
      </c>
      <c r="HQ137" s="57">
        <f t="shared" si="248"/>
        <v>0</v>
      </c>
      <c r="HR137" s="62">
        <f t="shared" si="406"/>
        <v>0</v>
      </c>
      <c r="HS137" s="2">
        <v>41</v>
      </c>
      <c r="HT137" s="57">
        <f t="shared" si="257"/>
        <v>0</v>
      </c>
      <c r="HU137" s="62">
        <f t="shared" si="409"/>
        <v>0</v>
      </c>
      <c r="HV137" s="2">
        <v>40</v>
      </c>
      <c r="HW137" s="57">
        <f t="shared" si="258"/>
        <v>0</v>
      </c>
      <c r="HX137" s="62">
        <f t="shared" si="413"/>
        <v>0</v>
      </c>
      <c r="HY137" s="2">
        <v>39</v>
      </c>
      <c r="HZ137" s="57">
        <f t="shared" si="268"/>
        <v>0</v>
      </c>
      <c r="IA137" s="62">
        <f t="shared" si="417"/>
        <v>0</v>
      </c>
      <c r="IB137" s="2">
        <v>38</v>
      </c>
      <c r="IC137" s="57">
        <f t="shared" si="274"/>
        <v>0</v>
      </c>
      <c r="ID137" s="62">
        <f t="shared" si="421"/>
        <v>0</v>
      </c>
      <c r="IE137" s="2">
        <v>37</v>
      </c>
      <c r="IF137" s="57">
        <f t="shared" si="280"/>
        <v>0</v>
      </c>
      <c r="IG137" s="62">
        <f t="shared" si="425"/>
        <v>0</v>
      </c>
      <c r="IH137" s="2">
        <v>36</v>
      </c>
      <c r="II137" s="57">
        <f t="shared" si="281"/>
        <v>0</v>
      </c>
      <c r="IJ137" s="62">
        <f t="shared" si="429"/>
        <v>0</v>
      </c>
      <c r="IK137" s="2">
        <v>35</v>
      </c>
      <c r="IL137" s="57">
        <f t="shared" si="292"/>
        <v>0</v>
      </c>
      <c r="IM137" s="62">
        <f t="shared" si="434"/>
        <v>0</v>
      </c>
      <c r="IN137" s="2">
        <v>34</v>
      </c>
      <c r="IO137" s="57">
        <f t="shared" si="293"/>
        <v>0</v>
      </c>
      <c r="IP137" s="62">
        <f t="shared" si="438"/>
        <v>0</v>
      </c>
    </row>
    <row r="138" spans="7:250">
      <c r="G138" s="284"/>
      <c r="H138" s="284"/>
      <c r="I138" s="2">
        <f t="shared" si="369"/>
        <v>2133</v>
      </c>
      <c r="J138" s="379">
        <f t="shared" si="264"/>
        <v>1177688.6374939592</v>
      </c>
      <c r="K138" s="2">
        <f t="shared" si="370"/>
        <v>114</v>
      </c>
      <c r="L138" s="57">
        <f t="shared" si="200"/>
        <v>189082</v>
      </c>
      <c r="M138" s="62">
        <f t="shared" si="357"/>
        <v>7772.1057941037197</v>
      </c>
      <c r="N138" s="2">
        <f t="shared" si="371"/>
        <v>113</v>
      </c>
      <c r="O138" s="57">
        <f t="shared" si="207"/>
        <v>293489</v>
      </c>
      <c r="P138" s="62">
        <f t="shared" si="360"/>
        <v>12556.023619263631</v>
      </c>
      <c r="Q138" s="2">
        <f t="shared" si="372"/>
        <v>112</v>
      </c>
      <c r="R138" s="57">
        <f t="shared" si="213"/>
        <v>283523</v>
      </c>
      <c r="S138" s="62">
        <f t="shared" si="363"/>
        <v>12624.679754455219</v>
      </c>
      <c r="T138" s="2">
        <f t="shared" si="373"/>
        <v>111</v>
      </c>
      <c r="U138" s="57">
        <f t="shared" si="220"/>
        <v>143321</v>
      </c>
      <c r="V138" s="62">
        <f t="shared" si="366"/>
        <v>6642.226543103413</v>
      </c>
      <c r="W138" s="2">
        <f t="shared" si="374"/>
        <v>110</v>
      </c>
      <c r="X138" s="57">
        <f t="shared" si="225"/>
        <v>227851</v>
      </c>
      <c r="Y138" s="62">
        <f t="shared" si="375"/>
        <v>10990.730841365676</v>
      </c>
      <c r="Z138" s="2">
        <f t="shared" si="376"/>
        <v>109</v>
      </c>
      <c r="AA138" s="57">
        <f t="shared" si="232"/>
        <v>238727</v>
      </c>
      <c r="AB138" s="62">
        <f t="shared" si="398"/>
        <v>11985.301210643789</v>
      </c>
      <c r="AC138" s="2">
        <f t="shared" si="377"/>
        <v>108</v>
      </c>
      <c r="AD138" s="57">
        <f t="shared" si="237"/>
        <v>250122</v>
      </c>
      <c r="AE138" s="62">
        <f t="shared" si="401"/>
        <v>13069.864483413619</v>
      </c>
      <c r="AF138" s="2">
        <f t="shared" si="378"/>
        <v>107</v>
      </c>
      <c r="AG138" s="57">
        <f t="shared" si="243"/>
        <v>262060</v>
      </c>
      <c r="AH138" s="62">
        <f t="shared" si="404"/>
        <v>14252.521599451396</v>
      </c>
      <c r="AI138" s="2">
        <f t="shared" si="379"/>
        <v>106</v>
      </c>
      <c r="AJ138" s="57">
        <f t="shared" si="250"/>
        <v>274569</v>
      </c>
      <c r="AK138" s="62">
        <f t="shared" si="407"/>
        <v>15542.262956183182</v>
      </c>
      <c r="AL138" s="2">
        <f t="shared" si="380"/>
        <v>105</v>
      </c>
      <c r="AM138" s="57">
        <f t="shared" si="254"/>
        <v>287675</v>
      </c>
      <c r="AN138" s="62">
        <f t="shared" si="410"/>
        <v>16948.710105168266</v>
      </c>
      <c r="AO138" s="2">
        <f t="shared" si="381"/>
        <v>104</v>
      </c>
      <c r="AP138" s="57">
        <f t="shared" si="260"/>
        <v>301406</v>
      </c>
      <c r="AQ138" s="62">
        <f t="shared" si="414"/>
        <v>18482.393076763186</v>
      </c>
      <c r="AR138" s="2">
        <f t="shared" si="382"/>
        <v>103</v>
      </c>
      <c r="AS138" s="57">
        <f t="shared" si="265"/>
        <v>315793</v>
      </c>
      <c r="AT138" s="62">
        <f t="shared" si="418"/>
        <v>20154.897195856356</v>
      </c>
      <c r="AU138" s="2">
        <f t="shared" si="383"/>
        <v>102</v>
      </c>
      <c r="AV138" s="57">
        <f t="shared" si="271"/>
        <v>330866</v>
      </c>
      <c r="AW138" s="62">
        <f t="shared" si="422"/>
        <v>21978.700379233604</v>
      </c>
      <c r="AX138" s="2">
        <f t="shared" si="384"/>
        <v>101</v>
      </c>
      <c r="AY138" s="57">
        <f t="shared" si="277"/>
        <v>346659</v>
      </c>
      <c r="AZ138" s="62">
        <f t="shared" si="426"/>
        <v>23967.576746460451</v>
      </c>
      <c r="BA138" s="2">
        <f t="shared" si="385"/>
        <v>100</v>
      </c>
      <c r="BB138" s="57">
        <f t="shared" si="284"/>
        <v>363206</v>
      </c>
      <c r="BC138" s="62">
        <f t="shared" si="430"/>
        <v>26136.440456647841</v>
      </c>
      <c r="BD138" s="2">
        <f t="shared" si="386"/>
        <v>99</v>
      </c>
      <c r="BE138" s="57">
        <f t="shared" si="289"/>
        <v>380542</v>
      </c>
      <c r="BF138" s="62">
        <f t="shared" si="435"/>
        <v>28501.505559226131</v>
      </c>
      <c r="BG138" s="2">
        <f t="shared" si="387"/>
        <v>98</v>
      </c>
      <c r="BH138" s="57">
        <f t="shared" si="296"/>
        <v>398706</v>
      </c>
      <c r="BI138" s="62">
        <f t="shared" si="439"/>
        <v>31080.625892690827</v>
      </c>
      <c r="BJ138" s="2">
        <f t="shared" si="388"/>
        <v>97</v>
      </c>
      <c r="BK138" s="57">
        <f t="shared" si="300"/>
        <v>417737</v>
      </c>
      <c r="BL138" s="62">
        <f t="shared" si="441"/>
        <v>33893.132343715668</v>
      </c>
      <c r="BM138" s="2">
        <f t="shared" si="389"/>
        <v>96</v>
      </c>
      <c r="BN138" s="57">
        <f t="shared" si="304"/>
        <v>437677</v>
      </c>
      <c r="BO138" s="62">
        <f t="shared" ref="BO138:BO163" si="445">SUM($G$10*$G$11*BN138*(EXP(-($G$10*BM138))),$G$10*$G$11*BN138*(EXP(-($G$10*(BM138+0.1)))),$G$10*$G$11*BN138*(EXP(-($G$10*(BM138+0.2)))),$G$10*$G$11*BN138*(EXP(-($G$10*(BM138+0.3)))),$G$10*$G$11*BN138*(EXP(-($G$10*(BM138+0.4)))),$G$10*$G$11*BN138*(EXP(-($G$10*(BM138+0.5)))),$G$10*$G$11*BN138*(EXP(-($G$10*(BM138+0.6)))),$G$10*$G$11*BN138*(EXP(-($G$10*(BM138+0.7)))),$G$10*$G$11*BN138*(EXP(-($G$10*(BM138+0.8)))),$G$10*$G$11*BN138*(EXP(-($G$10*(BM138+0.9)))))/10</f>
        <v>36960.19621624206</v>
      </c>
      <c r="BP138" s="2">
        <f t="shared" si="390"/>
        <v>95</v>
      </c>
      <c r="BQ138" s="57">
        <f t="shared" si="308"/>
        <v>458568</v>
      </c>
      <c r="BR138" s="62">
        <f t="shared" si="309"/>
        <v>40304.734789975621</v>
      </c>
      <c r="BS138" s="2">
        <f t="shared" si="391"/>
        <v>94</v>
      </c>
      <c r="BT138" s="57">
        <f t="shared" si="312"/>
        <v>480456</v>
      </c>
      <c r="BU138" s="62">
        <f t="shared" si="313"/>
        <v>43951.906989566931</v>
      </c>
      <c r="BV138" s="2">
        <f t="shared" si="392"/>
        <v>93</v>
      </c>
      <c r="BW138" s="57">
        <f t="shared" si="316"/>
        <v>503389</v>
      </c>
      <c r="BX138" s="62">
        <f t="shared" si="317"/>
        <v>47929.136218674124</v>
      </c>
      <c r="BY138" s="2">
        <f t="shared" si="393"/>
        <v>92</v>
      </c>
      <c r="BZ138" s="57">
        <f t="shared" si="320"/>
        <v>527417</v>
      </c>
      <c r="CA138" s="62">
        <f t="shared" si="321"/>
        <v>52266.303309090712</v>
      </c>
      <c r="CB138" s="2">
        <f t="shared" si="394"/>
        <v>91</v>
      </c>
      <c r="CC138" s="57">
        <f t="shared" si="324"/>
        <v>552592</v>
      </c>
      <c r="CD138" s="62">
        <f t="shared" si="325"/>
        <v>56995.954726063821</v>
      </c>
      <c r="CE138" s="2">
        <f t="shared" si="395"/>
        <v>90</v>
      </c>
      <c r="CF138" s="57">
        <f t="shared" si="328"/>
        <v>578968</v>
      </c>
      <c r="CG138" s="62">
        <f t="shared" si="329"/>
        <v>62153.527150938076</v>
      </c>
      <c r="CH138" s="2">
        <v>89</v>
      </c>
      <c r="CI138" s="57">
        <f t="shared" si="332"/>
        <v>606603</v>
      </c>
      <c r="CJ138" s="62">
        <f t="shared" si="333"/>
        <v>67777.813106319547</v>
      </c>
      <c r="CK138" s="2">
        <v>88</v>
      </c>
      <c r="CL138" s="57">
        <f t="shared" si="336"/>
        <v>635558</v>
      </c>
      <c r="CM138" s="62">
        <f t="shared" si="337"/>
        <v>73911.151276831792</v>
      </c>
      <c r="CN138" s="2">
        <v>87</v>
      </c>
      <c r="CO138" s="57">
        <f t="shared" si="340"/>
        <v>665894</v>
      </c>
      <c r="CP138" s="62">
        <f t="shared" si="341"/>
        <v>80599.372082713264</v>
      </c>
      <c r="CQ138" s="2">
        <v>86</v>
      </c>
      <c r="CR138" s="57">
        <f t="shared" si="344"/>
        <v>697679</v>
      </c>
      <c r="CS138" s="62">
        <f t="shared" si="345"/>
        <v>87892.939024856372</v>
      </c>
      <c r="CT138" s="2">
        <v>85</v>
      </c>
      <c r="CU138" s="57">
        <f t="shared" si="348"/>
        <v>730980</v>
      </c>
      <c r="CV138" s="62">
        <f t="shared" si="349"/>
        <v>95846.356842735695</v>
      </c>
      <c r="CW138" s="2">
        <v>84</v>
      </c>
      <c r="CX138" s="57">
        <f t="shared" si="352"/>
        <v>765871</v>
      </c>
      <c r="CY138" s="62">
        <f t="shared" si="353"/>
        <v>104519.54720220494</v>
      </c>
      <c r="CZ138" s="2">
        <v>83</v>
      </c>
      <c r="DA138" s="57">
        <f t="shared" si="196"/>
        <v>0</v>
      </c>
      <c r="DB138" s="62">
        <f t="shared" si="355"/>
        <v>0</v>
      </c>
      <c r="DC138" s="2">
        <v>82</v>
      </c>
      <c r="DD138" s="57">
        <f t="shared" si="202"/>
        <v>0</v>
      </c>
      <c r="DE138" s="62">
        <f t="shared" si="358"/>
        <v>0</v>
      </c>
      <c r="DF138" s="2">
        <v>81</v>
      </c>
      <c r="DG138" s="57">
        <f t="shared" si="209"/>
        <v>0</v>
      </c>
      <c r="DH138" s="62">
        <f t="shared" si="361"/>
        <v>0</v>
      </c>
      <c r="DI138" s="2">
        <v>80</v>
      </c>
      <c r="DJ138" s="57">
        <f t="shared" si="215"/>
        <v>0</v>
      </c>
      <c r="DK138" s="62">
        <f t="shared" si="364"/>
        <v>0</v>
      </c>
      <c r="DL138" s="2">
        <v>79</v>
      </c>
      <c r="DM138" s="57">
        <f t="shared" si="222"/>
        <v>0</v>
      </c>
      <c r="DN138" s="62">
        <f t="shared" si="367"/>
        <v>0</v>
      </c>
      <c r="DO138" s="2">
        <v>78</v>
      </c>
      <c r="DP138" s="57">
        <f t="shared" si="227"/>
        <v>0</v>
      </c>
      <c r="DQ138" s="62">
        <f t="shared" si="396"/>
        <v>0</v>
      </c>
      <c r="DR138" s="2">
        <v>77</v>
      </c>
      <c r="DS138" s="57">
        <f t="shared" si="234"/>
        <v>0</v>
      </c>
      <c r="DT138" s="62">
        <f t="shared" si="399"/>
        <v>0</v>
      </c>
      <c r="DU138" s="2">
        <v>76</v>
      </c>
      <c r="DV138" s="57">
        <f t="shared" si="239"/>
        <v>0</v>
      </c>
      <c r="DW138" s="62">
        <f t="shared" si="402"/>
        <v>0</v>
      </c>
      <c r="DX138" s="2">
        <v>75</v>
      </c>
      <c r="DY138" s="57">
        <f t="shared" si="245"/>
        <v>0</v>
      </c>
      <c r="DZ138" s="62">
        <f t="shared" si="405"/>
        <v>0</v>
      </c>
      <c r="EA138" s="2">
        <v>74</v>
      </c>
      <c r="EB138" s="57">
        <f t="shared" si="411"/>
        <v>0</v>
      </c>
      <c r="EC138" s="62">
        <f t="shared" si="408"/>
        <v>0</v>
      </c>
      <c r="ED138" s="2">
        <v>73</v>
      </c>
      <c r="EE138" s="57">
        <f t="shared" si="415"/>
        <v>0</v>
      </c>
      <c r="EF138" s="62">
        <f t="shared" si="412"/>
        <v>0</v>
      </c>
      <c r="EG138" s="2">
        <v>72</v>
      </c>
      <c r="EH138" s="57">
        <f t="shared" si="419"/>
        <v>0</v>
      </c>
      <c r="EI138" s="62">
        <f t="shared" si="416"/>
        <v>0</v>
      </c>
      <c r="EJ138" s="2">
        <v>71</v>
      </c>
      <c r="EK138" s="57">
        <f t="shared" si="423"/>
        <v>0</v>
      </c>
      <c r="EL138" s="62">
        <f t="shared" si="420"/>
        <v>0</v>
      </c>
      <c r="EM138" s="2">
        <v>70</v>
      </c>
      <c r="EN138" s="57">
        <f t="shared" si="427"/>
        <v>0</v>
      </c>
      <c r="EO138" s="62">
        <f t="shared" si="424"/>
        <v>0</v>
      </c>
      <c r="EP138" s="2">
        <v>69</v>
      </c>
      <c r="EQ138" s="57">
        <f t="shared" si="431"/>
        <v>0</v>
      </c>
      <c r="ER138" s="62">
        <f t="shared" si="428"/>
        <v>0</v>
      </c>
      <c r="ES138" s="2">
        <v>68</v>
      </c>
      <c r="ET138" s="57">
        <f t="shared" si="432"/>
        <v>0</v>
      </c>
      <c r="EU138" s="62">
        <f t="shared" si="433"/>
        <v>0</v>
      </c>
      <c r="EV138" s="2">
        <v>67</v>
      </c>
      <c r="EW138" s="57">
        <f t="shared" si="436"/>
        <v>0</v>
      </c>
      <c r="EX138" s="62">
        <f t="shared" si="437"/>
        <v>0</v>
      </c>
      <c r="EY138" s="2">
        <v>66</v>
      </c>
      <c r="EZ138" s="57">
        <f t="shared" si="442"/>
        <v>0</v>
      </c>
      <c r="FA138" s="62">
        <f t="shared" si="440"/>
        <v>0</v>
      </c>
      <c r="FB138" s="2">
        <v>65</v>
      </c>
      <c r="FC138" s="57">
        <f t="shared" si="443"/>
        <v>0</v>
      </c>
      <c r="FD138" s="62">
        <f t="shared" si="444"/>
        <v>0</v>
      </c>
      <c r="FE138" s="2">
        <v>64</v>
      </c>
      <c r="FF138" s="57">
        <f t="shared" si="149"/>
        <v>0</v>
      </c>
      <c r="FG138" s="62">
        <f t="shared" ref="FG138:FG163" si="446">SUM($G$10*$G$11*FF138*(EXP(-($G$10*FE138))),$G$10*$G$11*FF138*(EXP(-($G$10*(FE138+0.1)))),$G$10*$G$11*FF138*(EXP(-($G$10*(FE138+0.2)))),$G$10*$G$11*FF138*(EXP(-($G$10*(FE138+0.3)))),$G$10*$G$11*FF138*(EXP(-($G$10*(FE138+0.4)))),$G$10*$G$11*FF138*(EXP(-($G$10*(FE138+0.5)))),$G$10*$G$11*FF138*(EXP(-($G$10*(FE138+0.6)))),$G$10*$G$11*FF138*(EXP(-($G$10*(FE138+0.7)))),$G$10*$G$11*FF138*(EXP(-($G$10*(FE138+0.8)))),$G$10*$G$11*FF138*(EXP(-($G$10*(FE138+0.9)))))/10</f>
        <v>0</v>
      </c>
      <c r="FH138" s="2">
        <v>63</v>
      </c>
      <c r="FI138" s="57">
        <f t="shared" si="150"/>
        <v>0</v>
      </c>
      <c r="FJ138" s="62">
        <f t="shared" si="310"/>
        <v>0</v>
      </c>
      <c r="FK138" s="2">
        <v>62</v>
      </c>
      <c r="FL138" s="57">
        <f t="shared" si="157"/>
        <v>0</v>
      </c>
      <c r="FM138" s="62">
        <f t="shared" si="314"/>
        <v>0</v>
      </c>
      <c r="FN138" s="2">
        <v>61</v>
      </c>
      <c r="FO138" s="57">
        <f t="shared" si="158"/>
        <v>0</v>
      </c>
      <c r="FP138" s="62">
        <f t="shared" si="318"/>
        <v>0</v>
      </c>
      <c r="FQ138" s="2">
        <v>60</v>
      </c>
      <c r="FR138" s="57">
        <f t="shared" si="165"/>
        <v>0</v>
      </c>
      <c r="FS138" s="62">
        <f t="shared" si="322"/>
        <v>0</v>
      </c>
      <c r="FT138" s="2">
        <v>59</v>
      </c>
      <c r="FU138" s="57">
        <f t="shared" si="166"/>
        <v>0</v>
      </c>
      <c r="FV138" s="62">
        <f t="shared" si="326"/>
        <v>0</v>
      </c>
      <c r="FW138" s="2">
        <v>58</v>
      </c>
      <c r="FX138" s="57">
        <f t="shared" si="170"/>
        <v>0</v>
      </c>
      <c r="FY138" s="62">
        <f t="shared" si="330"/>
        <v>0</v>
      </c>
      <c r="FZ138" s="2">
        <v>57</v>
      </c>
      <c r="GA138" s="57">
        <f t="shared" si="177"/>
        <v>0</v>
      </c>
      <c r="GB138" s="62">
        <f t="shared" si="334"/>
        <v>0</v>
      </c>
      <c r="GC138" s="2">
        <v>56</v>
      </c>
      <c r="GD138" s="57">
        <f t="shared" si="178"/>
        <v>0</v>
      </c>
      <c r="GE138" s="62">
        <f t="shared" si="338"/>
        <v>0</v>
      </c>
      <c r="GF138" s="2">
        <v>55</v>
      </c>
      <c r="GG138" s="57">
        <f t="shared" si="185"/>
        <v>0</v>
      </c>
      <c r="GH138" s="62">
        <f t="shared" si="342"/>
        <v>0</v>
      </c>
      <c r="GI138" s="2">
        <v>54</v>
      </c>
      <c r="GJ138" s="57">
        <f t="shared" si="186"/>
        <v>0</v>
      </c>
      <c r="GK138" s="62">
        <f t="shared" si="346"/>
        <v>0</v>
      </c>
      <c r="GL138" s="2">
        <v>53</v>
      </c>
      <c r="GM138" s="57">
        <f t="shared" si="193"/>
        <v>0</v>
      </c>
      <c r="GN138" s="62">
        <f t="shared" si="350"/>
        <v>0</v>
      </c>
      <c r="GO138" s="2">
        <v>52</v>
      </c>
      <c r="GP138" s="57">
        <f t="shared" si="194"/>
        <v>0</v>
      </c>
      <c r="GQ138" s="62">
        <f t="shared" si="354"/>
        <v>0</v>
      </c>
      <c r="GR138" s="2">
        <v>51</v>
      </c>
      <c r="GS138" s="57">
        <f t="shared" si="204"/>
        <v>0</v>
      </c>
      <c r="GT138" s="62">
        <f t="shared" si="356"/>
        <v>0</v>
      </c>
      <c r="GU138" s="2">
        <v>50</v>
      </c>
      <c r="GV138" s="57">
        <f t="shared" si="205"/>
        <v>0</v>
      </c>
      <c r="GW138" s="62">
        <f t="shared" si="359"/>
        <v>0</v>
      </c>
      <c r="GX138" s="2">
        <v>49</v>
      </c>
      <c r="GY138" s="57">
        <f t="shared" si="217"/>
        <v>0</v>
      </c>
      <c r="GZ138" s="62">
        <f t="shared" si="362"/>
        <v>0</v>
      </c>
      <c r="HA138" s="2">
        <v>48</v>
      </c>
      <c r="HB138" s="57">
        <f t="shared" si="218"/>
        <v>0</v>
      </c>
      <c r="HC138" s="62">
        <f t="shared" si="365"/>
        <v>0</v>
      </c>
      <c r="HD138" s="2">
        <v>47</v>
      </c>
      <c r="HE138" s="57">
        <f t="shared" si="229"/>
        <v>0</v>
      </c>
      <c r="HF138" s="62">
        <f t="shared" si="368"/>
        <v>0</v>
      </c>
      <c r="HG138" s="2">
        <v>46</v>
      </c>
      <c r="HH138" s="57">
        <f t="shared" si="230"/>
        <v>0</v>
      </c>
      <c r="HI138" s="62">
        <f t="shared" si="397"/>
        <v>0</v>
      </c>
      <c r="HJ138" s="2">
        <v>45</v>
      </c>
      <c r="HK138" s="57">
        <f t="shared" si="241"/>
        <v>0</v>
      </c>
      <c r="HL138" s="62">
        <f t="shared" si="400"/>
        <v>0</v>
      </c>
      <c r="HM138" s="2">
        <v>44</v>
      </c>
      <c r="HN138" s="57">
        <f t="shared" si="247"/>
        <v>0</v>
      </c>
      <c r="HO138" s="62">
        <f t="shared" si="403"/>
        <v>0</v>
      </c>
      <c r="HP138" s="2">
        <v>43</v>
      </c>
      <c r="HQ138" s="57">
        <f t="shared" si="248"/>
        <v>0</v>
      </c>
      <c r="HR138" s="62">
        <f t="shared" si="406"/>
        <v>0</v>
      </c>
      <c r="HS138" s="2">
        <v>42</v>
      </c>
      <c r="HT138" s="57">
        <f t="shared" si="257"/>
        <v>0</v>
      </c>
      <c r="HU138" s="62">
        <f t="shared" si="409"/>
        <v>0</v>
      </c>
      <c r="HV138" s="2">
        <v>41</v>
      </c>
      <c r="HW138" s="57">
        <f t="shared" si="258"/>
        <v>0</v>
      </c>
      <c r="HX138" s="62">
        <f t="shared" si="413"/>
        <v>0</v>
      </c>
      <c r="HY138" s="2">
        <v>40</v>
      </c>
      <c r="HZ138" s="57">
        <f t="shared" si="268"/>
        <v>0</v>
      </c>
      <c r="IA138" s="62">
        <f t="shared" si="417"/>
        <v>0</v>
      </c>
      <c r="IB138" s="2">
        <v>39</v>
      </c>
      <c r="IC138" s="57">
        <f t="shared" si="274"/>
        <v>0</v>
      </c>
      <c r="ID138" s="62">
        <f t="shared" si="421"/>
        <v>0</v>
      </c>
      <c r="IE138" s="2">
        <v>38</v>
      </c>
      <c r="IF138" s="57">
        <f t="shared" si="280"/>
        <v>0</v>
      </c>
      <c r="IG138" s="62">
        <f t="shared" si="425"/>
        <v>0</v>
      </c>
      <c r="IH138" s="2">
        <v>37</v>
      </c>
      <c r="II138" s="57">
        <f t="shared" si="281"/>
        <v>0</v>
      </c>
      <c r="IJ138" s="62">
        <f t="shared" si="429"/>
        <v>0</v>
      </c>
      <c r="IK138" s="2">
        <v>36</v>
      </c>
      <c r="IL138" s="57">
        <f t="shared" si="292"/>
        <v>0</v>
      </c>
      <c r="IM138" s="62">
        <f t="shared" si="434"/>
        <v>0</v>
      </c>
      <c r="IN138" s="2">
        <v>35</v>
      </c>
      <c r="IO138" s="57">
        <f t="shared" si="293"/>
        <v>0</v>
      </c>
      <c r="IP138" s="62">
        <f t="shared" si="438"/>
        <v>0</v>
      </c>
    </row>
    <row r="139" spans="7:250">
      <c r="G139" s="284"/>
      <c r="H139" s="284"/>
      <c r="I139" s="2">
        <f t="shared" si="369"/>
        <v>2134</v>
      </c>
      <c r="J139" s="379">
        <f t="shared" si="264"/>
        <v>1131510.8055138844</v>
      </c>
      <c r="K139" s="2">
        <f t="shared" si="370"/>
        <v>115</v>
      </c>
      <c r="L139" s="57">
        <f t="shared" si="200"/>
        <v>189082</v>
      </c>
      <c r="M139" s="62">
        <f t="shared" si="357"/>
        <v>7467.3571669494359</v>
      </c>
      <c r="N139" s="2">
        <f t="shared" si="371"/>
        <v>114</v>
      </c>
      <c r="O139" s="57">
        <f t="shared" si="207"/>
        <v>293489</v>
      </c>
      <c r="P139" s="62">
        <f t="shared" si="360"/>
        <v>12063.694891135627</v>
      </c>
      <c r="Q139" s="2">
        <f t="shared" si="372"/>
        <v>113</v>
      </c>
      <c r="R139" s="57">
        <f t="shared" si="213"/>
        <v>283523</v>
      </c>
      <c r="S139" s="62">
        <f t="shared" si="363"/>
        <v>12129.65898076072</v>
      </c>
      <c r="T139" s="2">
        <f t="shared" si="373"/>
        <v>112</v>
      </c>
      <c r="U139" s="57">
        <f t="shared" si="220"/>
        <v>143321</v>
      </c>
      <c r="V139" s="62">
        <f t="shared" si="366"/>
        <v>6381.781115071004</v>
      </c>
      <c r="W139" s="2">
        <f t="shared" si="374"/>
        <v>111</v>
      </c>
      <c r="X139" s="57">
        <f t="shared" si="225"/>
        <v>227851</v>
      </c>
      <c r="Y139" s="62">
        <f t="shared" si="375"/>
        <v>10559.778120949868</v>
      </c>
      <c r="Z139" s="2">
        <f t="shared" si="376"/>
        <v>110</v>
      </c>
      <c r="AA139" s="57">
        <f t="shared" si="232"/>
        <v>238727</v>
      </c>
      <c r="AB139" s="62">
        <f t="shared" si="398"/>
        <v>11515.350828246106</v>
      </c>
      <c r="AC139" s="2">
        <f t="shared" si="377"/>
        <v>109</v>
      </c>
      <c r="AD139" s="57">
        <f t="shared" si="237"/>
        <v>250122</v>
      </c>
      <c r="AE139" s="62">
        <f t="shared" si="401"/>
        <v>12557.387766815844</v>
      </c>
      <c r="AF139" s="2">
        <f t="shared" si="378"/>
        <v>108</v>
      </c>
      <c r="AG139" s="57">
        <f t="shared" si="243"/>
        <v>262060</v>
      </c>
      <c r="AH139" s="62">
        <f t="shared" si="404"/>
        <v>13693.672234043281</v>
      </c>
      <c r="AI139" s="2">
        <f t="shared" si="379"/>
        <v>107</v>
      </c>
      <c r="AJ139" s="57">
        <f t="shared" si="250"/>
        <v>274569</v>
      </c>
      <c r="AK139" s="62">
        <f t="shared" si="407"/>
        <v>14932.842108829165</v>
      </c>
      <c r="AL139" s="2">
        <f t="shared" si="380"/>
        <v>106</v>
      </c>
      <c r="AM139" s="57">
        <f t="shared" si="254"/>
        <v>287675</v>
      </c>
      <c r="AN139" s="62">
        <f t="shared" si="410"/>
        <v>16284.141676299932</v>
      </c>
      <c r="AO139" s="2">
        <f t="shared" si="381"/>
        <v>105</v>
      </c>
      <c r="AP139" s="57">
        <f t="shared" si="260"/>
        <v>301406</v>
      </c>
      <c r="AQ139" s="62">
        <f t="shared" si="414"/>
        <v>17757.688078416082</v>
      </c>
      <c r="AR139" s="2">
        <f t="shared" si="382"/>
        <v>104</v>
      </c>
      <c r="AS139" s="57">
        <f t="shared" si="265"/>
        <v>315793</v>
      </c>
      <c r="AT139" s="62">
        <f t="shared" si="418"/>
        <v>19364.612372979558</v>
      </c>
      <c r="AU139" s="2">
        <f t="shared" si="383"/>
        <v>103</v>
      </c>
      <c r="AV139" s="57">
        <f t="shared" si="271"/>
        <v>330866</v>
      </c>
      <c r="AW139" s="62">
        <f t="shared" si="422"/>
        <v>21116.90321066081</v>
      </c>
      <c r="AX139" s="2">
        <f t="shared" si="384"/>
        <v>102</v>
      </c>
      <c r="AY139" s="57">
        <f t="shared" si="277"/>
        <v>346659</v>
      </c>
      <c r="AZ139" s="62">
        <f t="shared" si="426"/>
        <v>23027.794620072</v>
      </c>
      <c r="BA139" s="2">
        <f t="shared" si="385"/>
        <v>101</v>
      </c>
      <c r="BB139" s="57">
        <f t="shared" si="284"/>
        <v>363206</v>
      </c>
      <c r="BC139" s="62">
        <f t="shared" si="430"/>
        <v>25111.615967780774</v>
      </c>
      <c r="BD139" s="2">
        <f t="shared" si="386"/>
        <v>100</v>
      </c>
      <c r="BE139" s="57">
        <f t="shared" si="289"/>
        <v>380542</v>
      </c>
      <c r="BF139" s="62">
        <f t="shared" si="435"/>
        <v>27383.945541245688</v>
      </c>
      <c r="BG139" s="2">
        <f t="shared" si="387"/>
        <v>99</v>
      </c>
      <c r="BH139" s="57">
        <f t="shared" si="296"/>
        <v>398706</v>
      </c>
      <c r="BI139" s="62">
        <f t="shared" si="439"/>
        <v>29861.937119941587</v>
      </c>
      <c r="BJ139" s="2">
        <f t="shared" si="388"/>
        <v>98</v>
      </c>
      <c r="BK139" s="57">
        <f t="shared" si="300"/>
        <v>417737</v>
      </c>
      <c r="BL139" s="62">
        <f t="shared" si="441"/>
        <v>32564.163615634036</v>
      </c>
      <c r="BM139" s="2">
        <f t="shared" si="389"/>
        <v>97</v>
      </c>
      <c r="BN139" s="57">
        <f t="shared" si="304"/>
        <v>437677</v>
      </c>
      <c r="BO139" s="62">
        <f t="shared" si="445"/>
        <v>35510.966193563036</v>
      </c>
      <c r="BP139" s="2">
        <f t="shared" si="390"/>
        <v>96</v>
      </c>
      <c r="BQ139" s="57">
        <f t="shared" si="308"/>
        <v>458568</v>
      </c>
      <c r="BR139" s="62">
        <f t="shared" ref="BR139:BR163" si="447">SUM($G$10*$G$11*BQ139*(EXP(-($G$10*BP139))),$G$10*$G$11*BQ139*(EXP(-($G$10*(BP139+0.1)))),$G$10*$G$11*BQ139*(EXP(-($G$10*(BP139+0.2)))),$G$10*$G$11*BQ139*(EXP(-($G$10*(BP139+0.3)))),$G$10*$G$11*BQ139*(EXP(-($G$10*(BP139+0.4)))),$G$10*$G$11*BQ139*(EXP(-($G$10*(BP139+0.5)))),$G$10*$G$11*BQ139*(EXP(-($G$10*(BP139+0.6)))),$G$10*$G$11*BQ139*(EXP(-($G$10*(BP139+0.7)))),$G$10*$G$11*BQ139*(EXP(-($G$10*(BP139+0.8)))),$G$10*$G$11*BQ139*(EXP(-($G$10*(BP139+0.9)))))/10</f>
        <v>38724.363534043812</v>
      </c>
      <c r="BS139" s="2">
        <f t="shared" si="391"/>
        <v>95</v>
      </c>
      <c r="BT139" s="57">
        <f t="shared" si="312"/>
        <v>480456</v>
      </c>
      <c r="BU139" s="62">
        <f t="shared" si="313"/>
        <v>42228.528066181083</v>
      </c>
      <c r="BV139" s="2">
        <f t="shared" si="392"/>
        <v>94</v>
      </c>
      <c r="BW139" s="57">
        <f t="shared" si="316"/>
        <v>503389</v>
      </c>
      <c r="BX139" s="62">
        <f t="shared" si="317"/>
        <v>46049.807906595219</v>
      </c>
      <c r="BY139" s="2">
        <f t="shared" si="393"/>
        <v>93</v>
      </c>
      <c r="BZ139" s="57">
        <f t="shared" si="320"/>
        <v>527417</v>
      </c>
      <c r="CA139" s="62">
        <f t="shared" si="321"/>
        <v>50216.912242906481</v>
      </c>
      <c r="CB139" s="2">
        <f t="shared" si="394"/>
        <v>92</v>
      </c>
      <c r="CC139" s="57">
        <f t="shared" si="324"/>
        <v>552592</v>
      </c>
      <c r="CD139" s="62">
        <f t="shared" si="325"/>
        <v>54761.111375206056</v>
      </c>
      <c r="CE139" s="2">
        <f t="shared" si="395"/>
        <v>91</v>
      </c>
      <c r="CF139" s="57">
        <f t="shared" si="328"/>
        <v>578968</v>
      </c>
      <c r="CG139" s="62">
        <f t="shared" si="329"/>
        <v>59716.452492688477</v>
      </c>
      <c r="CH139" s="2">
        <v>90</v>
      </c>
      <c r="CI139" s="57">
        <f t="shared" si="332"/>
        <v>606603</v>
      </c>
      <c r="CJ139" s="62">
        <f t="shared" si="333"/>
        <v>65120.207041391739</v>
      </c>
      <c r="CK139" s="2">
        <v>89</v>
      </c>
      <c r="CL139" s="57">
        <f t="shared" si="336"/>
        <v>635558</v>
      </c>
      <c r="CM139" s="62">
        <f t="shared" si="337"/>
        <v>71013.053582369728</v>
      </c>
      <c r="CN139" s="2">
        <v>88</v>
      </c>
      <c r="CO139" s="57">
        <f t="shared" si="340"/>
        <v>665894</v>
      </c>
      <c r="CP139" s="62">
        <f t="shared" si="341"/>
        <v>77439.025499379495</v>
      </c>
      <c r="CQ139" s="2">
        <v>87</v>
      </c>
      <c r="CR139" s="57">
        <f t="shared" si="344"/>
        <v>697679</v>
      </c>
      <c r="CS139" s="62">
        <f t="shared" si="345"/>
        <v>84446.607591141103</v>
      </c>
      <c r="CT139" s="2">
        <v>86</v>
      </c>
      <c r="CU139" s="57">
        <f t="shared" si="348"/>
        <v>730980</v>
      </c>
      <c r="CV139" s="62">
        <f t="shared" si="349"/>
        <v>92088.167435725496</v>
      </c>
      <c r="CW139" s="2">
        <v>85</v>
      </c>
      <c r="CX139" s="57">
        <f t="shared" si="352"/>
        <v>765871</v>
      </c>
      <c r="CY139" s="62">
        <f t="shared" si="353"/>
        <v>100421.27713686126</v>
      </c>
      <c r="CZ139" s="2">
        <v>84</v>
      </c>
      <c r="DA139" s="57">
        <f t="shared" si="196"/>
        <v>0</v>
      </c>
      <c r="DB139" s="62">
        <f t="shared" si="355"/>
        <v>0</v>
      </c>
      <c r="DC139" s="2">
        <v>83</v>
      </c>
      <c r="DD139" s="57">
        <f t="shared" si="202"/>
        <v>0</v>
      </c>
      <c r="DE139" s="62">
        <f t="shared" si="358"/>
        <v>0</v>
      </c>
      <c r="DF139" s="2">
        <v>82</v>
      </c>
      <c r="DG139" s="57">
        <f t="shared" si="209"/>
        <v>0</v>
      </c>
      <c r="DH139" s="62">
        <f t="shared" si="361"/>
        <v>0</v>
      </c>
      <c r="DI139" s="2">
        <v>81</v>
      </c>
      <c r="DJ139" s="57">
        <f t="shared" si="215"/>
        <v>0</v>
      </c>
      <c r="DK139" s="62">
        <f t="shared" si="364"/>
        <v>0</v>
      </c>
      <c r="DL139" s="2">
        <v>80</v>
      </c>
      <c r="DM139" s="57">
        <f t="shared" si="222"/>
        <v>0</v>
      </c>
      <c r="DN139" s="62">
        <f t="shared" si="367"/>
        <v>0</v>
      </c>
      <c r="DO139" s="2">
        <v>79</v>
      </c>
      <c r="DP139" s="57">
        <f t="shared" si="227"/>
        <v>0</v>
      </c>
      <c r="DQ139" s="62">
        <f t="shared" si="396"/>
        <v>0</v>
      </c>
      <c r="DR139" s="2">
        <v>78</v>
      </c>
      <c r="DS139" s="57">
        <f t="shared" si="234"/>
        <v>0</v>
      </c>
      <c r="DT139" s="62">
        <f t="shared" si="399"/>
        <v>0</v>
      </c>
      <c r="DU139" s="2">
        <v>77</v>
      </c>
      <c r="DV139" s="57">
        <f t="shared" si="239"/>
        <v>0</v>
      </c>
      <c r="DW139" s="62">
        <f t="shared" si="402"/>
        <v>0</v>
      </c>
      <c r="DX139" s="2">
        <v>76</v>
      </c>
      <c r="DY139" s="57">
        <f t="shared" si="245"/>
        <v>0</v>
      </c>
      <c r="DZ139" s="62">
        <f t="shared" si="405"/>
        <v>0</v>
      </c>
      <c r="EA139" s="2">
        <f t="shared" ref="EA139:EA163" si="448">IF(EA138="","",(EA138+1))</f>
        <v>75</v>
      </c>
      <c r="EB139" s="57">
        <f t="shared" si="411"/>
        <v>0</v>
      </c>
      <c r="EC139" s="62">
        <f t="shared" si="408"/>
        <v>0</v>
      </c>
      <c r="ED139" s="2">
        <v>74</v>
      </c>
      <c r="EE139" s="57">
        <f t="shared" si="415"/>
        <v>0</v>
      </c>
      <c r="EF139" s="62">
        <f t="shared" si="412"/>
        <v>0</v>
      </c>
      <c r="EG139" s="2">
        <v>73</v>
      </c>
      <c r="EH139" s="57">
        <f t="shared" si="419"/>
        <v>0</v>
      </c>
      <c r="EI139" s="62">
        <f t="shared" si="416"/>
        <v>0</v>
      </c>
      <c r="EJ139" s="2">
        <v>72</v>
      </c>
      <c r="EK139" s="57">
        <f t="shared" si="423"/>
        <v>0</v>
      </c>
      <c r="EL139" s="62">
        <f t="shared" si="420"/>
        <v>0</v>
      </c>
      <c r="EM139" s="2">
        <v>71</v>
      </c>
      <c r="EN139" s="57">
        <f t="shared" si="427"/>
        <v>0</v>
      </c>
      <c r="EO139" s="62">
        <f t="shared" si="424"/>
        <v>0</v>
      </c>
      <c r="EP139" s="2">
        <v>70</v>
      </c>
      <c r="EQ139" s="57">
        <f t="shared" si="431"/>
        <v>0</v>
      </c>
      <c r="ER139" s="62">
        <f t="shared" si="428"/>
        <v>0</v>
      </c>
      <c r="ES139" s="2">
        <v>69</v>
      </c>
      <c r="ET139" s="57">
        <f t="shared" si="432"/>
        <v>0</v>
      </c>
      <c r="EU139" s="62">
        <f t="shared" si="433"/>
        <v>0</v>
      </c>
      <c r="EV139" s="2">
        <v>68</v>
      </c>
      <c r="EW139" s="57">
        <f t="shared" si="436"/>
        <v>0</v>
      </c>
      <c r="EX139" s="62">
        <f t="shared" si="437"/>
        <v>0</v>
      </c>
      <c r="EY139" s="2">
        <v>67</v>
      </c>
      <c r="EZ139" s="57">
        <f t="shared" si="442"/>
        <v>0</v>
      </c>
      <c r="FA139" s="62">
        <f t="shared" si="440"/>
        <v>0</v>
      </c>
      <c r="FB139" s="2">
        <v>66</v>
      </c>
      <c r="FC139" s="57">
        <f t="shared" si="443"/>
        <v>0</v>
      </c>
      <c r="FD139" s="62">
        <f t="shared" si="444"/>
        <v>0</v>
      </c>
      <c r="FE139" s="2">
        <v>65</v>
      </c>
      <c r="FF139" s="57">
        <f t="shared" ref="FF139:FF163" si="449">$E$73</f>
        <v>0</v>
      </c>
      <c r="FG139" s="62">
        <f t="shared" si="446"/>
        <v>0</v>
      </c>
      <c r="FH139" s="2">
        <v>64</v>
      </c>
      <c r="FI139" s="57">
        <f t="shared" ref="FI139:FI162" si="450">$E$74</f>
        <v>0</v>
      </c>
      <c r="FJ139" s="62">
        <f t="shared" ref="FJ139:FJ163" si="451">SUM($G$10*$G$11*FI139*(EXP(-($G$10*FH139))),$G$10*$G$11*FI139*(EXP(-($G$10*(FH139+0.1)))),$G$10*$G$11*FI139*(EXP(-($G$10*(FH139+0.2)))),$G$10*$G$11*FI139*(EXP(-($G$10*(FH139+0.3)))),$G$10*$G$11*FI139*(EXP(-($G$10*(FH139+0.4)))),$G$10*$G$11*FI139*(EXP(-($G$10*(FH139+0.5)))),$G$10*$G$11*FI139*(EXP(-($G$10*(FH139+0.6)))),$G$10*$G$11*FI139*(EXP(-($G$10*(FH139+0.7)))),$G$10*$G$11*FI139*(EXP(-($G$10*(FH139+0.8)))),$G$10*$G$11*FI139*(EXP(-($G$10*(FH139+0.9)))))/10</f>
        <v>0</v>
      </c>
      <c r="FK139" s="2">
        <v>63</v>
      </c>
      <c r="FL139" s="57">
        <f t="shared" si="157"/>
        <v>0</v>
      </c>
      <c r="FM139" s="62">
        <f t="shared" si="314"/>
        <v>0</v>
      </c>
      <c r="FN139" s="2">
        <v>62</v>
      </c>
      <c r="FO139" s="57">
        <f t="shared" si="158"/>
        <v>0</v>
      </c>
      <c r="FP139" s="62">
        <f t="shared" si="318"/>
        <v>0</v>
      </c>
      <c r="FQ139" s="2">
        <v>61</v>
      </c>
      <c r="FR139" s="57">
        <f t="shared" si="165"/>
        <v>0</v>
      </c>
      <c r="FS139" s="62">
        <f t="shared" si="322"/>
        <v>0</v>
      </c>
      <c r="FT139" s="2">
        <v>60</v>
      </c>
      <c r="FU139" s="57">
        <f t="shared" si="166"/>
        <v>0</v>
      </c>
      <c r="FV139" s="62">
        <f t="shared" si="326"/>
        <v>0</v>
      </c>
      <c r="FW139" s="2">
        <v>59</v>
      </c>
      <c r="FX139" s="57">
        <f t="shared" si="170"/>
        <v>0</v>
      </c>
      <c r="FY139" s="62">
        <f t="shared" si="330"/>
        <v>0</v>
      </c>
      <c r="FZ139" s="2">
        <v>58</v>
      </c>
      <c r="GA139" s="57">
        <f t="shared" si="177"/>
        <v>0</v>
      </c>
      <c r="GB139" s="62">
        <f t="shared" si="334"/>
        <v>0</v>
      </c>
      <c r="GC139" s="2">
        <v>57</v>
      </c>
      <c r="GD139" s="57">
        <f t="shared" si="178"/>
        <v>0</v>
      </c>
      <c r="GE139" s="62">
        <f t="shared" si="338"/>
        <v>0</v>
      </c>
      <c r="GF139" s="2">
        <v>56</v>
      </c>
      <c r="GG139" s="57">
        <f t="shared" si="185"/>
        <v>0</v>
      </c>
      <c r="GH139" s="62">
        <f t="shared" si="342"/>
        <v>0</v>
      </c>
      <c r="GI139" s="2">
        <v>55</v>
      </c>
      <c r="GJ139" s="57">
        <f t="shared" si="186"/>
        <v>0</v>
      </c>
      <c r="GK139" s="62">
        <f t="shared" si="346"/>
        <v>0</v>
      </c>
      <c r="GL139" s="2">
        <v>54</v>
      </c>
      <c r="GM139" s="57">
        <f t="shared" si="193"/>
        <v>0</v>
      </c>
      <c r="GN139" s="62">
        <f t="shared" si="350"/>
        <v>0</v>
      </c>
      <c r="GO139" s="2">
        <v>53</v>
      </c>
      <c r="GP139" s="57">
        <f t="shared" si="194"/>
        <v>0</v>
      </c>
      <c r="GQ139" s="62">
        <f t="shared" si="354"/>
        <v>0</v>
      </c>
      <c r="GR139" s="2">
        <v>52</v>
      </c>
      <c r="GS139" s="57">
        <f t="shared" si="204"/>
        <v>0</v>
      </c>
      <c r="GT139" s="62">
        <f t="shared" si="356"/>
        <v>0</v>
      </c>
      <c r="GU139" s="2">
        <v>51</v>
      </c>
      <c r="GV139" s="57">
        <f t="shared" si="205"/>
        <v>0</v>
      </c>
      <c r="GW139" s="62">
        <f t="shared" si="359"/>
        <v>0</v>
      </c>
      <c r="GX139" s="2">
        <v>50</v>
      </c>
      <c r="GY139" s="57">
        <f t="shared" si="217"/>
        <v>0</v>
      </c>
      <c r="GZ139" s="62">
        <f t="shared" si="362"/>
        <v>0</v>
      </c>
      <c r="HA139" s="2">
        <v>49</v>
      </c>
      <c r="HB139" s="57">
        <f t="shared" si="218"/>
        <v>0</v>
      </c>
      <c r="HC139" s="62">
        <f t="shared" si="365"/>
        <v>0</v>
      </c>
      <c r="HD139" s="2">
        <v>48</v>
      </c>
      <c r="HE139" s="57">
        <f t="shared" si="229"/>
        <v>0</v>
      </c>
      <c r="HF139" s="62">
        <f t="shared" si="368"/>
        <v>0</v>
      </c>
      <c r="HG139" s="2">
        <v>47</v>
      </c>
      <c r="HH139" s="57">
        <f t="shared" si="230"/>
        <v>0</v>
      </c>
      <c r="HI139" s="62">
        <f t="shared" si="397"/>
        <v>0</v>
      </c>
      <c r="HJ139" s="2">
        <v>46</v>
      </c>
      <c r="HK139" s="57">
        <f t="shared" si="241"/>
        <v>0</v>
      </c>
      <c r="HL139" s="62">
        <f t="shared" si="400"/>
        <v>0</v>
      </c>
      <c r="HM139" s="2">
        <v>45</v>
      </c>
      <c r="HN139" s="57">
        <f t="shared" si="247"/>
        <v>0</v>
      </c>
      <c r="HO139" s="62">
        <f t="shared" si="403"/>
        <v>0</v>
      </c>
      <c r="HP139" s="2">
        <v>44</v>
      </c>
      <c r="HQ139" s="57">
        <f t="shared" si="248"/>
        <v>0</v>
      </c>
      <c r="HR139" s="62">
        <f t="shared" si="406"/>
        <v>0</v>
      </c>
      <c r="HS139" s="2">
        <v>43</v>
      </c>
      <c r="HT139" s="57">
        <f t="shared" si="257"/>
        <v>0</v>
      </c>
      <c r="HU139" s="62">
        <f t="shared" si="409"/>
        <v>0</v>
      </c>
      <c r="HV139" s="2">
        <v>42</v>
      </c>
      <c r="HW139" s="57">
        <f t="shared" si="258"/>
        <v>0</v>
      </c>
      <c r="HX139" s="62">
        <f t="shared" si="413"/>
        <v>0</v>
      </c>
      <c r="HY139" s="2">
        <v>41</v>
      </c>
      <c r="HZ139" s="57">
        <f t="shared" si="268"/>
        <v>0</v>
      </c>
      <c r="IA139" s="62">
        <f t="shared" si="417"/>
        <v>0</v>
      </c>
      <c r="IB139" s="2">
        <v>40</v>
      </c>
      <c r="IC139" s="57">
        <f t="shared" si="274"/>
        <v>0</v>
      </c>
      <c r="ID139" s="62">
        <f t="shared" si="421"/>
        <v>0</v>
      </c>
      <c r="IE139" s="2">
        <v>39</v>
      </c>
      <c r="IF139" s="57">
        <f t="shared" si="280"/>
        <v>0</v>
      </c>
      <c r="IG139" s="62">
        <f t="shared" si="425"/>
        <v>0</v>
      </c>
      <c r="IH139" s="2">
        <v>38</v>
      </c>
      <c r="II139" s="57">
        <f t="shared" si="281"/>
        <v>0</v>
      </c>
      <c r="IJ139" s="62">
        <f t="shared" si="429"/>
        <v>0</v>
      </c>
      <c r="IK139" s="2">
        <v>37</v>
      </c>
      <c r="IL139" s="57">
        <f t="shared" si="292"/>
        <v>0</v>
      </c>
      <c r="IM139" s="62">
        <f t="shared" si="434"/>
        <v>0</v>
      </c>
      <c r="IN139" s="2">
        <v>36</v>
      </c>
      <c r="IO139" s="57">
        <f t="shared" si="293"/>
        <v>0</v>
      </c>
      <c r="IP139" s="62">
        <f t="shared" si="438"/>
        <v>0</v>
      </c>
    </row>
    <row r="140" spans="7:250">
      <c r="G140" s="284"/>
      <c r="H140" s="284"/>
      <c r="I140" s="2">
        <f t="shared" si="369"/>
        <v>2135</v>
      </c>
      <c r="J140" s="379">
        <f t="shared" si="264"/>
        <v>1087143.6322244785</v>
      </c>
      <c r="K140" s="2">
        <f t="shared" si="370"/>
        <v>116</v>
      </c>
      <c r="L140" s="57">
        <f t="shared" si="200"/>
        <v>189082</v>
      </c>
      <c r="M140" s="62">
        <f t="shared" si="357"/>
        <v>7174.5579043834277</v>
      </c>
      <c r="N140" s="2">
        <f t="shared" si="371"/>
        <v>115</v>
      </c>
      <c r="O140" s="57">
        <f t="shared" si="207"/>
        <v>293489</v>
      </c>
      <c r="P140" s="62">
        <f t="shared" si="360"/>
        <v>11590.670648558946</v>
      </c>
      <c r="Q140" s="2">
        <f t="shared" si="372"/>
        <v>114</v>
      </c>
      <c r="R140" s="57">
        <f t="shared" si="213"/>
        <v>283523</v>
      </c>
      <c r="S140" s="62">
        <f t="shared" si="363"/>
        <v>11654.048249234031</v>
      </c>
      <c r="T140" s="2">
        <f t="shared" si="373"/>
        <v>113</v>
      </c>
      <c r="U140" s="57">
        <f t="shared" si="220"/>
        <v>143321</v>
      </c>
      <c r="V140" s="62">
        <f t="shared" si="366"/>
        <v>6131.547898341958</v>
      </c>
      <c r="W140" s="2">
        <f t="shared" si="374"/>
        <v>112</v>
      </c>
      <c r="X140" s="57">
        <f t="shared" si="225"/>
        <v>227851</v>
      </c>
      <c r="Y140" s="62">
        <f t="shared" si="375"/>
        <v>10145.723298400399</v>
      </c>
      <c r="Z140" s="2">
        <f t="shared" si="376"/>
        <v>111</v>
      </c>
      <c r="AA140" s="57">
        <f t="shared" si="232"/>
        <v>238727</v>
      </c>
      <c r="AB140" s="62">
        <f t="shared" si="398"/>
        <v>11063.827463912816</v>
      </c>
      <c r="AC140" s="2">
        <f t="shared" si="377"/>
        <v>110</v>
      </c>
      <c r="AD140" s="57">
        <f t="shared" si="237"/>
        <v>250122</v>
      </c>
      <c r="AE140" s="62">
        <f t="shared" si="401"/>
        <v>12065.00554969724</v>
      </c>
      <c r="AF140" s="2">
        <f t="shared" si="378"/>
        <v>109</v>
      </c>
      <c r="AG140" s="57">
        <f t="shared" si="243"/>
        <v>262060</v>
      </c>
      <c r="AH140" s="62">
        <f t="shared" si="404"/>
        <v>13156.735665682185</v>
      </c>
      <c r="AI140" s="2">
        <f t="shared" si="379"/>
        <v>108</v>
      </c>
      <c r="AJ140" s="57">
        <f t="shared" si="250"/>
        <v>274569</v>
      </c>
      <c r="AK140" s="62">
        <f t="shared" si="407"/>
        <v>14347.31699469217</v>
      </c>
      <c r="AL140" s="2">
        <f t="shared" si="380"/>
        <v>107</v>
      </c>
      <c r="AM140" s="57">
        <f t="shared" si="254"/>
        <v>287675</v>
      </c>
      <c r="AN140" s="62">
        <f t="shared" si="410"/>
        <v>15645.631348249186</v>
      </c>
      <c r="AO140" s="2">
        <f t="shared" si="381"/>
        <v>106</v>
      </c>
      <c r="AP140" s="57">
        <f t="shared" si="260"/>
        <v>301406</v>
      </c>
      <c r="AQ140" s="62">
        <f t="shared" si="414"/>
        <v>17061.399169503282</v>
      </c>
      <c r="AR140" s="2">
        <f t="shared" si="382"/>
        <v>105</v>
      </c>
      <c r="AS140" s="57">
        <f t="shared" si="265"/>
        <v>315793</v>
      </c>
      <c r="AT140" s="62">
        <f t="shared" si="418"/>
        <v>18605.315061237168</v>
      </c>
      <c r="AU140" s="2">
        <f t="shared" si="383"/>
        <v>104</v>
      </c>
      <c r="AV140" s="57">
        <f t="shared" si="271"/>
        <v>330866</v>
      </c>
      <c r="AW140" s="62">
        <f t="shared" si="422"/>
        <v>20288.89759240469</v>
      </c>
      <c r="AX140" s="2">
        <f t="shared" si="384"/>
        <v>103</v>
      </c>
      <c r="AY140" s="57">
        <f t="shared" si="277"/>
        <v>346659</v>
      </c>
      <c r="AZ140" s="62">
        <f t="shared" si="426"/>
        <v>22124.861877933861</v>
      </c>
      <c r="BA140" s="2">
        <f t="shared" si="385"/>
        <v>102</v>
      </c>
      <c r="BB140" s="57">
        <f t="shared" si="284"/>
        <v>363206</v>
      </c>
      <c r="BC140" s="62">
        <f t="shared" si="430"/>
        <v>24126.975421892614</v>
      </c>
      <c r="BD140" s="2">
        <f t="shared" si="386"/>
        <v>101</v>
      </c>
      <c r="BE140" s="57">
        <f t="shared" si="289"/>
        <v>380542</v>
      </c>
      <c r="BF140" s="62">
        <f t="shared" si="435"/>
        <v>26310.205678351213</v>
      </c>
      <c r="BG140" s="2">
        <f t="shared" si="387"/>
        <v>100</v>
      </c>
      <c r="BH140" s="57">
        <f t="shared" si="296"/>
        <v>398706</v>
      </c>
      <c r="BI140" s="62">
        <f t="shared" si="439"/>
        <v>28691.033817470627</v>
      </c>
      <c r="BJ140" s="2">
        <f t="shared" si="388"/>
        <v>99</v>
      </c>
      <c r="BK140" s="57">
        <f t="shared" si="300"/>
        <v>417737</v>
      </c>
      <c r="BL140" s="62">
        <f t="shared" si="441"/>
        <v>31287.304496729514</v>
      </c>
      <c r="BM140" s="2">
        <f t="shared" si="389"/>
        <v>98</v>
      </c>
      <c r="BN140" s="57">
        <f t="shared" si="304"/>
        <v>437677</v>
      </c>
      <c r="BO140" s="62">
        <f t="shared" si="445"/>
        <v>34118.561292870538</v>
      </c>
      <c r="BP140" s="2">
        <f t="shared" si="390"/>
        <v>97</v>
      </c>
      <c r="BQ140" s="57">
        <f t="shared" si="308"/>
        <v>458568</v>
      </c>
      <c r="BR140" s="62">
        <f t="shared" si="447"/>
        <v>37205.959521404628</v>
      </c>
      <c r="BS140" s="2">
        <f t="shared" si="391"/>
        <v>96</v>
      </c>
      <c r="BT140" s="57">
        <f t="shared" si="312"/>
        <v>480456</v>
      </c>
      <c r="BU140" s="62">
        <f t="shared" ref="BU140:BU163" si="452">SUM($G$10*$G$11*BT140*(EXP(-($G$10*BS140))),$G$10*$G$11*BT140*(EXP(-($G$10*(BS140+0.1)))),$G$10*$G$11*BT140*(EXP(-($G$10*(BS140+0.2)))),$G$10*$G$11*BT140*(EXP(-($G$10*(BS140+0.3)))),$G$10*$G$11*BT140*(EXP(-($G$10*(BS140+0.4)))),$G$10*$G$11*BT140*(EXP(-($G$10*(BS140+0.5)))),$G$10*$G$11*BT140*(EXP(-($G$10*(BS140+0.6)))),$G$10*$G$11*BT140*(EXP(-($G$10*(BS140+0.7)))),$G$10*$G$11*BT140*(EXP(-($G$10*(BS140+0.8)))),$G$10*$G$11*BT140*(EXP(-($G$10*(BS140+0.9)))))/10</f>
        <v>40572.72379693426</v>
      </c>
      <c r="BV140" s="2">
        <f t="shared" si="392"/>
        <v>95</v>
      </c>
      <c r="BW140" s="57">
        <f t="shared" si="316"/>
        <v>503389</v>
      </c>
      <c r="BX140" s="62">
        <f t="shared" si="317"/>
        <v>44244.169111649833</v>
      </c>
      <c r="BY140" s="2">
        <f t="shared" si="393"/>
        <v>94</v>
      </c>
      <c r="BZ140" s="57">
        <f t="shared" si="320"/>
        <v>527417</v>
      </c>
      <c r="CA140" s="62">
        <f t="shared" si="321"/>
        <v>48247.878949823542</v>
      </c>
      <c r="CB140" s="2">
        <f t="shared" si="394"/>
        <v>93</v>
      </c>
      <c r="CC140" s="57">
        <f t="shared" si="324"/>
        <v>552592</v>
      </c>
      <c r="CD140" s="62">
        <f t="shared" si="325"/>
        <v>52613.897485542133</v>
      </c>
      <c r="CE140" s="2">
        <f t="shared" si="395"/>
        <v>92</v>
      </c>
      <c r="CF140" s="57">
        <f t="shared" si="328"/>
        <v>578968</v>
      </c>
      <c r="CG140" s="62">
        <f t="shared" si="329"/>
        <v>57374.936898616528</v>
      </c>
      <c r="CH140" s="2">
        <v>91</v>
      </c>
      <c r="CI140" s="57">
        <f t="shared" si="332"/>
        <v>606603</v>
      </c>
      <c r="CJ140" s="62">
        <f t="shared" si="333"/>
        <v>62566.807200781928</v>
      </c>
      <c r="CK140" s="2">
        <v>90</v>
      </c>
      <c r="CL140" s="57">
        <f t="shared" si="336"/>
        <v>635558</v>
      </c>
      <c r="CM140" s="62">
        <f t="shared" si="337"/>
        <v>68228.591923898915</v>
      </c>
      <c r="CN140" s="2">
        <v>89</v>
      </c>
      <c r="CO140" s="57">
        <f t="shared" si="340"/>
        <v>665894</v>
      </c>
      <c r="CP140" s="62">
        <f t="shared" si="341"/>
        <v>74402.597878051296</v>
      </c>
      <c r="CQ140" s="2">
        <v>88</v>
      </c>
      <c r="CR140" s="57">
        <f t="shared" si="344"/>
        <v>697679</v>
      </c>
      <c r="CS140" s="62">
        <f t="shared" si="345"/>
        <v>81135.408745808774</v>
      </c>
      <c r="CT140" s="2">
        <v>87</v>
      </c>
      <c r="CU140" s="57">
        <f t="shared" si="348"/>
        <v>730980</v>
      </c>
      <c r="CV140" s="62">
        <f t="shared" si="349"/>
        <v>88477.338743135901</v>
      </c>
      <c r="CW140" s="2">
        <v>86</v>
      </c>
      <c r="CX140" s="57">
        <f t="shared" si="352"/>
        <v>765871</v>
      </c>
      <c r="CY140" s="62">
        <f t="shared" si="353"/>
        <v>96483.702539284932</v>
      </c>
      <c r="CZ140" s="2">
        <v>85</v>
      </c>
      <c r="DA140" s="57">
        <f t="shared" si="196"/>
        <v>0</v>
      </c>
      <c r="DB140" s="62">
        <f t="shared" si="355"/>
        <v>0</v>
      </c>
      <c r="DC140" s="2">
        <v>84</v>
      </c>
      <c r="DD140" s="57">
        <f t="shared" si="202"/>
        <v>0</v>
      </c>
      <c r="DE140" s="62">
        <f t="shared" si="358"/>
        <v>0</v>
      </c>
      <c r="DF140" s="2">
        <v>83</v>
      </c>
      <c r="DG140" s="57">
        <f t="shared" si="209"/>
        <v>0</v>
      </c>
      <c r="DH140" s="62">
        <f t="shared" si="361"/>
        <v>0</v>
      </c>
      <c r="DI140" s="2">
        <v>82</v>
      </c>
      <c r="DJ140" s="57">
        <f t="shared" si="215"/>
        <v>0</v>
      </c>
      <c r="DK140" s="62">
        <f t="shared" si="364"/>
        <v>0</v>
      </c>
      <c r="DL140" s="2">
        <v>81</v>
      </c>
      <c r="DM140" s="57">
        <f t="shared" si="222"/>
        <v>0</v>
      </c>
      <c r="DN140" s="62">
        <f t="shared" si="367"/>
        <v>0</v>
      </c>
      <c r="DO140" s="2">
        <v>80</v>
      </c>
      <c r="DP140" s="57">
        <f t="shared" si="227"/>
        <v>0</v>
      </c>
      <c r="DQ140" s="62">
        <f t="shared" si="396"/>
        <v>0</v>
      </c>
      <c r="DR140" s="2">
        <v>79</v>
      </c>
      <c r="DS140" s="57">
        <f t="shared" si="234"/>
        <v>0</v>
      </c>
      <c r="DT140" s="62">
        <f t="shared" si="399"/>
        <v>0</v>
      </c>
      <c r="DU140" s="2">
        <v>78</v>
      </c>
      <c r="DV140" s="57">
        <f t="shared" si="239"/>
        <v>0</v>
      </c>
      <c r="DW140" s="62">
        <f t="shared" si="402"/>
        <v>0</v>
      </c>
      <c r="DX140" s="2">
        <v>77</v>
      </c>
      <c r="DY140" s="57">
        <f t="shared" si="245"/>
        <v>0</v>
      </c>
      <c r="DZ140" s="62">
        <f t="shared" si="405"/>
        <v>0</v>
      </c>
      <c r="EA140" s="2">
        <f t="shared" si="448"/>
        <v>76</v>
      </c>
      <c r="EB140" s="57">
        <f t="shared" si="411"/>
        <v>0</v>
      </c>
      <c r="EC140" s="62">
        <f t="shared" si="408"/>
        <v>0</v>
      </c>
      <c r="ED140" s="2">
        <f t="shared" ref="ED140:ED163" si="453">IF(ED139="","",(ED139+1))</f>
        <v>75</v>
      </c>
      <c r="EE140" s="57">
        <f t="shared" si="415"/>
        <v>0</v>
      </c>
      <c r="EF140" s="62">
        <f t="shared" si="412"/>
        <v>0</v>
      </c>
      <c r="EG140" s="2">
        <v>74</v>
      </c>
      <c r="EH140" s="57">
        <f t="shared" si="419"/>
        <v>0</v>
      </c>
      <c r="EI140" s="62">
        <f t="shared" si="416"/>
        <v>0</v>
      </c>
      <c r="EJ140" s="2">
        <v>73</v>
      </c>
      <c r="EK140" s="57">
        <f t="shared" si="423"/>
        <v>0</v>
      </c>
      <c r="EL140" s="62">
        <f t="shared" si="420"/>
        <v>0</v>
      </c>
      <c r="EM140" s="2">
        <v>72</v>
      </c>
      <c r="EN140" s="57">
        <f t="shared" si="427"/>
        <v>0</v>
      </c>
      <c r="EO140" s="62">
        <f t="shared" si="424"/>
        <v>0</v>
      </c>
      <c r="EP140" s="2">
        <v>71</v>
      </c>
      <c r="EQ140" s="57">
        <f t="shared" si="431"/>
        <v>0</v>
      </c>
      <c r="ER140" s="62">
        <f t="shared" si="428"/>
        <v>0</v>
      </c>
      <c r="ES140" s="2">
        <v>70</v>
      </c>
      <c r="ET140" s="57">
        <f t="shared" si="432"/>
        <v>0</v>
      </c>
      <c r="EU140" s="62">
        <f t="shared" si="433"/>
        <v>0</v>
      </c>
      <c r="EV140" s="2">
        <v>69</v>
      </c>
      <c r="EW140" s="57">
        <f t="shared" si="436"/>
        <v>0</v>
      </c>
      <c r="EX140" s="62">
        <f t="shared" si="437"/>
        <v>0</v>
      </c>
      <c r="EY140" s="2">
        <v>68</v>
      </c>
      <c r="EZ140" s="57">
        <f t="shared" si="442"/>
        <v>0</v>
      </c>
      <c r="FA140" s="62">
        <f t="shared" si="440"/>
        <v>0</v>
      </c>
      <c r="FB140" s="2">
        <v>67</v>
      </c>
      <c r="FC140" s="57">
        <f t="shared" si="443"/>
        <v>0</v>
      </c>
      <c r="FD140" s="62">
        <f t="shared" si="444"/>
        <v>0</v>
      </c>
      <c r="FE140" s="2">
        <v>66</v>
      </c>
      <c r="FF140" s="57">
        <f t="shared" si="449"/>
        <v>0</v>
      </c>
      <c r="FG140" s="62">
        <f t="shared" si="446"/>
        <v>0</v>
      </c>
      <c r="FH140" s="2">
        <v>65</v>
      </c>
      <c r="FI140" s="57">
        <f t="shared" si="450"/>
        <v>0</v>
      </c>
      <c r="FJ140" s="62">
        <f t="shared" si="451"/>
        <v>0</v>
      </c>
      <c r="FK140" s="2">
        <v>64</v>
      </c>
      <c r="FL140" s="57">
        <f t="shared" si="157"/>
        <v>0</v>
      </c>
      <c r="FM140" s="62">
        <f t="shared" ref="FM140:FM163" si="454">SUM($G$10*$G$11*FL140*(EXP(-($G$10*FK140))),$G$10*$G$11*FL140*(EXP(-($G$10*(FK140+0.1)))),$G$10*$G$11*FL140*(EXP(-($G$10*(FK140+0.2)))),$G$10*$G$11*FL140*(EXP(-($G$10*(FK140+0.3)))),$G$10*$G$11*FL140*(EXP(-($G$10*(FK140+0.4)))),$G$10*$G$11*FL140*(EXP(-($G$10*(FK140+0.5)))),$G$10*$G$11*FL140*(EXP(-($G$10*(FK140+0.6)))),$G$10*$G$11*FL140*(EXP(-($G$10*(FK140+0.7)))),$G$10*$G$11*FL140*(EXP(-($G$10*(FK140+0.8)))),$G$10*$G$11*FL140*(EXP(-($G$10*(FK140+0.9)))))/10</f>
        <v>0</v>
      </c>
      <c r="FN140" s="2">
        <v>63</v>
      </c>
      <c r="FO140" s="57">
        <f t="shared" si="158"/>
        <v>0</v>
      </c>
      <c r="FP140" s="62">
        <f t="shared" si="318"/>
        <v>0</v>
      </c>
      <c r="FQ140" s="2">
        <v>62</v>
      </c>
      <c r="FR140" s="57">
        <f t="shared" si="165"/>
        <v>0</v>
      </c>
      <c r="FS140" s="62">
        <f t="shared" si="322"/>
        <v>0</v>
      </c>
      <c r="FT140" s="2">
        <v>61</v>
      </c>
      <c r="FU140" s="57">
        <f t="shared" si="166"/>
        <v>0</v>
      </c>
      <c r="FV140" s="62">
        <f t="shared" si="326"/>
        <v>0</v>
      </c>
      <c r="FW140" s="2">
        <v>60</v>
      </c>
      <c r="FX140" s="57">
        <f t="shared" si="170"/>
        <v>0</v>
      </c>
      <c r="FY140" s="62">
        <f t="shared" si="330"/>
        <v>0</v>
      </c>
      <c r="FZ140" s="2">
        <v>59</v>
      </c>
      <c r="GA140" s="57">
        <f t="shared" si="177"/>
        <v>0</v>
      </c>
      <c r="GB140" s="62">
        <f t="shared" si="334"/>
        <v>0</v>
      </c>
      <c r="GC140" s="2">
        <v>58</v>
      </c>
      <c r="GD140" s="57">
        <f t="shared" si="178"/>
        <v>0</v>
      </c>
      <c r="GE140" s="62">
        <f t="shared" si="338"/>
        <v>0</v>
      </c>
      <c r="GF140" s="2">
        <v>57</v>
      </c>
      <c r="GG140" s="57">
        <f t="shared" si="185"/>
        <v>0</v>
      </c>
      <c r="GH140" s="62">
        <f t="shared" si="342"/>
        <v>0</v>
      </c>
      <c r="GI140" s="2">
        <v>56</v>
      </c>
      <c r="GJ140" s="57">
        <f t="shared" si="186"/>
        <v>0</v>
      </c>
      <c r="GK140" s="62">
        <f t="shared" si="346"/>
        <v>0</v>
      </c>
      <c r="GL140" s="2">
        <v>55</v>
      </c>
      <c r="GM140" s="57">
        <f t="shared" si="193"/>
        <v>0</v>
      </c>
      <c r="GN140" s="62">
        <f t="shared" si="350"/>
        <v>0</v>
      </c>
      <c r="GO140" s="2">
        <v>54</v>
      </c>
      <c r="GP140" s="57">
        <f t="shared" si="194"/>
        <v>0</v>
      </c>
      <c r="GQ140" s="62">
        <f t="shared" si="354"/>
        <v>0</v>
      </c>
      <c r="GR140" s="2">
        <v>53</v>
      </c>
      <c r="GS140" s="57">
        <f t="shared" si="204"/>
        <v>0</v>
      </c>
      <c r="GT140" s="62">
        <f t="shared" si="356"/>
        <v>0</v>
      </c>
      <c r="GU140" s="2">
        <v>52</v>
      </c>
      <c r="GV140" s="57">
        <f t="shared" si="205"/>
        <v>0</v>
      </c>
      <c r="GW140" s="62">
        <f t="shared" si="359"/>
        <v>0</v>
      </c>
      <c r="GX140" s="2">
        <v>51</v>
      </c>
      <c r="GY140" s="57">
        <f t="shared" si="217"/>
        <v>0</v>
      </c>
      <c r="GZ140" s="62">
        <f t="shared" si="362"/>
        <v>0</v>
      </c>
      <c r="HA140" s="2">
        <v>50</v>
      </c>
      <c r="HB140" s="57">
        <f t="shared" si="218"/>
        <v>0</v>
      </c>
      <c r="HC140" s="62">
        <f t="shared" si="365"/>
        <v>0</v>
      </c>
      <c r="HD140" s="2">
        <v>49</v>
      </c>
      <c r="HE140" s="57">
        <f t="shared" si="229"/>
        <v>0</v>
      </c>
      <c r="HF140" s="62">
        <f t="shared" si="368"/>
        <v>0</v>
      </c>
      <c r="HG140" s="2">
        <v>48</v>
      </c>
      <c r="HH140" s="57">
        <f t="shared" si="230"/>
        <v>0</v>
      </c>
      <c r="HI140" s="62">
        <f t="shared" si="397"/>
        <v>0</v>
      </c>
      <c r="HJ140" s="2">
        <v>47</v>
      </c>
      <c r="HK140" s="57">
        <f t="shared" si="241"/>
        <v>0</v>
      </c>
      <c r="HL140" s="62">
        <f t="shared" si="400"/>
        <v>0</v>
      </c>
      <c r="HM140" s="2">
        <v>46</v>
      </c>
      <c r="HN140" s="57">
        <f t="shared" si="247"/>
        <v>0</v>
      </c>
      <c r="HO140" s="62">
        <f t="shared" si="403"/>
        <v>0</v>
      </c>
      <c r="HP140" s="2">
        <v>45</v>
      </c>
      <c r="HQ140" s="57">
        <f t="shared" si="248"/>
        <v>0</v>
      </c>
      <c r="HR140" s="62">
        <f t="shared" si="406"/>
        <v>0</v>
      </c>
      <c r="HS140" s="2">
        <v>44</v>
      </c>
      <c r="HT140" s="57">
        <f t="shared" si="257"/>
        <v>0</v>
      </c>
      <c r="HU140" s="62">
        <f t="shared" si="409"/>
        <v>0</v>
      </c>
      <c r="HV140" s="2">
        <v>43</v>
      </c>
      <c r="HW140" s="57">
        <f t="shared" si="258"/>
        <v>0</v>
      </c>
      <c r="HX140" s="62">
        <f t="shared" si="413"/>
        <v>0</v>
      </c>
      <c r="HY140" s="2">
        <v>42</v>
      </c>
      <c r="HZ140" s="57">
        <f t="shared" si="268"/>
        <v>0</v>
      </c>
      <c r="IA140" s="62">
        <f t="shared" si="417"/>
        <v>0</v>
      </c>
      <c r="IB140" s="2">
        <v>41</v>
      </c>
      <c r="IC140" s="57">
        <f t="shared" si="274"/>
        <v>0</v>
      </c>
      <c r="ID140" s="62">
        <f t="shared" si="421"/>
        <v>0</v>
      </c>
      <c r="IE140" s="2">
        <v>40</v>
      </c>
      <c r="IF140" s="57">
        <f t="shared" si="280"/>
        <v>0</v>
      </c>
      <c r="IG140" s="62">
        <f t="shared" si="425"/>
        <v>0</v>
      </c>
      <c r="IH140" s="2">
        <v>39</v>
      </c>
      <c r="II140" s="57">
        <f t="shared" si="281"/>
        <v>0</v>
      </c>
      <c r="IJ140" s="62">
        <f t="shared" si="429"/>
        <v>0</v>
      </c>
      <c r="IK140" s="2">
        <v>38</v>
      </c>
      <c r="IL140" s="57">
        <f t="shared" si="292"/>
        <v>0</v>
      </c>
      <c r="IM140" s="62">
        <f t="shared" si="434"/>
        <v>0</v>
      </c>
      <c r="IN140" s="2">
        <v>37</v>
      </c>
      <c r="IO140" s="57">
        <f t="shared" si="293"/>
        <v>0</v>
      </c>
      <c r="IP140" s="62">
        <f t="shared" si="438"/>
        <v>0</v>
      </c>
    </row>
    <row r="141" spans="7:250">
      <c r="G141" s="284"/>
      <c r="H141" s="284"/>
      <c r="I141" s="2">
        <f t="shared" si="369"/>
        <v>2136</v>
      </c>
      <c r="J141" s="379">
        <f t="shared" si="264"/>
        <v>1044516.1206829763</v>
      </c>
      <c r="K141" s="2">
        <f t="shared" si="370"/>
        <v>117</v>
      </c>
      <c r="L141" s="57">
        <f t="shared" si="200"/>
        <v>189082</v>
      </c>
      <c r="M141" s="62">
        <f t="shared" si="357"/>
        <v>6893.2394651184222</v>
      </c>
      <c r="N141" s="2">
        <f t="shared" si="371"/>
        <v>116</v>
      </c>
      <c r="O141" s="57">
        <f t="shared" si="207"/>
        <v>293489</v>
      </c>
      <c r="P141" s="62">
        <f t="shared" si="360"/>
        <v>11136.193951828242</v>
      </c>
      <c r="Q141" s="2">
        <f t="shared" si="372"/>
        <v>115</v>
      </c>
      <c r="R141" s="57">
        <f t="shared" si="213"/>
        <v>283523</v>
      </c>
      <c r="S141" s="62">
        <f t="shared" si="363"/>
        <v>11197.086481235678</v>
      </c>
      <c r="T141" s="2">
        <f t="shared" si="373"/>
        <v>114</v>
      </c>
      <c r="U141" s="57">
        <f t="shared" si="220"/>
        <v>143321</v>
      </c>
      <c r="V141" s="62">
        <f t="shared" si="366"/>
        <v>5891.1264663835746</v>
      </c>
      <c r="W141" s="2">
        <f t="shared" si="374"/>
        <v>113</v>
      </c>
      <c r="X141" s="57">
        <f t="shared" si="225"/>
        <v>227851</v>
      </c>
      <c r="Y141" s="62">
        <f t="shared" si="375"/>
        <v>9747.9037976647742</v>
      </c>
      <c r="Z141" s="2">
        <f t="shared" si="376"/>
        <v>112</v>
      </c>
      <c r="AA141" s="57">
        <f t="shared" si="232"/>
        <v>238727</v>
      </c>
      <c r="AB141" s="62">
        <f t="shared" si="398"/>
        <v>10630.008583930867</v>
      </c>
      <c r="AC141" s="2">
        <f t="shared" si="377"/>
        <v>111</v>
      </c>
      <c r="AD141" s="57">
        <f t="shared" si="237"/>
        <v>250122</v>
      </c>
      <c r="AE141" s="62">
        <f t="shared" si="401"/>
        <v>11591.929915463275</v>
      </c>
      <c r="AF141" s="2">
        <f t="shared" si="378"/>
        <v>110</v>
      </c>
      <c r="AG141" s="57">
        <f t="shared" si="243"/>
        <v>262060</v>
      </c>
      <c r="AH141" s="62">
        <f t="shared" si="404"/>
        <v>12640.852681306156</v>
      </c>
      <c r="AI141" s="2">
        <f t="shared" si="379"/>
        <v>109</v>
      </c>
      <c r="AJ141" s="57">
        <f t="shared" si="250"/>
        <v>274569</v>
      </c>
      <c r="AK141" s="62">
        <f t="shared" si="407"/>
        <v>13784.750648670884</v>
      </c>
      <c r="AL141" s="2">
        <f t="shared" si="380"/>
        <v>108</v>
      </c>
      <c r="AM141" s="57">
        <f t="shared" si="254"/>
        <v>287675</v>
      </c>
      <c r="AN141" s="62">
        <f t="shared" si="410"/>
        <v>15032.157368268337</v>
      </c>
      <c r="AO141" s="2">
        <f t="shared" si="381"/>
        <v>107</v>
      </c>
      <c r="AP141" s="57">
        <f t="shared" si="260"/>
        <v>301406</v>
      </c>
      <c r="AQ141" s="62">
        <f t="shared" si="414"/>
        <v>16392.412139220971</v>
      </c>
      <c r="AR141" s="2">
        <f t="shared" si="382"/>
        <v>106</v>
      </c>
      <c r="AS141" s="57">
        <f t="shared" si="265"/>
        <v>315793</v>
      </c>
      <c r="AT141" s="62">
        <f t="shared" si="418"/>
        <v>17875.790222938336</v>
      </c>
      <c r="AU141" s="2">
        <f t="shared" si="383"/>
        <v>105</v>
      </c>
      <c r="AV141" s="57">
        <f t="shared" si="271"/>
        <v>330866</v>
      </c>
      <c r="AW141" s="62">
        <f t="shared" si="422"/>
        <v>19493.358538825425</v>
      </c>
      <c r="AX141" s="2">
        <f t="shared" si="384"/>
        <v>104</v>
      </c>
      <c r="AY141" s="57">
        <f t="shared" si="277"/>
        <v>346659</v>
      </c>
      <c r="AZ141" s="62">
        <f t="shared" si="426"/>
        <v>21257.333635022696</v>
      </c>
      <c r="BA141" s="2">
        <f t="shared" si="385"/>
        <v>103</v>
      </c>
      <c r="BB141" s="57">
        <f t="shared" si="284"/>
        <v>363206</v>
      </c>
      <c r="BC141" s="62">
        <f t="shared" si="430"/>
        <v>23180.943184042091</v>
      </c>
      <c r="BD141" s="2">
        <f t="shared" si="386"/>
        <v>102</v>
      </c>
      <c r="BE141" s="57">
        <f t="shared" si="289"/>
        <v>380542</v>
      </c>
      <c r="BF141" s="62">
        <f t="shared" si="435"/>
        <v>25278.56775768533</v>
      </c>
      <c r="BG141" s="2">
        <f t="shared" si="387"/>
        <v>101</v>
      </c>
      <c r="BH141" s="57">
        <f t="shared" si="296"/>
        <v>398706</v>
      </c>
      <c r="BI141" s="62">
        <f t="shared" si="439"/>
        <v>27566.042290187943</v>
      </c>
      <c r="BJ141" s="2">
        <f t="shared" si="388"/>
        <v>100</v>
      </c>
      <c r="BK141" s="57">
        <f t="shared" si="300"/>
        <v>417737</v>
      </c>
      <c r="BL141" s="62">
        <f t="shared" si="441"/>
        <v>30060.511740000715</v>
      </c>
      <c r="BM141" s="2">
        <f t="shared" si="389"/>
        <v>99</v>
      </c>
      <c r="BN141" s="57">
        <f t="shared" si="304"/>
        <v>437677</v>
      </c>
      <c r="BO141" s="62">
        <f t="shared" si="445"/>
        <v>32780.753369261249</v>
      </c>
      <c r="BP141" s="2">
        <f t="shared" si="390"/>
        <v>98</v>
      </c>
      <c r="BQ141" s="57">
        <f t="shared" si="308"/>
        <v>458568</v>
      </c>
      <c r="BR141" s="62">
        <f t="shared" si="447"/>
        <v>35747.092981694397</v>
      </c>
      <c r="BS141" s="2">
        <f t="shared" si="391"/>
        <v>97</v>
      </c>
      <c r="BT141" s="57">
        <f t="shared" si="312"/>
        <v>480456</v>
      </c>
      <c r="BU141" s="62">
        <f t="shared" si="452"/>
        <v>38981.844541738588</v>
      </c>
      <c r="BV141" s="2">
        <f t="shared" si="392"/>
        <v>96</v>
      </c>
      <c r="BW141" s="57">
        <f t="shared" si="316"/>
        <v>503389</v>
      </c>
      <c r="BX141" s="62">
        <f t="shared" ref="BX141:BX163" si="455">SUM($G$10*$G$11*BW141*(EXP(-($G$10*BV141))),$G$10*$G$11*BW141*(EXP(-($G$10*(BV141+0.1)))),$G$10*$G$11*BW141*(EXP(-($G$10*(BV141+0.2)))),$G$10*$G$11*BW141*(EXP(-($G$10*(BV141+0.3)))),$G$10*$G$11*BW141*(EXP(-($G$10*(BV141+0.4)))),$G$10*$G$11*BW141*(EXP(-($G$10*(BV141+0.5)))),$G$10*$G$11*BW141*(EXP(-($G$10*(BV141+0.6)))),$G$10*$G$11*BW141*(EXP(-($G$10*(BV141+0.7)))),$G$10*$G$11*BW141*(EXP(-($G$10*(BV141+0.8)))),$G$10*$G$11*BW141*(EXP(-($G$10*(BV141+0.9)))))/10</f>
        <v>42509.330426542583</v>
      </c>
      <c r="BY141" s="2">
        <f t="shared" si="393"/>
        <v>95</v>
      </c>
      <c r="BZ141" s="57">
        <f t="shared" si="320"/>
        <v>527417</v>
      </c>
      <c r="CA141" s="62">
        <f t="shared" si="321"/>
        <v>46356.052556490162</v>
      </c>
      <c r="CB141" s="2">
        <f t="shared" si="394"/>
        <v>94</v>
      </c>
      <c r="CC141" s="57">
        <f t="shared" si="324"/>
        <v>552592</v>
      </c>
      <c r="CD141" s="62">
        <f t="shared" si="325"/>
        <v>50550.877056751851</v>
      </c>
      <c r="CE141" s="2">
        <f t="shared" si="395"/>
        <v>93</v>
      </c>
      <c r="CF141" s="57">
        <f t="shared" si="328"/>
        <v>578968</v>
      </c>
      <c r="CG141" s="62">
        <f t="shared" si="329"/>
        <v>55125.233444221711</v>
      </c>
      <c r="CH141" s="2">
        <v>92</v>
      </c>
      <c r="CI141" s="57">
        <f t="shared" si="332"/>
        <v>606603</v>
      </c>
      <c r="CJ141" s="62">
        <f t="shared" si="333"/>
        <v>60113.527599990812</v>
      </c>
      <c r="CK141" s="2">
        <v>91</v>
      </c>
      <c r="CL141" s="57">
        <f t="shared" si="336"/>
        <v>635558</v>
      </c>
      <c r="CM141" s="62">
        <f t="shared" si="337"/>
        <v>65553.310568715548</v>
      </c>
      <c r="CN141" s="2">
        <v>90</v>
      </c>
      <c r="CO141" s="57">
        <f t="shared" si="340"/>
        <v>665894</v>
      </c>
      <c r="CP141" s="62">
        <f t="shared" si="341"/>
        <v>71485.230286728736</v>
      </c>
      <c r="CQ141" s="2">
        <v>89</v>
      </c>
      <c r="CR141" s="57">
        <f t="shared" si="344"/>
        <v>697679</v>
      </c>
      <c r="CS141" s="62">
        <f t="shared" si="345"/>
        <v>77954.043864280131</v>
      </c>
      <c r="CT141" s="2">
        <v>88</v>
      </c>
      <c r="CU141" s="57">
        <f t="shared" si="348"/>
        <v>730980</v>
      </c>
      <c r="CV141" s="62">
        <f t="shared" si="349"/>
        <v>85008.092668707672</v>
      </c>
      <c r="CW141" s="2">
        <v>87</v>
      </c>
      <c r="CX141" s="57">
        <f t="shared" si="352"/>
        <v>765871</v>
      </c>
      <c r="CY141" s="62">
        <f t="shared" si="353"/>
        <v>92700.522450059158</v>
      </c>
      <c r="CZ141" s="2">
        <v>86</v>
      </c>
      <c r="DA141" s="57">
        <f t="shared" si="196"/>
        <v>0</v>
      </c>
      <c r="DB141" s="62">
        <f t="shared" si="355"/>
        <v>0</v>
      </c>
      <c r="DC141" s="2">
        <v>85</v>
      </c>
      <c r="DD141" s="57">
        <f t="shared" si="202"/>
        <v>0</v>
      </c>
      <c r="DE141" s="62">
        <f t="shared" si="358"/>
        <v>0</v>
      </c>
      <c r="DF141" s="2">
        <v>84</v>
      </c>
      <c r="DG141" s="57">
        <f t="shared" si="209"/>
        <v>0</v>
      </c>
      <c r="DH141" s="62">
        <f t="shared" si="361"/>
        <v>0</v>
      </c>
      <c r="DI141" s="2">
        <v>83</v>
      </c>
      <c r="DJ141" s="57">
        <f t="shared" si="215"/>
        <v>0</v>
      </c>
      <c r="DK141" s="62">
        <f t="shared" si="364"/>
        <v>0</v>
      </c>
      <c r="DL141" s="2">
        <v>82</v>
      </c>
      <c r="DM141" s="57">
        <f t="shared" si="222"/>
        <v>0</v>
      </c>
      <c r="DN141" s="62">
        <f t="shared" si="367"/>
        <v>0</v>
      </c>
      <c r="DO141" s="2">
        <v>81</v>
      </c>
      <c r="DP141" s="57">
        <f t="shared" si="227"/>
        <v>0</v>
      </c>
      <c r="DQ141" s="62">
        <f t="shared" si="396"/>
        <v>0</v>
      </c>
      <c r="DR141" s="2">
        <v>80</v>
      </c>
      <c r="DS141" s="57">
        <f t="shared" si="234"/>
        <v>0</v>
      </c>
      <c r="DT141" s="62">
        <f t="shared" si="399"/>
        <v>0</v>
      </c>
      <c r="DU141" s="2">
        <v>79</v>
      </c>
      <c r="DV141" s="57">
        <f t="shared" si="239"/>
        <v>0</v>
      </c>
      <c r="DW141" s="62">
        <f t="shared" si="402"/>
        <v>0</v>
      </c>
      <c r="DX141" s="2">
        <v>78</v>
      </c>
      <c r="DY141" s="57">
        <f t="shared" si="245"/>
        <v>0</v>
      </c>
      <c r="DZ141" s="62">
        <f t="shared" si="405"/>
        <v>0</v>
      </c>
      <c r="EA141" s="2">
        <f t="shared" si="448"/>
        <v>77</v>
      </c>
      <c r="EB141" s="57">
        <f t="shared" si="411"/>
        <v>0</v>
      </c>
      <c r="EC141" s="62">
        <f t="shared" si="408"/>
        <v>0</v>
      </c>
      <c r="ED141" s="2">
        <f t="shared" si="453"/>
        <v>76</v>
      </c>
      <c r="EE141" s="57">
        <f t="shared" si="415"/>
        <v>0</v>
      </c>
      <c r="EF141" s="62">
        <f t="shared" si="412"/>
        <v>0</v>
      </c>
      <c r="EG141" s="2">
        <f t="shared" ref="EG141:EG163" si="456">IF(EG140="","",(EG140+1))</f>
        <v>75</v>
      </c>
      <c r="EH141" s="57">
        <f t="shared" si="419"/>
        <v>0</v>
      </c>
      <c r="EI141" s="62">
        <f t="shared" si="416"/>
        <v>0</v>
      </c>
      <c r="EJ141" s="2">
        <v>74</v>
      </c>
      <c r="EK141" s="57">
        <f t="shared" si="423"/>
        <v>0</v>
      </c>
      <c r="EL141" s="62">
        <f t="shared" si="420"/>
        <v>0</v>
      </c>
      <c r="EM141" s="2">
        <v>73</v>
      </c>
      <c r="EN141" s="57">
        <f t="shared" si="427"/>
        <v>0</v>
      </c>
      <c r="EO141" s="62">
        <f t="shared" si="424"/>
        <v>0</v>
      </c>
      <c r="EP141" s="2">
        <v>72</v>
      </c>
      <c r="EQ141" s="57">
        <f t="shared" si="431"/>
        <v>0</v>
      </c>
      <c r="ER141" s="62">
        <f t="shared" si="428"/>
        <v>0</v>
      </c>
      <c r="ES141" s="2">
        <v>71</v>
      </c>
      <c r="ET141" s="57">
        <f t="shared" si="432"/>
        <v>0</v>
      </c>
      <c r="EU141" s="62">
        <f t="shared" si="433"/>
        <v>0</v>
      </c>
      <c r="EV141" s="2">
        <v>70</v>
      </c>
      <c r="EW141" s="57">
        <f t="shared" si="436"/>
        <v>0</v>
      </c>
      <c r="EX141" s="62">
        <f t="shared" si="437"/>
        <v>0</v>
      </c>
      <c r="EY141" s="2">
        <v>69</v>
      </c>
      <c r="EZ141" s="57">
        <f t="shared" si="442"/>
        <v>0</v>
      </c>
      <c r="FA141" s="62">
        <f t="shared" si="440"/>
        <v>0</v>
      </c>
      <c r="FB141" s="2">
        <v>68</v>
      </c>
      <c r="FC141" s="57">
        <f t="shared" si="443"/>
        <v>0</v>
      </c>
      <c r="FD141" s="62">
        <f t="shared" si="444"/>
        <v>0</v>
      </c>
      <c r="FE141" s="2">
        <v>67</v>
      </c>
      <c r="FF141" s="57">
        <f t="shared" si="449"/>
        <v>0</v>
      </c>
      <c r="FG141" s="62">
        <f t="shared" si="446"/>
        <v>0</v>
      </c>
      <c r="FH141" s="2">
        <v>66</v>
      </c>
      <c r="FI141" s="57">
        <f t="shared" si="450"/>
        <v>0</v>
      </c>
      <c r="FJ141" s="62">
        <f t="shared" si="451"/>
        <v>0</v>
      </c>
      <c r="FK141" s="2">
        <v>65</v>
      </c>
      <c r="FL141" s="57">
        <f t="shared" ref="FL141:FL163" si="457">$E$75</f>
        <v>0</v>
      </c>
      <c r="FM141" s="62">
        <f t="shared" si="454"/>
        <v>0</v>
      </c>
      <c r="FN141" s="2">
        <v>64</v>
      </c>
      <c r="FO141" s="57">
        <f t="shared" si="158"/>
        <v>0</v>
      </c>
      <c r="FP141" s="62">
        <f t="shared" ref="FP141:FP163" si="458">SUM($G$10*$G$11*FO141*(EXP(-($G$10*FN141))),$G$10*$G$11*FO141*(EXP(-($G$10*(FN141+0.1)))),$G$10*$G$11*FO141*(EXP(-($G$10*(FN141+0.2)))),$G$10*$G$11*FO141*(EXP(-($G$10*(FN141+0.3)))),$G$10*$G$11*FO141*(EXP(-($G$10*(FN141+0.4)))),$G$10*$G$11*FO141*(EXP(-($G$10*(FN141+0.5)))),$G$10*$G$11*FO141*(EXP(-($G$10*(FN141+0.6)))),$G$10*$G$11*FO141*(EXP(-($G$10*(FN141+0.7)))),$G$10*$G$11*FO141*(EXP(-($G$10*(FN141+0.8)))),$G$10*$G$11*FO141*(EXP(-($G$10*(FN141+0.9)))))/10</f>
        <v>0</v>
      </c>
      <c r="FQ141" s="2">
        <v>63</v>
      </c>
      <c r="FR141" s="57">
        <f t="shared" si="165"/>
        <v>0</v>
      </c>
      <c r="FS141" s="62">
        <f t="shared" si="322"/>
        <v>0</v>
      </c>
      <c r="FT141" s="2">
        <v>62</v>
      </c>
      <c r="FU141" s="57">
        <f t="shared" si="166"/>
        <v>0</v>
      </c>
      <c r="FV141" s="62">
        <f t="shared" si="326"/>
        <v>0</v>
      </c>
      <c r="FW141" s="2">
        <v>61</v>
      </c>
      <c r="FX141" s="57">
        <f t="shared" si="170"/>
        <v>0</v>
      </c>
      <c r="FY141" s="62">
        <f t="shared" si="330"/>
        <v>0</v>
      </c>
      <c r="FZ141" s="2">
        <v>60</v>
      </c>
      <c r="GA141" s="57">
        <f t="shared" si="177"/>
        <v>0</v>
      </c>
      <c r="GB141" s="62">
        <f t="shared" si="334"/>
        <v>0</v>
      </c>
      <c r="GC141" s="2">
        <v>59</v>
      </c>
      <c r="GD141" s="57">
        <f t="shared" si="178"/>
        <v>0</v>
      </c>
      <c r="GE141" s="62">
        <f t="shared" si="338"/>
        <v>0</v>
      </c>
      <c r="GF141" s="2">
        <v>58</v>
      </c>
      <c r="GG141" s="57">
        <f t="shared" si="185"/>
        <v>0</v>
      </c>
      <c r="GH141" s="62">
        <f t="shared" si="342"/>
        <v>0</v>
      </c>
      <c r="GI141" s="2">
        <v>57</v>
      </c>
      <c r="GJ141" s="57">
        <f t="shared" si="186"/>
        <v>0</v>
      </c>
      <c r="GK141" s="62">
        <f t="shared" si="346"/>
        <v>0</v>
      </c>
      <c r="GL141" s="2">
        <v>56</v>
      </c>
      <c r="GM141" s="57">
        <f t="shared" si="193"/>
        <v>0</v>
      </c>
      <c r="GN141" s="62">
        <f t="shared" si="350"/>
        <v>0</v>
      </c>
      <c r="GO141" s="2">
        <v>55</v>
      </c>
      <c r="GP141" s="57">
        <f t="shared" si="194"/>
        <v>0</v>
      </c>
      <c r="GQ141" s="62">
        <f t="shared" si="354"/>
        <v>0</v>
      </c>
      <c r="GR141" s="2">
        <v>54</v>
      </c>
      <c r="GS141" s="57">
        <f t="shared" si="204"/>
        <v>0</v>
      </c>
      <c r="GT141" s="62">
        <f t="shared" si="356"/>
        <v>0</v>
      </c>
      <c r="GU141" s="2">
        <v>53</v>
      </c>
      <c r="GV141" s="57">
        <f t="shared" si="205"/>
        <v>0</v>
      </c>
      <c r="GW141" s="62">
        <f t="shared" si="359"/>
        <v>0</v>
      </c>
      <c r="GX141" s="2">
        <v>52</v>
      </c>
      <c r="GY141" s="57">
        <f t="shared" si="217"/>
        <v>0</v>
      </c>
      <c r="GZ141" s="62">
        <f t="shared" si="362"/>
        <v>0</v>
      </c>
      <c r="HA141" s="2">
        <v>51</v>
      </c>
      <c r="HB141" s="57">
        <f t="shared" si="218"/>
        <v>0</v>
      </c>
      <c r="HC141" s="62">
        <f t="shared" si="365"/>
        <v>0</v>
      </c>
      <c r="HD141" s="2">
        <v>50</v>
      </c>
      <c r="HE141" s="57">
        <f t="shared" si="229"/>
        <v>0</v>
      </c>
      <c r="HF141" s="62">
        <f t="shared" si="368"/>
        <v>0</v>
      </c>
      <c r="HG141" s="2">
        <v>49</v>
      </c>
      <c r="HH141" s="57">
        <f t="shared" si="230"/>
        <v>0</v>
      </c>
      <c r="HI141" s="62">
        <f t="shared" si="397"/>
        <v>0</v>
      </c>
      <c r="HJ141" s="2">
        <v>48</v>
      </c>
      <c r="HK141" s="57">
        <f t="shared" si="241"/>
        <v>0</v>
      </c>
      <c r="HL141" s="62">
        <f t="shared" si="400"/>
        <v>0</v>
      </c>
      <c r="HM141" s="2">
        <v>47</v>
      </c>
      <c r="HN141" s="57">
        <f t="shared" si="247"/>
        <v>0</v>
      </c>
      <c r="HO141" s="62">
        <f t="shared" si="403"/>
        <v>0</v>
      </c>
      <c r="HP141" s="2">
        <v>46</v>
      </c>
      <c r="HQ141" s="57">
        <f t="shared" si="248"/>
        <v>0</v>
      </c>
      <c r="HR141" s="62">
        <f t="shared" si="406"/>
        <v>0</v>
      </c>
      <c r="HS141" s="2">
        <v>45</v>
      </c>
      <c r="HT141" s="57">
        <f t="shared" si="257"/>
        <v>0</v>
      </c>
      <c r="HU141" s="62">
        <f t="shared" si="409"/>
        <v>0</v>
      </c>
      <c r="HV141" s="2">
        <v>44</v>
      </c>
      <c r="HW141" s="57">
        <f t="shared" si="258"/>
        <v>0</v>
      </c>
      <c r="HX141" s="62">
        <f t="shared" si="413"/>
        <v>0</v>
      </c>
      <c r="HY141" s="2">
        <v>43</v>
      </c>
      <c r="HZ141" s="57">
        <f t="shared" si="268"/>
        <v>0</v>
      </c>
      <c r="IA141" s="62">
        <f t="shared" si="417"/>
        <v>0</v>
      </c>
      <c r="IB141" s="2">
        <v>42</v>
      </c>
      <c r="IC141" s="57">
        <f t="shared" si="274"/>
        <v>0</v>
      </c>
      <c r="ID141" s="62">
        <f t="shared" si="421"/>
        <v>0</v>
      </c>
      <c r="IE141" s="2">
        <v>41</v>
      </c>
      <c r="IF141" s="57">
        <f t="shared" si="280"/>
        <v>0</v>
      </c>
      <c r="IG141" s="62">
        <f t="shared" si="425"/>
        <v>0</v>
      </c>
      <c r="IH141" s="2">
        <v>40</v>
      </c>
      <c r="II141" s="57">
        <f t="shared" si="281"/>
        <v>0</v>
      </c>
      <c r="IJ141" s="62">
        <f t="shared" si="429"/>
        <v>0</v>
      </c>
      <c r="IK141" s="2">
        <v>39</v>
      </c>
      <c r="IL141" s="57">
        <f t="shared" si="292"/>
        <v>0</v>
      </c>
      <c r="IM141" s="62">
        <f t="shared" si="434"/>
        <v>0</v>
      </c>
      <c r="IN141" s="2">
        <v>38</v>
      </c>
      <c r="IO141" s="57">
        <f t="shared" si="293"/>
        <v>0</v>
      </c>
      <c r="IP141" s="62">
        <f t="shared" si="438"/>
        <v>0</v>
      </c>
    </row>
    <row r="142" spans="7:250">
      <c r="G142" s="284"/>
      <c r="H142" s="284"/>
      <c r="I142" s="2">
        <f t="shared" si="369"/>
        <v>2137</v>
      </c>
      <c r="J142" s="379">
        <f t="shared" si="264"/>
        <v>1003560.0577765573</v>
      </c>
      <c r="K142" s="2">
        <f t="shared" si="370"/>
        <v>118</v>
      </c>
      <c r="L142" s="57">
        <f t="shared" si="200"/>
        <v>189082</v>
      </c>
      <c r="M142" s="62">
        <f t="shared" si="357"/>
        <v>6622.9516796337875</v>
      </c>
      <c r="N142" s="2">
        <f t="shared" si="371"/>
        <v>117</v>
      </c>
      <c r="O142" s="57">
        <f t="shared" si="207"/>
        <v>293489</v>
      </c>
      <c r="P142" s="62">
        <f t="shared" si="360"/>
        <v>10699.537541268553</v>
      </c>
      <c r="Q142" s="2">
        <f t="shared" si="372"/>
        <v>116</v>
      </c>
      <c r="R142" s="57">
        <f t="shared" si="213"/>
        <v>283523</v>
      </c>
      <c r="S142" s="62">
        <f t="shared" si="363"/>
        <v>10758.042440446488</v>
      </c>
      <c r="T142" s="2">
        <f t="shared" si="373"/>
        <v>115</v>
      </c>
      <c r="U142" s="57">
        <f t="shared" si="220"/>
        <v>143321</v>
      </c>
      <c r="V142" s="62">
        <f t="shared" si="366"/>
        <v>5660.1320936120828</v>
      </c>
      <c r="W142" s="2">
        <f t="shared" si="374"/>
        <v>114</v>
      </c>
      <c r="X142" s="57">
        <f t="shared" si="225"/>
        <v>227851</v>
      </c>
      <c r="Y142" s="62">
        <f t="shared" si="375"/>
        <v>9365.6830226691418</v>
      </c>
      <c r="Z142" s="2">
        <f t="shared" si="376"/>
        <v>113</v>
      </c>
      <c r="AA142" s="57">
        <f t="shared" si="232"/>
        <v>238727</v>
      </c>
      <c r="AB142" s="62">
        <f t="shared" si="398"/>
        <v>10213.199985539319</v>
      </c>
      <c r="AC142" s="2">
        <f t="shared" si="377"/>
        <v>112</v>
      </c>
      <c r="AD142" s="57">
        <f t="shared" si="237"/>
        <v>250122</v>
      </c>
      <c r="AE142" s="62">
        <f t="shared" si="401"/>
        <v>11137.403842170999</v>
      </c>
      <c r="AF142" s="2">
        <f t="shared" si="378"/>
        <v>111</v>
      </c>
      <c r="AG142" s="57">
        <f t="shared" si="243"/>
        <v>262060</v>
      </c>
      <c r="AH142" s="62">
        <f t="shared" si="404"/>
        <v>12145.197758079281</v>
      </c>
      <c r="AI142" s="2">
        <f t="shared" si="379"/>
        <v>110</v>
      </c>
      <c r="AJ142" s="57">
        <f t="shared" si="250"/>
        <v>274569</v>
      </c>
      <c r="AK142" s="62">
        <f t="shared" si="407"/>
        <v>13244.242844591121</v>
      </c>
      <c r="AL142" s="2">
        <f t="shared" si="380"/>
        <v>109</v>
      </c>
      <c r="AM142" s="57">
        <f t="shared" si="254"/>
        <v>287675</v>
      </c>
      <c r="AN142" s="62">
        <f t="shared" si="410"/>
        <v>14442.738047108001</v>
      </c>
      <c r="AO142" s="2">
        <f t="shared" si="381"/>
        <v>108</v>
      </c>
      <c r="AP142" s="57">
        <f t="shared" si="260"/>
        <v>301406</v>
      </c>
      <c r="AQ142" s="62">
        <f t="shared" si="414"/>
        <v>15749.65646559585</v>
      </c>
      <c r="AR142" s="2">
        <f t="shared" si="382"/>
        <v>107</v>
      </c>
      <c r="AS142" s="57">
        <f t="shared" si="265"/>
        <v>315793</v>
      </c>
      <c r="AT142" s="62">
        <f t="shared" si="418"/>
        <v>17174.870462701503</v>
      </c>
      <c r="AU142" s="2">
        <f t="shared" si="383"/>
        <v>106</v>
      </c>
      <c r="AV142" s="57">
        <f t="shared" si="271"/>
        <v>330866</v>
      </c>
      <c r="AW142" s="62">
        <f t="shared" si="422"/>
        <v>18729.013017713231</v>
      </c>
      <c r="AX142" s="2">
        <f t="shared" si="384"/>
        <v>105</v>
      </c>
      <c r="AY142" s="57">
        <f t="shared" si="277"/>
        <v>346659</v>
      </c>
      <c r="AZ142" s="62">
        <f t="shared" si="426"/>
        <v>20423.821661067268</v>
      </c>
      <c r="BA142" s="2">
        <f t="shared" si="385"/>
        <v>104</v>
      </c>
      <c r="BB142" s="57">
        <f t="shared" si="284"/>
        <v>363206</v>
      </c>
      <c r="BC142" s="62">
        <f t="shared" si="430"/>
        <v>22272.005400817667</v>
      </c>
      <c r="BD142" s="2">
        <f t="shared" si="386"/>
        <v>103</v>
      </c>
      <c r="BE142" s="57">
        <f t="shared" si="289"/>
        <v>380542</v>
      </c>
      <c r="BF142" s="62">
        <f t="shared" si="435"/>
        <v>24287.380938480492</v>
      </c>
      <c r="BG142" s="2">
        <f t="shared" si="387"/>
        <v>102</v>
      </c>
      <c r="BH142" s="57">
        <f t="shared" si="296"/>
        <v>398706</v>
      </c>
      <c r="BI142" s="62">
        <f t="shared" si="439"/>
        <v>26485.162311638891</v>
      </c>
      <c r="BJ142" s="2">
        <f t="shared" si="388"/>
        <v>101</v>
      </c>
      <c r="BK142" s="57">
        <f t="shared" si="300"/>
        <v>417737</v>
      </c>
      <c r="BL142" s="62">
        <f t="shared" si="441"/>
        <v>28881.822215307118</v>
      </c>
      <c r="BM142" s="2">
        <f t="shared" si="389"/>
        <v>100</v>
      </c>
      <c r="BN142" s="57">
        <f t="shared" si="304"/>
        <v>437677</v>
      </c>
      <c r="BO142" s="62">
        <f t="shared" si="445"/>
        <v>31495.401644643145</v>
      </c>
      <c r="BP142" s="2">
        <f t="shared" si="390"/>
        <v>99</v>
      </c>
      <c r="BQ142" s="57">
        <f t="shared" si="308"/>
        <v>458568</v>
      </c>
      <c r="BR142" s="62">
        <f t="shared" si="447"/>
        <v>34345.429417208106</v>
      </c>
      <c r="BS142" s="2">
        <f t="shared" si="391"/>
        <v>98</v>
      </c>
      <c r="BT142" s="57">
        <f t="shared" si="312"/>
        <v>480456</v>
      </c>
      <c r="BU142" s="62">
        <f t="shared" si="452"/>
        <v>37453.344554380063</v>
      </c>
      <c r="BV142" s="2">
        <f t="shared" si="392"/>
        <v>97</v>
      </c>
      <c r="BW142" s="57">
        <f t="shared" si="316"/>
        <v>503389</v>
      </c>
      <c r="BX142" s="62">
        <f t="shared" si="455"/>
        <v>40842.515739258633</v>
      </c>
      <c r="BY142" s="2">
        <f t="shared" si="393"/>
        <v>96</v>
      </c>
      <c r="BZ142" s="57">
        <f t="shared" si="320"/>
        <v>527417</v>
      </c>
      <c r="CA142" s="62">
        <f t="shared" ref="CA142:CA163" si="459">SUM($G$10*$G$11*BZ142*(EXP(-($G$10*BY142))),$G$10*$G$11*BZ142*(EXP(-($G$10*(BY142+0.1)))),$G$10*$G$11*BZ142*(EXP(-($G$10*(BY142+0.2)))),$G$10*$G$11*BZ142*(EXP(-($G$10*(BY142+0.3)))),$G$10*$G$11*BZ142*(EXP(-($G$10*(BY142+0.4)))),$G$10*$G$11*BZ142*(EXP(-($G$10*(BY142+0.5)))),$G$10*$G$11*BZ142*(EXP(-($G$10*(BY142+0.6)))),$G$10*$G$11*BZ142*(EXP(-($G$10*(BY142+0.7)))),$G$10*$G$11*BZ142*(EXP(-($G$10*(BY142+0.8)))),$G$10*$G$11*BZ142*(EXP(-($G$10*(BY142+0.9)))))/10</f>
        <v>44538.405737065797</v>
      </c>
      <c r="CB142" s="2">
        <f t="shared" si="394"/>
        <v>95</v>
      </c>
      <c r="CC142" s="57">
        <f t="shared" si="324"/>
        <v>552592</v>
      </c>
      <c r="CD142" s="62">
        <f t="shared" si="325"/>
        <v>48568.74881601466</v>
      </c>
      <c r="CE142" s="2">
        <f t="shared" si="395"/>
        <v>94</v>
      </c>
      <c r="CF142" s="57">
        <f t="shared" si="328"/>
        <v>578968</v>
      </c>
      <c r="CG142" s="62">
        <f t="shared" si="329"/>
        <v>52963.742124014665</v>
      </c>
      <c r="CH142" s="2">
        <v>93</v>
      </c>
      <c r="CI142" s="57">
        <f t="shared" si="332"/>
        <v>606603</v>
      </c>
      <c r="CJ142" s="62">
        <f t="shared" si="333"/>
        <v>57756.442468262881</v>
      </c>
      <c r="CK142" s="2">
        <v>92</v>
      </c>
      <c r="CL142" s="57">
        <f t="shared" si="336"/>
        <v>635558</v>
      </c>
      <c r="CM142" s="62">
        <f t="shared" si="337"/>
        <v>62982.928495894281</v>
      </c>
      <c r="CN142" s="2">
        <v>91</v>
      </c>
      <c r="CO142" s="57">
        <f t="shared" si="340"/>
        <v>665894</v>
      </c>
      <c r="CP142" s="62">
        <f t="shared" si="341"/>
        <v>68682.254314860766</v>
      </c>
      <c r="CQ142" s="2">
        <v>90</v>
      </c>
      <c r="CR142" s="57">
        <f t="shared" si="344"/>
        <v>697679</v>
      </c>
      <c r="CS142" s="62">
        <f t="shared" si="345"/>
        <v>74897.422084017293</v>
      </c>
      <c r="CT142" s="2">
        <v>89</v>
      </c>
      <c r="CU142" s="57">
        <f t="shared" si="348"/>
        <v>730980</v>
      </c>
      <c r="CV142" s="62">
        <f t="shared" si="349"/>
        <v>81674.877678576362</v>
      </c>
      <c r="CW142" s="2">
        <v>88</v>
      </c>
      <c r="CX142" s="57">
        <f t="shared" si="352"/>
        <v>765871</v>
      </c>
      <c r="CY142" s="62">
        <f t="shared" si="353"/>
        <v>89065.682973919698</v>
      </c>
      <c r="CZ142" s="2">
        <v>87</v>
      </c>
      <c r="DA142" s="57">
        <f t="shared" si="196"/>
        <v>0</v>
      </c>
      <c r="DB142" s="62">
        <f t="shared" si="355"/>
        <v>0</v>
      </c>
      <c r="DC142" s="2">
        <v>86</v>
      </c>
      <c r="DD142" s="57">
        <f t="shared" si="202"/>
        <v>0</v>
      </c>
      <c r="DE142" s="62">
        <f t="shared" si="358"/>
        <v>0</v>
      </c>
      <c r="DF142" s="2">
        <v>85</v>
      </c>
      <c r="DG142" s="57">
        <f t="shared" si="209"/>
        <v>0</v>
      </c>
      <c r="DH142" s="62">
        <f t="shared" si="361"/>
        <v>0</v>
      </c>
      <c r="DI142" s="2">
        <v>84</v>
      </c>
      <c r="DJ142" s="57">
        <f t="shared" si="215"/>
        <v>0</v>
      </c>
      <c r="DK142" s="62">
        <f t="shared" si="364"/>
        <v>0</v>
      </c>
      <c r="DL142" s="2">
        <v>83</v>
      </c>
      <c r="DM142" s="57">
        <f t="shared" si="222"/>
        <v>0</v>
      </c>
      <c r="DN142" s="62">
        <f t="shared" si="367"/>
        <v>0</v>
      </c>
      <c r="DO142" s="2">
        <v>82</v>
      </c>
      <c r="DP142" s="57">
        <f t="shared" si="227"/>
        <v>0</v>
      </c>
      <c r="DQ142" s="62">
        <f t="shared" si="396"/>
        <v>0</v>
      </c>
      <c r="DR142" s="2">
        <v>81</v>
      </c>
      <c r="DS142" s="57">
        <f t="shared" si="234"/>
        <v>0</v>
      </c>
      <c r="DT142" s="62">
        <f t="shared" si="399"/>
        <v>0</v>
      </c>
      <c r="DU142" s="2">
        <v>80</v>
      </c>
      <c r="DV142" s="57">
        <f t="shared" si="239"/>
        <v>0</v>
      </c>
      <c r="DW142" s="62">
        <f t="shared" si="402"/>
        <v>0</v>
      </c>
      <c r="DX142" s="2">
        <v>79</v>
      </c>
      <c r="DY142" s="57">
        <f t="shared" si="245"/>
        <v>0</v>
      </c>
      <c r="DZ142" s="62">
        <f t="shared" si="405"/>
        <v>0</v>
      </c>
      <c r="EA142" s="2">
        <f t="shared" si="448"/>
        <v>78</v>
      </c>
      <c r="EB142" s="57">
        <f t="shared" si="411"/>
        <v>0</v>
      </c>
      <c r="EC142" s="62">
        <f t="shared" si="408"/>
        <v>0</v>
      </c>
      <c r="ED142" s="2">
        <f t="shared" si="453"/>
        <v>77</v>
      </c>
      <c r="EE142" s="57">
        <f t="shared" si="415"/>
        <v>0</v>
      </c>
      <c r="EF142" s="62">
        <f t="shared" si="412"/>
        <v>0</v>
      </c>
      <c r="EG142" s="2">
        <f t="shared" si="456"/>
        <v>76</v>
      </c>
      <c r="EH142" s="57">
        <f t="shared" si="419"/>
        <v>0</v>
      </c>
      <c r="EI142" s="62">
        <f t="shared" si="416"/>
        <v>0</v>
      </c>
      <c r="EJ142" s="2">
        <f t="shared" ref="EJ142:EJ163" si="460">IF(EJ141="","",(EJ141+1))</f>
        <v>75</v>
      </c>
      <c r="EK142" s="57">
        <f t="shared" si="423"/>
        <v>0</v>
      </c>
      <c r="EL142" s="62">
        <f t="shared" si="420"/>
        <v>0</v>
      </c>
      <c r="EM142" s="2">
        <v>74</v>
      </c>
      <c r="EN142" s="57">
        <f t="shared" si="427"/>
        <v>0</v>
      </c>
      <c r="EO142" s="62">
        <f t="shared" si="424"/>
        <v>0</v>
      </c>
      <c r="EP142" s="2">
        <v>73</v>
      </c>
      <c r="EQ142" s="57">
        <f t="shared" si="431"/>
        <v>0</v>
      </c>
      <c r="ER142" s="62">
        <f t="shared" si="428"/>
        <v>0</v>
      </c>
      <c r="ES142" s="2">
        <v>72</v>
      </c>
      <c r="ET142" s="57">
        <f t="shared" si="432"/>
        <v>0</v>
      </c>
      <c r="EU142" s="62">
        <f t="shared" si="433"/>
        <v>0</v>
      </c>
      <c r="EV142" s="2">
        <v>71</v>
      </c>
      <c r="EW142" s="57">
        <f t="shared" si="436"/>
        <v>0</v>
      </c>
      <c r="EX142" s="62">
        <f t="shared" si="437"/>
        <v>0</v>
      </c>
      <c r="EY142" s="2">
        <v>70</v>
      </c>
      <c r="EZ142" s="57">
        <f t="shared" si="442"/>
        <v>0</v>
      </c>
      <c r="FA142" s="62">
        <f t="shared" si="440"/>
        <v>0</v>
      </c>
      <c r="FB142" s="2">
        <v>69</v>
      </c>
      <c r="FC142" s="57">
        <f t="shared" si="443"/>
        <v>0</v>
      </c>
      <c r="FD142" s="62">
        <f t="shared" si="444"/>
        <v>0</v>
      </c>
      <c r="FE142" s="2">
        <v>68</v>
      </c>
      <c r="FF142" s="57">
        <f t="shared" si="449"/>
        <v>0</v>
      </c>
      <c r="FG142" s="62">
        <f t="shared" si="446"/>
        <v>0</v>
      </c>
      <c r="FH142" s="2">
        <v>67</v>
      </c>
      <c r="FI142" s="57">
        <f t="shared" si="450"/>
        <v>0</v>
      </c>
      <c r="FJ142" s="62">
        <f t="shared" si="451"/>
        <v>0</v>
      </c>
      <c r="FK142" s="2">
        <v>66</v>
      </c>
      <c r="FL142" s="57">
        <f t="shared" si="457"/>
        <v>0</v>
      </c>
      <c r="FM142" s="62">
        <f t="shared" si="454"/>
        <v>0</v>
      </c>
      <c r="FN142" s="2">
        <v>65</v>
      </c>
      <c r="FO142" s="57">
        <f t="shared" ref="FO142:FO162" si="461">$E$76</f>
        <v>0</v>
      </c>
      <c r="FP142" s="62">
        <f t="shared" si="458"/>
        <v>0</v>
      </c>
      <c r="FQ142" s="2">
        <v>64</v>
      </c>
      <c r="FR142" s="57">
        <f t="shared" si="165"/>
        <v>0</v>
      </c>
      <c r="FS142" s="62">
        <f t="shared" ref="FS142:FS163" si="462">SUM($G$10*$G$11*FR142*(EXP(-($G$10*FQ142))),$G$10*$G$11*FR142*(EXP(-($G$10*(FQ142+0.1)))),$G$10*$G$11*FR142*(EXP(-($G$10*(FQ142+0.2)))),$G$10*$G$11*FR142*(EXP(-($G$10*(FQ142+0.3)))),$G$10*$G$11*FR142*(EXP(-($G$10*(FQ142+0.4)))),$G$10*$G$11*FR142*(EXP(-($G$10*(FQ142+0.5)))),$G$10*$G$11*FR142*(EXP(-($G$10*(FQ142+0.6)))),$G$10*$G$11*FR142*(EXP(-($G$10*(FQ142+0.7)))),$G$10*$G$11*FR142*(EXP(-($G$10*(FQ142+0.8)))),$G$10*$G$11*FR142*(EXP(-($G$10*(FQ142+0.9)))))/10</f>
        <v>0</v>
      </c>
      <c r="FT142" s="2">
        <v>63</v>
      </c>
      <c r="FU142" s="57">
        <f t="shared" si="166"/>
        <v>0</v>
      </c>
      <c r="FV142" s="62">
        <f t="shared" si="326"/>
        <v>0</v>
      </c>
      <c r="FW142" s="2">
        <v>62</v>
      </c>
      <c r="FX142" s="57">
        <f t="shared" si="170"/>
        <v>0</v>
      </c>
      <c r="FY142" s="62">
        <f t="shared" si="330"/>
        <v>0</v>
      </c>
      <c r="FZ142" s="2">
        <v>61</v>
      </c>
      <c r="GA142" s="57">
        <f t="shared" si="177"/>
        <v>0</v>
      </c>
      <c r="GB142" s="62">
        <f t="shared" si="334"/>
        <v>0</v>
      </c>
      <c r="GC142" s="2">
        <v>60</v>
      </c>
      <c r="GD142" s="57">
        <f t="shared" si="178"/>
        <v>0</v>
      </c>
      <c r="GE142" s="62">
        <f t="shared" si="338"/>
        <v>0</v>
      </c>
      <c r="GF142" s="2">
        <v>59</v>
      </c>
      <c r="GG142" s="57">
        <f t="shared" si="185"/>
        <v>0</v>
      </c>
      <c r="GH142" s="62">
        <f t="shared" si="342"/>
        <v>0</v>
      </c>
      <c r="GI142" s="2">
        <v>58</v>
      </c>
      <c r="GJ142" s="57">
        <f t="shared" si="186"/>
        <v>0</v>
      </c>
      <c r="GK142" s="62">
        <f t="shared" si="346"/>
        <v>0</v>
      </c>
      <c r="GL142" s="2">
        <v>57</v>
      </c>
      <c r="GM142" s="57">
        <f t="shared" si="193"/>
        <v>0</v>
      </c>
      <c r="GN142" s="62">
        <f t="shared" si="350"/>
        <v>0</v>
      </c>
      <c r="GO142" s="2">
        <v>56</v>
      </c>
      <c r="GP142" s="57">
        <f t="shared" si="194"/>
        <v>0</v>
      </c>
      <c r="GQ142" s="62">
        <f t="shared" si="354"/>
        <v>0</v>
      </c>
      <c r="GR142" s="2">
        <v>55</v>
      </c>
      <c r="GS142" s="57">
        <f t="shared" si="204"/>
        <v>0</v>
      </c>
      <c r="GT142" s="62">
        <f t="shared" si="356"/>
        <v>0</v>
      </c>
      <c r="GU142" s="2">
        <v>54</v>
      </c>
      <c r="GV142" s="57">
        <f t="shared" si="205"/>
        <v>0</v>
      </c>
      <c r="GW142" s="62">
        <f t="shared" si="359"/>
        <v>0</v>
      </c>
      <c r="GX142" s="2">
        <v>53</v>
      </c>
      <c r="GY142" s="57">
        <f t="shared" si="217"/>
        <v>0</v>
      </c>
      <c r="GZ142" s="62">
        <f t="shared" si="362"/>
        <v>0</v>
      </c>
      <c r="HA142" s="2">
        <v>52</v>
      </c>
      <c r="HB142" s="57">
        <f t="shared" si="218"/>
        <v>0</v>
      </c>
      <c r="HC142" s="62">
        <f t="shared" si="365"/>
        <v>0</v>
      </c>
      <c r="HD142" s="2">
        <v>51</v>
      </c>
      <c r="HE142" s="57">
        <f t="shared" si="229"/>
        <v>0</v>
      </c>
      <c r="HF142" s="62">
        <f t="shared" si="368"/>
        <v>0</v>
      </c>
      <c r="HG142" s="2">
        <v>50</v>
      </c>
      <c r="HH142" s="57">
        <f t="shared" si="230"/>
        <v>0</v>
      </c>
      <c r="HI142" s="62">
        <f t="shared" si="397"/>
        <v>0</v>
      </c>
      <c r="HJ142" s="2">
        <v>49</v>
      </c>
      <c r="HK142" s="57">
        <f t="shared" si="241"/>
        <v>0</v>
      </c>
      <c r="HL142" s="62">
        <f t="shared" si="400"/>
        <v>0</v>
      </c>
      <c r="HM142" s="2">
        <v>48</v>
      </c>
      <c r="HN142" s="57">
        <f t="shared" si="247"/>
        <v>0</v>
      </c>
      <c r="HO142" s="62">
        <f t="shared" si="403"/>
        <v>0</v>
      </c>
      <c r="HP142" s="2">
        <v>47</v>
      </c>
      <c r="HQ142" s="57">
        <f t="shared" si="248"/>
        <v>0</v>
      </c>
      <c r="HR142" s="62">
        <f t="shared" si="406"/>
        <v>0</v>
      </c>
      <c r="HS142" s="2">
        <v>46</v>
      </c>
      <c r="HT142" s="57">
        <f t="shared" si="257"/>
        <v>0</v>
      </c>
      <c r="HU142" s="62">
        <f t="shared" si="409"/>
        <v>0</v>
      </c>
      <c r="HV142" s="2">
        <v>45</v>
      </c>
      <c r="HW142" s="57">
        <f t="shared" si="258"/>
        <v>0</v>
      </c>
      <c r="HX142" s="62">
        <f t="shared" si="413"/>
        <v>0</v>
      </c>
      <c r="HY142" s="2">
        <v>44</v>
      </c>
      <c r="HZ142" s="57">
        <f t="shared" si="268"/>
        <v>0</v>
      </c>
      <c r="IA142" s="62">
        <f t="shared" si="417"/>
        <v>0</v>
      </c>
      <c r="IB142" s="2">
        <v>43</v>
      </c>
      <c r="IC142" s="57">
        <f t="shared" si="274"/>
        <v>0</v>
      </c>
      <c r="ID142" s="62">
        <f t="shared" si="421"/>
        <v>0</v>
      </c>
      <c r="IE142" s="2">
        <v>42</v>
      </c>
      <c r="IF142" s="57">
        <f t="shared" si="280"/>
        <v>0</v>
      </c>
      <c r="IG142" s="62">
        <f t="shared" si="425"/>
        <v>0</v>
      </c>
      <c r="IH142" s="2">
        <v>41</v>
      </c>
      <c r="II142" s="57">
        <f t="shared" si="281"/>
        <v>0</v>
      </c>
      <c r="IJ142" s="62">
        <f t="shared" si="429"/>
        <v>0</v>
      </c>
      <c r="IK142" s="2">
        <v>40</v>
      </c>
      <c r="IL142" s="57">
        <f t="shared" si="292"/>
        <v>0</v>
      </c>
      <c r="IM142" s="62">
        <f t="shared" si="434"/>
        <v>0</v>
      </c>
      <c r="IN142" s="2">
        <v>39</v>
      </c>
      <c r="IO142" s="57">
        <f t="shared" si="293"/>
        <v>0</v>
      </c>
      <c r="IP142" s="62">
        <f t="shared" si="438"/>
        <v>0</v>
      </c>
    </row>
    <row r="143" spans="7:250">
      <c r="G143" s="284"/>
      <c r="H143" s="284"/>
      <c r="I143" s="2">
        <f t="shared" si="369"/>
        <v>2138</v>
      </c>
      <c r="J143" s="379">
        <f t="shared" si="264"/>
        <v>964209.90506681125</v>
      </c>
      <c r="K143" s="2">
        <f t="shared" si="370"/>
        <v>119</v>
      </c>
      <c r="L143" s="57">
        <f t="shared" si="200"/>
        <v>189082</v>
      </c>
      <c r="M143" s="62">
        <f t="shared" si="357"/>
        <v>6363.2620298082857</v>
      </c>
      <c r="N143" s="2">
        <f t="shared" si="371"/>
        <v>118</v>
      </c>
      <c r="O143" s="57">
        <f t="shared" si="207"/>
        <v>293489</v>
      </c>
      <c r="P143" s="62">
        <f t="shared" si="360"/>
        <v>10280.002673464638</v>
      </c>
      <c r="Q143" s="2">
        <f t="shared" si="372"/>
        <v>117</v>
      </c>
      <c r="R143" s="57">
        <f t="shared" si="213"/>
        <v>283523</v>
      </c>
      <c r="S143" s="62">
        <f t="shared" si="363"/>
        <v>10336.213562733472</v>
      </c>
      <c r="T143" s="2">
        <f t="shared" si="373"/>
        <v>116</v>
      </c>
      <c r="U143" s="57">
        <f t="shared" si="220"/>
        <v>143321</v>
      </c>
      <c r="V143" s="62">
        <f t="shared" si="366"/>
        <v>5438.1951397496177</v>
      </c>
      <c r="W143" s="2">
        <f t="shared" si="374"/>
        <v>115</v>
      </c>
      <c r="X143" s="57">
        <f t="shared" si="225"/>
        <v>227851</v>
      </c>
      <c r="Y143" s="62">
        <f t="shared" si="375"/>
        <v>8998.4493386287195</v>
      </c>
      <c r="Z143" s="2">
        <f t="shared" si="376"/>
        <v>114</v>
      </c>
      <c r="AA143" s="57">
        <f t="shared" si="232"/>
        <v>238727</v>
      </c>
      <c r="AB143" s="62">
        <f t="shared" si="398"/>
        <v>9812.7346860568359</v>
      </c>
      <c r="AC143" s="2">
        <f t="shared" si="377"/>
        <v>113</v>
      </c>
      <c r="AD143" s="57">
        <f t="shared" si="237"/>
        <v>250122</v>
      </c>
      <c r="AE143" s="62">
        <f t="shared" si="401"/>
        <v>10700.699991132404</v>
      </c>
      <c r="AF143" s="2">
        <f t="shared" si="378"/>
        <v>112</v>
      </c>
      <c r="AG143" s="57">
        <f t="shared" si="243"/>
        <v>262060</v>
      </c>
      <c r="AH143" s="62">
        <f t="shared" si="404"/>
        <v>11668.977742379047</v>
      </c>
      <c r="AI143" s="2">
        <f t="shared" si="379"/>
        <v>111</v>
      </c>
      <c r="AJ143" s="57">
        <f t="shared" si="250"/>
        <v>274569</v>
      </c>
      <c r="AK143" s="62">
        <f t="shared" si="407"/>
        <v>12724.928654651876</v>
      </c>
      <c r="AL143" s="2">
        <f t="shared" si="380"/>
        <v>110</v>
      </c>
      <c r="AM143" s="57">
        <f t="shared" si="254"/>
        <v>287675</v>
      </c>
      <c r="AN143" s="62">
        <f t="shared" si="410"/>
        <v>13876.430188104816</v>
      </c>
      <c r="AO143" s="2">
        <f t="shared" si="381"/>
        <v>109</v>
      </c>
      <c r="AP143" s="57">
        <f t="shared" si="260"/>
        <v>301406</v>
      </c>
      <c r="AQ143" s="62">
        <f t="shared" si="414"/>
        <v>15132.103602421605</v>
      </c>
      <c r="AR143" s="2">
        <f t="shared" si="382"/>
        <v>108</v>
      </c>
      <c r="AS143" s="57">
        <f t="shared" si="265"/>
        <v>315793</v>
      </c>
      <c r="AT143" s="62">
        <f t="shared" si="418"/>
        <v>16501.43415937278</v>
      </c>
      <c r="AU143" s="2">
        <f t="shared" si="383"/>
        <v>107</v>
      </c>
      <c r="AV143" s="57">
        <f t="shared" si="271"/>
        <v>330866</v>
      </c>
      <c r="AW143" s="62">
        <f t="shared" si="422"/>
        <v>17994.637913165257</v>
      </c>
      <c r="AX143" s="2">
        <f t="shared" si="384"/>
        <v>106</v>
      </c>
      <c r="AY143" s="57">
        <f t="shared" si="277"/>
        <v>346659</v>
      </c>
      <c r="AZ143" s="62">
        <f t="shared" si="426"/>
        <v>19622.992159083889</v>
      </c>
      <c r="BA143" s="2">
        <f t="shared" si="385"/>
        <v>105</v>
      </c>
      <c r="BB143" s="57">
        <f t="shared" si="284"/>
        <v>363206</v>
      </c>
      <c r="BC143" s="62">
        <f t="shared" si="430"/>
        <v>21398.70757784912</v>
      </c>
      <c r="BD143" s="2">
        <f t="shared" si="386"/>
        <v>104</v>
      </c>
      <c r="BE143" s="57">
        <f t="shared" si="289"/>
        <v>380542</v>
      </c>
      <c r="BF143" s="62">
        <f t="shared" si="435"/>
        <v>23335.059110361493</v>
      </c>
      <c r="BG143" s="2">
        <f t="shared" si="387"/>
        <v>103</v>
      </c>
      <c r="BH143" s="57">
        <f t="shared" si="296"/>
        <v>398706</v>
      </c>
      <c r="BI143" s="62">
        <f t="shared" si="439"/>
        <v>25446.664243257779</v>
      </c>
      <c r="BJ143" s="2">
        <f t="shared" si="388"/>
        <v>102</v>
      </c>
      <c r="BK143" s="57">
        <f t="shared" si="300"/>
        <v>417737</v>
      </c>
      <c r="BL143" s="62">
        <f t="shared" si="441"/>
        <v>27749.349767942032</v>
      </c>
      <c r="BM143" s="2">
        <f t="shared" si="389"/>
        <v>101</v>
      </c>
      <c r="BN143" s="57">
        <f t="shared" si="304"/>
        <v>437677</v>
      </c>
      <c r="BO143" s="62">
        <f t="shared" si="445"/>
        <v>30260.449282033846</v>
      </c>
      <c r="BP143" s="2">
        <f t="shared" si="390"/>
        <v>100</v>
      </c>
      <c r="BQ143" s="57">
        <f t="shared" si="308"/>
        <v>458568</v>
      </c>
      <c r="BR143" s="62">
        <f t="shared" si="447"/>
        <v>32998.725867205081</v>
      </c>
      <c r="BS143" s="2">
        <f t="shared" si="391"/>
        <v>99</v>
      </c>
      <c r="BT143" s="57">
        <f t="shared" si="312"/>
        <v>480456</v>
      </c>
      <c r="BU143" s="62">
        <f t="shared" si="452"/>
        <v>35984.777908781558</v>
      </c>
      <c r="BV143" s="2">
        <f t="shared" si="392"/>
        <v>98</v>
      </c>
      <c r="BW143" s="57">
        <f t="shared" si="316"/>
        <v>503389</v>
      </c>
      <c r="BX143" s="62">
        <f t="shared" si="455"/>
        <v>39241.057790692234</v>
      </c>
      <c r="BY143" s="2">
        <f t="shared" si="393"/>
        <v>97</v>
      </c>
      <c r="BZ143" s="57">
        <f t="shared" si="320"/>
        <v>527417</v>
      </c>
      <c r="CA143" s="62">
        <f t="shared" si="459"/>
        <v>42792.02986885405</v>
      </c>
      <c r="CB143" s="2">
        <f t="shared" si="394"/>
        <v>96</v>
      </c>
      <c r="CC143" s="57">
        <f t="shared" si="324"/>
        <v>552592</v>
      </c>
      <c r="CD143" s="62">
        <f t="shared" ref="CD143:CD163" si="463">SUM($G$10*$G$11*CC143*(EXP(-($G$10*CB143))),$G$10*$G$11*CC143*(EXP(-($G$10*(CB143+0.1)))),$G$10*$G$11*CC143*(EXP(-($G$10*(CB143+0.2)))),$G$10*$G$11*CC143*(EXP(-($G$10*(CB143+0.3)))),$G$10*$G$11*CC143*(EXP(-($G$10*(CB143+0.4)))),$G$10*$G$11*CC143*(EXP(-($G$10*(CB143+0.5)))),$G$10*$G$11*CC143*(EXP(-($G$10*(CB143+0.6)))),$G$10*$G$11*CC143*(EXP(-($G$10*(CB143+0.7)))),$G$10*$G$11*CC143*(EXP(-($G$10*(CB143+0.8)))),$G$10*$G$11*CC143*(EXP(-($G$10*(CB143+0.9)))))/10</f>
        <v>46664.340935268789</v>
      </c>
      <c r="CE143" s="2">
        <f t="shared" si="395"/>
        <v>95</v>
      </c>
      <c r="CF143" s="57">
        <f t="shared" si="328"/>
        <v>578968</v>
      </c>
      <c r="CG143" s="62">
        <f t="shared" si="329"/>
        <v>50887.004090740324</v>
      </c>
      <c r="CH143" s="2">
        <v>94</v>
      </c>
      <c r="CI143" s="57">
        <f t="shared" si="332"/>
        <v>606603</v>
      </c>
      <c r="CJ143" s="62">
        <f t="shared" si="333"/>
        <v>55491.7799665157</v>
      </c>
      <c r="CK143" s="2">
        <v>93</v>
      </c>
      <c r="CL143" s="57">
        <f t="shared" si="336"/>
        <v>635558</v>
      </c>
      <c r="CM143" s="62">
        <f t="shared" si="337"/>
        <v>60513.332545741156</v>
      </c>
      <c r="CN143" s="2">
        <v>92</v>
      </c>
      <c r="CO143" s="57">
        <f t="shared" si="340"/>
        <v>665894</v>
      </c>
      <c r="CP143" s="62">
        <f t="shared" si="341"/>
        <v>65989.184602892303</v>
      </c>
      <c r="CQ143" s="2">
        <v>91</v>
      </c>
      <c r="CR143" s="57">
        <f t="shared" si="344"/>
        <v>697679</v>
      </c>
      <c r="CS143" s="62">
        <f t="shared" si="345"/>
        <v>71960.652158057812</v>
      </c>
      <c r="CT143" s="2">
        <v>90</v>
      </c>
      <c r="CU143" s="57">
        <f t="shared" si="348"/>
        <v>730980</v>
      </c>
      <c r="CV143" s="62">
        <f t="shared" si="349"/>
        <v>78472.359917633978</v>
      </c>
      <c r="CW143" s="2">
        <v>89</v>
      </c>
      <c r="CX143" s="57">
        <f t="shared" si="352"/>
        <v>765871</v>
      </c>
      <c r="CY143" s="62">
        <f t="shared" si="353"/>
        <v>85573.367592230934</v>
      </c>
      <c r="CZ143" s="2">
        <v>88</v>
      </c>
      <c r="DA143" s="57">
        <f t="shared" si="196"/>
        <v>0</v>
      </c>
      <c r="DB143" s="62">
        <f t="shared" si="355"/>
        <v>0</v>
      </c>
      <c r="DC143" s="2">
        <v>87</v>
      </c>
      <c r="DD143" s="57">
        <f t="shared" si="202"/>
        <v>0</v>
      </c>
      <c r="DE143" s="62">
        <f t="shared" si="358"/>
        <v>0</v>
      </c>
      <c r="DF143" s="2">
        <v>86</v>
      </c>
      <c r="DG143" s="57">
        <f t="shared" si="209"/>
        <v>0</v>
      </c>
      <c r="DH143" s="62">
        <f t="shared" si="361"/>
        <v>0</v>
      </c>
      <c r="DI143" s="2">
        <v>85</v>
      </c>
      <c r="DJ143" s="57">
        <f t="shared" si="215"/>
        <v>0</v>
      </c>
      <c r="DK143" s="62">
        <f t="shared" si="364"/>
        <v>0</v>
      </c>
      <c r="DL143" s="2">
        <v>84</v>
      </c>
      <c r="DM143" s="57">
        <f t="shared" si="222"/>
        <v>0</v>
      </c>
      <c r="DN143" s="62">
        <f t="shared" si="367"/>
        <v>0</v>
      </c>
      <c r="DO143" s="2">
        <v>83</v>
      </c>
      <c r="DP143" s="57">
        <f t="shared" si="227"/>
        <v>0</v>
      </c>
      <c r="DQ143" s="62">
        <f t="shared" si="396"/>
        <v>0</v>
      </c>
      <c r="DR143" s="2">
        <v>82</v>
      </c>
      <c r="DS143" s="57">
        <f t="shared" si="234"/>
        <v>0</v>
      </c>
      <c r="DT143" s="62">
        <f t="shared" si="399"/>
        <v>0</v>
      </c>
      <c r="DU143" s="2">
        <v>81</v>
      </c>
      <c r="DV143" s="57">
        <f t="shared" si="239"/>
        <v>0</v>
      </c>
      <c r="DW143" s="62">
        <f t="shared" si="402"/>
        <v>0</v>
      </c>
      <c r="DX143" s="2">
        <v>80</v>
      </c>
      <c r="DY143" s="57">
        <f t="shared" si="245"/>
        <v>0</v>
      </c>
      <c r="DZ143" s="62">
        <f t="shared" si="405"/>
        <v>0</v>
      </c>
      <c r="EA143" s="2">
        <f t="shared" si="448"/>
        <v>79</v>
      </c>
      <c r="EB143" s="57">
        <f t="shared" si="411"/>
        <v>0</v>
      </c>
      <c r="EC143" s="62">
        <f t="shared" si="408"/>
        <v>0</v>
      </c>
      <c r="ED143" s="2">
        <f t="shared" si="453"/>
        <v>78</v>
      </c>
      <c r="EE143" s="57">
        <f t="shared" si="415"/>
        <v>0</v>
      </c>
      <c r="EF143" s="62">
        <f t="shared" si="412"/>
        <v>0</v>
      </c>
      <c r="EG143" s="2">
        <f t="shared" si="456"/>
        <v>77</v>
      </c>
      <c r="EH143" s="57">
        <f t="shared" si="419"/>
        <v>0</v>
      </c>
      <c r="EI143" s="62">
        <f t="shared" si="416"/>
        <v>0</v>
      </c>
      <c r="EJ143" s="2">
        <f t="shared" si="460"/>
        <v>76</v>
      </c>
      <c r="EK143" s="57">
        <f t="shared" si="423"/>
        <v>0</v>
      </c>
      <c r="EL143" s="62">
        <f t="shared" si="420"/>
        <v>0</v>
      </c>
      <c r="EM143" s="2">
        <f t="shared" ref="EM143:EM163" si="464">IF(EM142="","",(EM142+1))</f>
        <v>75</v>
      </c>
      <c r="EN143" s="57">
        <f t="shared" si="427"/>
        <v>0</v>
      </c>
      <c r="EO143" s="62">
        <f t="shared" si="424"/>
        <v>0</v>
      </c>
      <c r="EP143" s="2">
        <v>74</v>
      </c>
      <c r="EQ143" s="57">
        <f t="shared" si="431"/>
        <v>0</v>
      </c>
      <c r="ER143" s="62">
        <f t="shared" si="428"/>
        <v>0</v>
      </c>
      <c r="ES143" s="2">
        <v>73</v>
      </c>
      <c r="ET143" s="57">
        <f t="shared" si="432"/>
        <v>0</v>
      </c>
      <c r="EU143" s="62">
        <f t="shared" si="433"/>
        <v>0</v>
      </c>
      <c r="EV143" s="2">
        <v>72</v>
      </c>
      <c r="EW143" s="57">
        <f t="shared" si="436"/>
        <v>0</v>
      </c>
      <c r="EX143" s="62">
        <f t="shared" si="437"/>
        <v>0</v>
      </c>
      <c r="EY143" s="2">
        <v>71</v>
      </c>
      <c r="EZ143" s="57">
        <f t="shared" si="442"/>
        <v>0</v>
      </c>
      <c r="FA143" s="62">
        <f t="shared" si="440"/>
        <v>0</v>
      </c>
      <c r="FB143" s="2">
        <v>70</v>
      </c>
      <c r="FC143" s="57">
        <f t="shared" si="443"/>
        <v>0</v>
      </c>
      <c r="FD143" s="62">
        <f t="shared" si="444"/>
        <v>0</v>
      </c>
      <c r="FE143" s="2">
        <v>69</v>
      </c>
      <c r="FF143" s="57">
        <f t="shared" si="449"/>
        <v>0</v>
      </c>
      <c r="FG143" s="62">
        <f t="shared" si="446"/>
        <v>0</v>
      </c>
      <c r="FH143" s="2">
        <v>68</v>
      </c>
      <c r="FI143" s="57">
        <f t="shared" si="450"/>
        <v>0</v>
      </c>
      <c r="FJ143" s="62">
        <f t="shared" si="451"/>
        <v>0</v>
      </c>
      <c r="FK143" s="2">
        <v>67</v>
      </c>
      <c r="FL143" s="57">
        <f t="shared" si="457"/>
        <v>0</v>
      </c>
      <c r="FM143" s="62">
        <f t="shared" si="454"/>
        <v>0</v>
      </c>
      <c r="FN143" s="2">
        <v>66</v>
      </c>
      <c r="FO143" s="57">
        <f t="shared" si="461"/>
        <v>0</v>
      </c>
      <c r="FP143" s="62">
        <f t="shared" si="458"/>
        <v>0</v>
      </c>
      <c r="FQ143" s="2">
        <v>65</v>
      </c>
      <c r="FR143" s="57">
        <f t="shared" ref="FR143:FR163" si="465">$E$77</f>
        <v>0</v>
      </c>
      <c r="FS143" s="62">
        <f t="shared" si="462"/>
        <v>0</v>
      </c>
      <c r="FT143" s="2">
        <v>64</v>
      </c>
      <c r="FU143" s="57">
        <f t="shared" ref="FU143:FU162" si="466">$E$78</f>
        <v>0</v>
      </c>
      <c r="FV143" s="62">
        <f t="shared" ref="FV143:FV163" si="467">SUM($G$10*$G$11*FU143*(EXP(-($G$10*FT143))),$G$10*$G$11*FU143*(EXP(-($G$10*(FT143+0.1)))),$G$10*$G$11*FU143*(EXP(-($G$10*(FT143+0.2)))),$G$10*$G$11*FU143*(EXP(-($G$10*(FT143+0.3)))),$G$10*$G$11*FU143*(EXP(-($G$10*(FT143+0.4)))),$G$10*$G$11*FU143*(EXP(-($G$10*(FT143+0.5)))),$G$10*$G$11*FU143*(EXP(-($G$10*(FT143+0.6)))),$G$10*$G$11*FU143*(EXP(-($G$10*(FT143+0.7)))),$G$10*$G$11*FU143*(EXP(-($G$10*(FT143+0.8)))),$G$10*$G$11*FU143*(EXP(-($G$10*(FT143+0.9)))))/10</f>
        <v>0</v>
      </c>
      <c r="FW143" s="2">
        <v>63</v>
      </c>
      <c r="FX143" s="57">
        <f t="shared" si="170"/>
        <v>0</v>
      </c>
      <c r="FY143" s="62">
        <f t="shared" si="330"/>
        <v>0</v>
      </c>
      <c r="FZ143" s="2">
        <v>62</v>
      </c>
      <c r="GA143" s="57">
        <f t="shared" si="177"/>
        <v>0</v>
      </c>
      <c r="GB143" s="62">
        <f t="shared" si="334"/>
        <v>0</v>
      </c>
      <c r="GC143" s="2">
        <v>61</v>
      </c>
      <c r="GD143" s="57">
        <f t="shared" si="178"/>
        <v>0</v>
      </c>
      <c r="GE143" s="62">
        <f t="shared" si="338"/>
        <v>0</v>
      </c>
      <c r="GF143" s="2">
        <v>60</v>
      </c>
      <c r="GG143" s="57">
        <f t="shared" si="185"/>
        <v>0</v>
      </c>
      <c r="GH143" s="62">
        <f t="shared" si="342"/>
        <v>0</v>
      </c>
      <c r="GI143" s="2">
        <v>59</v>
      </c>
      <c r="GJ143" s="57">
        <f t="shared" si="186"/>
        <v>0</v>
      </c>
      <c r="GK143" s="62">
        <f t="shared" si="346"/>
        <v>0</v>
      </c>
      <c r="GL143" s="2">
        <v>58</v>
      </c>
      <c r="GM143" s="57">
        <f t="shared" si="193"/>
        <v>0</v>
      </c>
      <c r="GN143" s="62">
        <f t="shared" si="350"/>
        <v>0</v>
      </c>
      <c r="GO143" s="2">
        <v>57</v>
      </c>
      <c r="GP143" s="57">
        <f t="shared" si="194"/>
        <v>0</v>
      </c>
      <c r="GQ143" s="62">
        <f t="shared" si="354"/>
        <v>0</v>
      </c>
      <c r="GR143" s="2">
        <v>56</v>
      </c>
      <c r="GS143" s="57">
        <f t="shared" si="204"/>
        <v>0</v>
      </c>
      <c r="GT143" s="62">
        <f t="shared" si="356"/>
        <v>0</v>
      </c>
      <c r="GU143" s="2">
        <v>55</v>
      </c>
      <c r="GV143" s="57">
        <f t="shared" si="205"/>
        <v>0</v>
      </c>
      <c r="GW143" s="62">
        <f t="shared" si="359"/>
        <v>0</v>
      </c>
      <c r="GX143" s="2">
        <v>54</v>
      </c>
      <c r="GY143" s="57">
        <f t="shared" si="217"/>
        <v>0</v>
      </c>
      <c r="GZ143" s="62">
        <f t="shared" si="362"/>
        <v>0</v>
      </c>
      <c r="HA143" s="2">
        <v>53</v>
      </c>
      <c r="HB143" s="57">
        <f t="shared" si="218"/>
        <v>0</v>
      </c>
      <c r="HC143" s="62">
        <f t="shared" si="365"/>
        <v>0</v>
      </c>
      <c r="HD143" s="2">
        <v>52</v>
      </c>
      <c r="HE143" s="57">
        <f t="shared" si="229"/>
        <v>0</v>
      </c>
      <c r="HF143" s="62">
        <f t="shared" si="368"/>
        <v>0</v>
      </c>
      <c r="HG143" s="2">
        <v>51</v>
      </c>
      <c r="HH143" s="57">
        <f t="shared" si="230"/>
        <v>0</v>
      </c>
      <c r="HI143" s="62">
        <f t="shared" si="397"/>
        <v>0</v>
      </c>
      <c r="HJ143" s="2">
        <v>50</v>
      </c>
      <c r="HK143" s="57">
        <f t="shared" si="241"/>
        <v>0</v>
      </c>
      <c r="HL143" s="62">
        <f t="shared" si="400"/>
        <v>0</v>
      </c>
      <c r="HM143" s="2">
        <v>49</v>
      </c>
      <c r="HN143" s="57">
        <f t="shared" si="247"/>
        <v>0</v>
      </c>
      <c r="HO143" s="62">
        <f t="shared" si="403"/>
        <v>0</v>
      </c>
      <c r="HP143" s="2">
        <v>48</v>
      </c>
      <c r="HQ143" s="57">
        <f t="shared" si="248"/>
        <v>0</v>
      </c>
      <c r="HR143" s="62">
        <f t="shared" si="406"/>
        <v>0</v>
      </c>
      <c r="HS143" s="2">
        <v>47</v>
      </c>
      <c r="HT143" s="57">
        <f t="shared" si="257"/>
        <v>0</v>
      </c>
      <c r="HU143" s="62">
        <f t="shared" si="409"/>
        <v>0</v>
      </c>
      <c r="HV143" s="2">
        <v>46</v>
      </c>
      <c r="HW143" s="57">
        <f t="shared" si="258"/>
        <v>0</v>
      </c>
      <c r="HX143" s="62">
        <f t="shared" si="413"/>
        <v>0</v>
      </c>
      <c r="HY143" s="2">
        <v>45</v>
      </c>
      <c r="HZ143" s="57">
        <f t="shared" si="268"/>
        <v>0</v>
      </c>
      <c r="IA143" s="62">
        <f t="shared" si="417"/>
        <v>0</v>
      </c>
      <c r="IB143" s="2">
        <v>44</v>
      </c>
      <c r="IC143" s="57">
        <f t="shared" si="274"/>
        <v>0</v>
      </c>
      <c r="ID143" s="62">
        <f t="shared" si="421"/>
        <v>0</v>
      </c>
      <c r="IE143" s="2">
        <v>43</v>
      </c>
      <c r="IF143" s="57">
        <f t="shared" si="280"/>
        <v>0</v>
      </c>
      <c r="IG143" s="62">
        <f t="shared" si="425"/>
        <v>0</v>
      </c>
      <c r="IH143" s="2">
        <v>42</v>
      </c>
      <c r="II143" s="57">
        <f t="shared" si="281"/>
        <v>0</v>
      </c>
      <c r="IJ143" s="62">
        <f t="shared" si="429"/>
        <v>0</v>
      </c>
      <c r="IK143" s="2">
        <v>41</v>
      </c>
      <c r="IL143" s="57">
        <f t="shared" si="292"/>
        <v>0</v>
      </c>
      <c r="IM143" s="62">
        <f t="shared" si="434"/>
        <v>0</v>
      </c>
      <c r="IN143" s="2">
        <v>40</v>
      </c>
      <c r="IO143" s="57">
        <f t="shared" si="293"/>
        <v>0</v>
      </c>
      <c r="IP143" s="62">
        <f t="shared" si="438"/>
        <v>0</v>
      </c>
    </row>
    <row r="144" spans="7:250">
      <c r="G144" s="284"/>
      <c r="H144" s="284"/>
      <c r="I144" s="2">
        <f t="shared" si="369"/>
        <v>2139</v>
      </c>
      <c r="J144" s="379">
        <f t="shared" si="264"/>
        <v>926402.69391425676</v>
      </c>
      <c r="K144" s="2">
        <f t="shared" si="370"/>
        <v>120</v>
      </c>
      <c r="L144" s="57">
        <f t="shared" si="200"/>
        <v>189082</v>
      </c>
      <c r="M144" s="62">
        <f t="shared" si="357"/>
        <v>6113.7549567987753</v>
      </c>
      <c r="N144" s="2">
        <f t="shared" si="371"/>
        <v>119</v>
      </c>
      <c r="O144" s="57">
        <f t="shared" si="207"/>
        <v>293489</v>
      </c>
      <c r="P144" s="62">
        <f t="shared" si="360"/>
        <v>9876.9180031224751</v>
      </c>
      <c r="Q144" s="2">
        <f t="shared" si="372"/>
        <v>118</v>
      </c>
      <c r="R144" s="57">
        <f t="shared" si="213"/>
        <v>283523</v>
      </c>
      <c r="S144" s="62">
        <f t="shared" si="363"/>
        <v>9930.9248318973296</v>
      </c>
      <c r="T144" s="2">
        <f t="shared" si="373"/>
        <v>117</v>
      </c>
      <c r="U144" s="57">
        <f t="shared" si="220"/>
        <v>143321</v>
      </c>
      <c r="V144" s="62">
        <f t="shared" si="366"/>
        <v>5224.9604583209266</v>
      </c>
      <c r="W144" s="2">
        <f t="shared" si="374"/>
        <v>116</v>
      </c>
      <c r="X144" s="57">
        <f t="shared" si="225"/>
        <v>227851</v>
      </c>
      <c r="Y144" s="62">
        <f t="shared" si="375"/>
        <v>8645.6150933016816</v>
      </c>
      <c r="Z144" s="2">
        <f t="shared" si="376"/>
        <v>115</v>
      </c>
      <c r="AA144" s="57">
        <f t="shared" si="232"/>
        <v>238727</v>
      </c>
      <c r="AB144" s="62">
        <f t="shared" si="398"/>
        <v>9427.9718555670952</v>
      </c>
      <c r="AC144" s="2">
        <f t="shared" si="377"/>
        <v>114</v>
      </c>
      <c r="AD144" s="57">
        <f t="shared" si="237"/>
        <v>250122</v>
      </c>
      <c r="AE144" s="62">
        <f t="shared" si="401"/>
        <v>10281.119543017372</v>
      </c>
      <c r="AF144" s="2">
        <f t="shared" si="378"/>
        <v>113</v>
      </c>
      <c r="AG144" s="57">
        <f t="shared" si="243"/>
        <v>262060</v>
      </c>
      <c r="AH144" s="62">
        <f t="shared" si="404"/>
        <v>11211.430580581309</v>
      </c>
      <c r="AI144" s="2">
        <f t="shared" si="379"/>
        <v>112</v>
      </c>
      <c r="AJ144" s="57">
        <f t="shared" si="250"/>
        <v>274569</v>
      </c>
      <c r="AK144" s="62">
        <f t="shared" si="407"/>
        <v>12225.977065356303</v>
      </c>
      <c r="AL144" s="2">
        <f t="shared" si="380"/>
        <v>111</v>
      </c>
      <c r="AM144" s="57">
        <f t="shared" si="254"/>
        <v>287675</v>
      </c>
      <c r="AN144" s="62">
        <f t="shared" si="410"/>
        <v>13332.327577865592</v>
      </c>
      <c r="AO144" s="2">
        <f t="shared" si="381"/>
        <v>110</v>
      </c>
      <c r="AP144" s="57">
        <f t="shared" si="260"/>
        <v>301406</v>
      </c>
      <c r="AQ144" s="62">
        <f t="shared" si="414"/>
        <v>14538.765333365498</v>
      </c>
      <c r="AR144" s="2">
        <f t="shared" si="382"/>
        <v>109</v>
      </c>
      <c r="AS144" s="57">
        <f t="shared" si="265"/>
        <v>315793</v>
      </c>
      <c r="AT144" s="62">
        <f t="shared" si="418"/>
        <v>15854.403671192762</v>
      </c>
      <c r="AU144" s="2">
        <f t="shared" si="383"/>
        <v>108</v>
      </c>
      <c r="AV144" s="57">
        <f t="shared" si="271"/>
        <v>330866</v>
      </c>
      <c r="AW144" s="62">
        <f t="shared" si="422"/>
        <v>17289.058068339178</v>
      </c>
      <c r="AX144" s="2">
        <f t="shared" si="384"/>
        <v>107</v>
      </c>
      <c r="AY144" s="57">
        <f t="shared" si="277"/>
        <v>346659</v>
      </c>
      <c r="AZ144" s="62">
        <f t="shared" si="426"/>
        <v>18853.563631016645</v>
      </c>
      <c r="BA144" s="2">
        <f t="shared" si="385"/>
        <v>106</v>
      </c>
      <c r="BB144" s="57">
        <f t="shared" si="284"/>
        <v>363206</v>
      </c>
      <c r="BC144" s="62">
        <f t="shared" si="430"/>
        <v>20559.652252306223</v>
      </c>
      <c r="BD144" s="2">
        <f t="shared" si="386"/>
        <v>105</v>
      </c>
      <c r="BE144" s="57">
        <f t="shared" si="289"/>
        <v>380542</v>
      </c>
      <c r="BF144" s="62">
        <f t="shared" si="435"/>
        <v>22420.078355230533</v>
      </c>
      <c r="BG144" s="2">
        <f t="shared" si="387"/>
        <v>104</v>
      </c>
      <c r="BH144" s="57">
        <f t="shared" si="296"/>
        <v>398706</v>
      </c>
      <c r="BI144" s="62">
        <f t="shared" si="439"/>
        <v>24448.886266577119</v>
      </c>
      <c r="BJ144" s="2">
        <f t="shared" si="388"/>
        <v>103</v>
      </c>
      <c r="BK144" s="57">
        <f t="shared" si="300"/>
        <v>417737</v>
      </c>
      <c r="BL144" s="62">
        <f t="shared" si="441"/>
        <v>26661.282200382673</v>
      </c>
      <c r="BM144" s="2">
        <f t="shared" si="389"/>
        <v>102</v>
      </c>
      <c r="BN144" s="57">
        <f t="shared" si="304"/>
        <v>437677</v>
      </c>
      <c r="BO144" s="62">
        <f t="shared" si="445"/>
        <v>29073.920094182628</v>
      </c>
      <c r="BP144" s="2">
        <f t="shared" si="390"/>
        <v>101</v>
      </c>
      <c r="BQ144" s="57">
        <f t="shared" si="308"/>
        <v>458568</v>
      </c>
      <c r="BR144" s="62">
        <f t="shared" si="447"/>
        <v>31704.827318693231</v>
      </c>
      <c r="BS144" s="2">
        <f t="shared" si="391"/>
        <v>100</v>
      </c>
      <c r="BT144" s="57">
        <f t="shared" si="312"/>
        <v>480456</v>
      </c>
      <c r="BU144" s="62">
        <f t="shared" si="452"/>
        <v>34573.79458499913</v>
      </c>
      <c r="BV144" s="2">
        <f t="shared" si="392"/>
        <v>99</v>
      </c>
      <c r="BW144" s="57">
        <f t="shared" si="316"/>
        <v>503389</v>
      </c>
      <c r="BX144" s="62">
        <f t="shared" si="455"/>
        <v>37702.393906463098</v>
      </c>
      <c r="BY144" s="2">
        <f t="shared" si="393"/>
        <v>98</v>
      </c>
      <c r="BZ144" s="57">
        <f t="shared" si="320"/>
        <v>527417</v>
      </c>
      <c r="CA144" s="62">
        <f t="shared" si="459"/>
        <v>41114.130377885747</v>
      </c>
      <c r="CB144" s="2">
        <f t="shared" si="394"/>
        <v>97</v>
      </c>
      <c r="CC144" s="57">
        <f t="shared" si="324"/>
        <v>552592</v>
      </c>
      <c r="CD144" s="62">
        <f t="shared" si="463"/>
        <v>44834.605955609688</v>
      </c>
      <c r="CE144" s="2">
        <f t="shared" si="395"/>
        <v>96</v>
      </c>
      <c r="CF144" s="57">
        <f t="shared" si="328"/>
        <v>578968</v>
      </c>
      <c r="CG144" s="62">
        <f t="shared" ref="CG144:CG163" si="468">SUM($G$10*$G$11*CF144*(EXP(-($G$10*CE144))),$G$10*$G$11*CF144*(EXP(-($G$10*(CE144+0.1)))),$G$10*$G$11*CF144*(EXP(-($G$10*(CE144+0.2)))),$G$10*$G$11*CF144*(EXP(-($G$10*(CE144+0.3)))),$G$10*$G$11*CF144*(EXP(-($G$10*(CE144+0.4)))),$G$10*$G$11*CF144*(EXP(-($G$10*(CE144+0.5)))),$G$10*$G$11*CF144*(EXP(-($G$10*(CE144+0.6)))),$G$10*$G$11*CF144*(EXP(-($G$10*(CE144+0.7)))),$G$10*$G$11*CF144*(EXP(-($G$10*(CE144+0.8)))),$G$10*$G$11*CF144*(EXP(-($G$10*(CE144+0.9)))))/10</f>
        <v>48891.696120484368</v>
      </c>
      <c r="CH144" s="2">
        <v>95</v>
      </c>
      <c r="CI144" s="57">
        <f t="shared" si="332"/>
        <v>606603</v>
      </c>
      <c r="CJ144" s="62">
        <f t="shared" si="333"/>
        <v>53315.916151592755</v>
      </c>
      <c r="CK144" s="2">
        <v>94</v>
      </c>
      <c r="CL144" s="57">
        <f t="shared" si="336"/>
        <v>635558</v>
      </c>
      <c r="CM144" s="62">
        <f t="shared" si="337"/>
        <v>58140.570837860672</v>
      </c>
      <c r="CN144" s="2">
        <v>93</v>
      </c>
      <c r="CO144" s="57">
        <f t="shared" si="340"/>
        <v>665894</v>
      </c>
      <c r="CP144" s="62">
        <f t="shared" si="341"/>
        <v>63401.711664732022</v>
      </c>
      <c r="CQ144" s="2">
        <v>92</v>
      </c>
      <c r="CR144" s="57">
        <f t="shared" si="344"/>
        <v>697679</v>
      </c>
      <c r="CS144" s="62">
        <f t="shared" si="345"/>
        <v>69139.03462797578</v>
      </c>
      <c r="CT144" s="2">
        <v>91</v>
      </c>
      <c r="CU144" s="57">
        <f t="shared" si="348"/>
        <v>730980</v>
      </c>
      <c r="CV144" s="62">
        <f t="shared" si="349"/>
        <v>75395.414674222789</v>
      </c>
      <c r="CW144" s="2">
        <v>90</v>
      </c>
      <c r="CX144" s="57">
        <f t="shared" si="352"/>
        <v>765871</v>
      </c>
      <c r="CY144" s="62">
        <f t="shared" si="353"/>
        <v>82217.98785531515</v>
      </c>
      <c r="CZ144" s="2">
        <v>89</v>
      </c>
      <c r="DA144" s="57">
        <f t="shared" si="196"/>
        <v>0</v>
      </c>
      <c r="DB144" s="62">
        <f t="shared" si="355"/>
        <v>0</v>
      </c>
      <c r="DC144" s="2">
        <v>88</v>
      </c>
      <c r="DD144" s="57">
        <f t="shared" si="202"/>
        <v>0</v>
      </c>
      <c r="DE144" s="62">
        <f t="shared" si="358"/>
        <v>0</v>
      </c>
      <c r="DF144" s="2">
        <v>87</v>
      </c>
      <c r="DG144" s="57">
        <f t="shared" si="209"/>
        <v>0</v>
      </c>
      <c r="DH144" s="62">
        <f t="shared" si="361"/>
        <v>0</v>
      </c>
      <c r="DI144" s="2">
        <v>86</v>
      </c>
      <c r="DJ144" s="57">
        <f t="shared" si="215"/>
        <v>0</v>
      </c>
      <c r="DK144" s="62">
        <f t="shared" si="364"/>
        <v>0</v>
      </c>
      <c r="DL144" s="2">
        <v>85</v>
      </c>
      <c r="DM144" s="57">
        <f t="shared" si="222"/>
        <v>0</v>
      </c>
      <c r="DN144" s="62">
        <f t="shared" si="367"/>
        <v>0</v>
      </c>
      <c r="DO144" s="2">
        <v>84</v>
      </c>
      <c r="DP144" s="57">
        <f t="shared" si="227"/>
        <v>0</v>
      </c>
      <c r="DQ144" s="62">
        <f t="shared" si="396"/>
        <v>0</v>
      </c>
      <c r="DR144" s="2">
        <v>83</v>
      </c>
      <c r="DS144" s="57">
        <f t="shared" si="234"/>
        <v>0</v>
      </c>
      <c r="DT144" s="62">
        <f t="shared" si="399"/>
        <v>0</v>
      </c>
      <c r="DU144" s="2">
        <v>82</v>
      </c>
      <c r="DV144" s="57">
        <f t="shared" si="239"/>
        <v>0</v>
      </c>
      <c r="DW144" s="62">
        <f t="shared" si="402"/>
        <v>0</v>
      </c>
      <c r="DX144" s="2">
        <v>81</v>
      </c>
      <c r="DY144" s="57">
        <f t="shared" si="245"/>
        <v>0</v>
      </c>
      <c r="DZ144" s="62">
        <f t="shared" si="405"/>
        <v>0</v>
      </c>
      <c r="EA144" s="2">
        <f t="shared" si="448"/>
        <v>80</v>
      </c>
      <c r="EB144" s="57">
        <f t="shared" si="411"/>
        <v>0</v>
      </c>
      <c r="EC144" s="62">
        <f t="shared" si="408"/>
        <v>0</v>
      </c>
      <c r="ED144" s="2">
        <f t="shared" si="453"/>
        <v>79</v>
      </c>
      <c r="EE144" s="57">
        <f t="shared" si="415"/>
        <v>0</v>
      </c>
      <c r="EF144" s="62">
        <f t="shared" si="412"/>
        <v>0</v>
      </c>
      <c r="EG144" s="2">
        <f t="shared" si="456"/>
        <v>78</v>
      </c>
      <c r="EH144" s="57">
        <f t="shared" si="419"/>
        <v>0</v>
      </c>
      <c r="EI144" s="62">
        <f t="shared" si="416"/>
        <v>0</v>
      </c>
      <c r="EJ144" s="2">
        <f t="shared" si="460"/>
        <v>77</v>
      </c>
      <c r="EK144" s="57">
        <f t="shared" si="423"/>
        <v>0</v>
      </c>
      <c r="EL144" s="62">
        <f t="shared" si="420"/>
        <v>0</v>
      </c>
      <c r="EM144" s="2">
        <f t="shared" si="464"/>
        <v>76</v>
      </c>
      <c r="EN144" s="57">
        <f t="shared" si="427"/>
        <v>0</v>
      </c>
      <c r="EO144" s="62">
        <f t="shared" si="424"/>
        <v>0</v>
      </c>
      <c r="EP144" s="2">
        <f t="shared" ref="EP144:EP163" si="469">IF(EP143="","",(EP143+1))</f>
        <v>75</v>
      </c>
      <c r="EQ144" s="57">
        <f t="shared" si="431"/>
        <v>0</v>
      </c>
      <c r="ER144" s="62">
        <f t="shared" si="428"/>
        <v>0</v>
      </c>
      <c r="ES144" s="2">
        <v>74</v>
      </c>
      <c r="ET144" s="57">
        <f t="shared" si="432"/>
        <v>0</v>
      </c>
      <c r="EU144" s="62">
        <f t="shared" si="433"/>
        <v>0</v>
      </c>
      <c r="EV144" s="2">
        <v>73</v>
      </c>
      <c r="EW144" s="57">
        <f t="shared" si="436"/>
        <v>0</v>
      </c>
      <c r="EX144" s="62">
        <f t="shared" si="437"/>
        <v>0</v>
      </c>
      <c r="EY144" s="2">
        <v>72</v>
      </c>
      <c r="EZ144" s="57">
        <f t="shared" si="442"/>
        <v>0</v>
      </c>
      <c r="FA144" s="62">
        <f t="shared" si="440"/>
        <v>0</v>
      </c>
      <c r="FB144" s="2">
        <v>71</v>
      </c>
      <c r="FC144" s="57">
        <f t="shared" si="443"/>
        <v>0</v>
      </c>
      <c r="FD144" s="62">
        <f t="shared" si="444"/>
        <v>0</v>
      </c>
      <c r="FE144" s="2">
        <v>70</v>
      </c>
      <c r="FF144" s="57">
        <f t="shared" si="449"/>
        <v>0</v>
      </c>
      <c r="FG144" s="62">
        <f t="shared" si="446"/>
        <v>0</v>
      </c>
      <c r="FH144" s="2">
        <v>69</v>
      </c>
      <c r="FI144" s="57">
        <f t="shared" si="450"/>
        <v>0</v>
      </c>
      <c r="FJ144" s="62">
        <f t="shared" si="451"/>
        <v>0</v>
      </c>
      <c r="FK144" s="2">
        <v>68</v>
      </c>
      <c r="FL144" s="57">
        <f t="shared" si="457"/>
        <v>0</v>
      </c>
      <c r="FM144" s="62">
        <f t="shared" si="454"/>
        <v>0</v>
      </c>
      <c r="FN144" s="2">
        <v>67</v>
      </c>
      <c r="FO144" s="57">
        <f t="shared" si="461"/>
        <v>0</v>
      </c>
      <c r="FP144" s="62">
        <f t="shared" si="458"/>
        <v>0</v>
      </c>
      <c r="FQ144" s="2">
        <v>66</v>
      </c>
      <c r="FR144" s="57">
        <f t="shared" si="465"/>
        <v>0</v>
      </c>
      <c r="FS144" s="62">
        <f t="shared" si="462"/>
        <v>0</v>
      </c>
      <c r="FT144" s="2">
        <v>65</v>
      </c>
      <c r="FU144" s="57">
        <f t="shared" si="466"/>
        <v>0</v>
      </c>
      <c r="FV144" s="62">
        <f t="shared" si="467"/>
        <v>0</v>
      </c>
      <c r="FW144" s="2">
        <v>64</v>
      </c>
      <c r="FX144" s="57">
        <f t="shared" ref="FX144:FX162" si="470">$E$79</f>
        <v>0</v>
      </c>
      <c r="FY144" s="62">
        <f t="shared" ref="FY144:FY163" si="471">SUM($G$10*$G$11*FX144*(EXP(-($G$10*FW144))),$G$10*$G$11*FX144*(EXP(-($G$10*(FW144+0.1)))),$G$10*$G$11*FX144*(EXP(-($G$10*(FW144+0.2)))),$G$10*$G$11*FX144*(EXP(-($G$10*(FW144+0.3)))),$G$10*$G$11*FX144*(EXP(-($G$10*(FW144+0.4)))),$G$10*$G$11*FX144*(EXP(-($G$10*(FW144+0.5)))),$G$10*$G$11*FX144*(EXP(-($G$10*(FW144+0.6)))),$G$10*$G$11*FX144*(EXP(-($G$10*(FW144+0.7)))),$G$10*$G$11*FX144*(EXP(-($G$10*(FW144+0.8)))),$G$10*$G$11*FX144*(EXP(-($G$10*(FW144+0.9)))))/10</f>
        <v>0</v>
      </c>
      <c r="FZ144" s="2">
        <v>63</v>
      </c>
      <c r="GA144" s="57">
        <f t="shared" si="177"/>
        <v>0</v>
      </c>
      <c r="GB144" s="62">
        <f t="shared" si="334"/>
        <v>0</v>
      </c>
      <c r="GC144" s="2">
        <v>62</v>
      </c>
      <c r="GD144" s="57">
        <f t="shared" si="178"/>
        <v>0</v>
      </c>
      <c r="GE144" s="62">
        <f t="shared" si="338"/>
        <v>0</v>
      </c>
      <c r="GF144" s="2">
        <v>61</v>
      </c>
      <c r="GG144" s="57">
        <f t="shared" si="185"/>
        <v>0</v>
      </c>
      <c r="GH144" s="62">
        <f t="shared" si="342"/>
        <v>0</v>
      </c>
      <c r="GI144" s="2">
        <v>60</v>
      </c>
      <c r="GJ144" s="57">
        <f t="shared" si="186"/>
        <v>0</v>
      </c>
      <c r="GK144" s="62">
        <f t="shared" si="346"/>
        <v>0</v>
      </c>
      <c r="GL144" s="2">
        <v>59</v>
      </c>
      <c r="GM144" s="57">
        <f t="shared" si="193"/>
        <v>0</v>
      </c>
      <c r="GN144" s="62">
        <f t="shared" si="350"/>
        <v>0</v>
      </c>
      <c r="GO144" s="2">
        <v>58</v>
      </c>
      <c r="GP144" s="57">
        <f t="shared" si="194"/>
        <v>0</v>
      </c>
      <c r="GQ144" s="62">
        <f t="shared" si="354"/>
        <v>0</v>
      </c>
      <c r="GR144" s="2">
        <v>57</v>
      </c>
      <c r="GS144" s="57">
        <f t="shared" si="204"/>
        <v>0</v>
      </c>
      <c r="GT144" s="62">
        <f t="shared" si="356"/>
        <v>0</v>
      </c>
      <c r="GU144" s="2">
        <v>56</v>
      </c>
      <c r="GV144" s="57">
        <f t="shared" si="205"/>
        <v>0</v>
      </c>
      <c r="GW144" s="62">
        <f t="shared" si="359"/>
        <v>0</v>
      </c>
      <c r="GX144" s="2">
        <v>55</v>
      </c>
      <c r="GY144" s="57">
        <f t="shared" si="217"/>
        <v>0</v>
      </c>
      <c r="GZ144" s="62">
        <f t="shared" si="362"/>
        <v>0</v>
      </c>
      <c r="HA144" s="2">
        <v>54</v>
      </c>
      <c r="HB144" s="57">
        <f t="shared" si="218"/>
        <v>0</v>
      </c>
      <c r="HC144" s="62">
        <f t="shared" si="365"/>
        <v>0</v>
      </c>
      <c r="HD144" s="2">
        <v>53</v>
      </c>
      <c r="HE144" s="57">
        <f t="shared" si="229"/>
        <v>0</v>
      </c>
      <c r="HF144" s="62">
        <f t="shared" si="368"/>
        <v>0</v>
      </c>
      <c r="HG144" s="2">
        <v>52</v>
      </c>
      <c r="HH144" s="57">
        <f t="shared" si="230"/>
        <v>0</v>
      </c>
      <c r="HI144" s="62">
        <f t="shared" si="397"/>
        <v>0</v>
      </c>
      <c r="HJ144" s="2">
        <v>51</v>
      </c>
      <c r="HK144" s="57">
        <f t="shared" si="241"/>
        <v>0</v>
      </c>
      <c r="HL144" s="62">
        <f t="shared" si="400"/>
        <v>0</v>
      </c>
      <c r="HM144" s="2">
        <v>50</v>
      </c>
      <c r="HN144" s="57">
        <f t="shared" si="247"/>
        <v>0</v>
      </c>
      <c r="HO144" s="62">
        <f t="shared" si="403"/>
        <v>0</v>
      </c>
      <c r="HP144" s="2">
        <v>49</v>
      </c>
      <c r="HQ144" s="57">
        <f t="shared" si="248"/>
        <v>0</v>
      </c>
      <c r="HR144" s="62">
        <f t="shared" si="406"/>
        <v>0</v>
      </c>
      <c r="HS144" s="2">
        <v>48</v>
      </c>
      <c r="HT144" s="57">
        <f t="shared" si="257"/>
        <v>0</v>
      </c>
      <c r="HU144" s="62">
        <f t="shared" si="409"/>
        <v>0</v>
      </c>
      <c r="HV144" s="2">
        <v>47</v>
      </c>
      <c r="HW144" s="57">
        <f t="shared" si="258"/>
        <v>0</v>
      </c>
      <c r="HX144" s="62">
        <f t="shared" si="413"/>
        <v>0</v>
      </c>
      <c r="HY144" s="2">
        <v>46</v>
      </c>
      <c r="HZ144" s="57">
        <f t="shared" si="268"/>
        <v>0</v>
      </c>
      <c r="IA144" s="62">
        <f t="shared" si="417"/>
        <v>0</v>
      </c>
      <c r="IB144" s="2">
        <v>45</v>
      </c>
      <c r="IC144" s="57">
        <f t="shared" si="274"/>
        <v>0</v>
      </c>
      <c r="ID144" s="62">
        <f t="shared" si="421"/>
        <v>0</v>
      </c>
      <c r="IE144" s="2">
        <v>44</v>
      </c>
      <c r="IF144" s="57">
        <f t="shared" si="280"/>
        <v>0</v>
      </c>
      <c r="IG144" s="62">
        <f t="shared" si="425"/>
        <v>0</v>
      </c>
      <c r="IH144" s="2">
        <v>43</v>
      </c>
      <c r="II144" s="57">
        <f t="shared" si="281"/>
        <v>0</v>
      </c>
      <c r="IJ144" s="62">
        <f t="shared" si="429"/>
        <v>0</v>
      </c>
      <c r="IK144" s="2">
        <v>42</v>
      </c>
      <c r="IL144" s="57">
        <f t="shared" si="292"/>
        <v>0</v>
      </c>
      <c r="IM144" s="62">
        <f t="shared" si="434"/>
        <v>0</v>
      </c>
      <c r="IN144" s="2">
        <v>41</v>
      </c>
      <c r="IO144" s="57">
        <f t="shared" si="293"/>
        <v>0</v>
      </c>
      <c r="IP144" s="62">
        <f t="shared" si="438"/>
        <v>0</v>
      </c>
    </row>
    <row r="145" spans="7:250">
      <c r="G145" s="284"/>
      <c r="H145" s="284"/>
      <c r="I145" s="2">
        <f t="shared" si="369"/>
        <v>2140</v>
      </c>
      <c r="J145" s="379">
        <f t="shared" si="264"/>
        <v>890077.9247150796</v>
      </c>
      <c r="K145" s="2">
        <f t="shared" si="370"/>
        <v>121</v>
      </c>
      <c r="L145" s="57">
        <f t="shared" si="200"/>
        <v>189082</v>
      </c>
      <c r="M145" s="62">
        <f t="shared" si="357"/>
        <v>5874.0311960574309</v>
      </c>
      <c r="N145" s="2">
        <f t="shared" si="371"/>
        <v>120</v>
      </c>
      <c r="O145" s="57">
        <f t="shared" si="207"/>
        <v>293489</v>
      </c>
      <c r="P145" s="62">
        <f t="shared" si="360"/>
        <v>9489.6385087735252</v>
      </c>
      <c r="Q145" s="2">
        <f t="shared" si="372"/>
        <v>119</v>
      </c>
      <c r="R145" s="57">
        <f t="shared" si="213"/>
        <v>283523</v>
      </c>
      <c r="S145" s="62">
        <f t="shared" si="363"/>
        <v>9541.5276995025142</v>
      </c>
      <c r="T145" s="2">
        <f t="shared" si="373"/>
        <v>118</v>
      </c>
      <c r="U145" s="57">
        <f t="shared" si="220"/>
        <v>143321</v>
      </c>
      <c r="V145" s="62">
        <f t="shared" si="366"/>
        <v>5020.0868283432274</v>
      </c>
      <c r="W145" s="2">
        <f t="shared" si="374"/>
        <v>117</v>
      </c>
      <c r="X145" s="57">
        <f t="shared" si="225"/>
        <v>227851</v>
      </c>
      <c r="Y145" s="62">
        <f t="shared" si="375"/>
        <v>8306.6156766201839</v>
      </c>
      <c r="Z145" s="2">
        <f t="shared" si="376"/>
        <v>116</v>
      </c>
      <c r="AA145" s="57">
        <f t="shared" si="232"/>
        <v>238727</v>
      </c>
      <c r="AB145" s="62">
        <f t="shared" si="398"/>
        <v>9058.2957914541967</v>
      </c>
      <c r="AC145" s="2">
        <f t="shared" si="377"/>
        <v>115</v>
      </c>
      <c r="AD145" s="57">
        <f t="shared" si="237"/>
        <v>250122</v>
      </c>
      <c r="AE145" s="62">
        <f t="shared" si="401"/>
        <v>9877.9910795936485</v>
      </c>
      <c r="AF145" s="2">
        <f t="shared" si="378"/>
        <v>114</v>
      </c>
      <c r="AG145" s="57">
        <f t="shared" si="243"/>
        <v>262060</v>
      </c>
      <c r="AH145" s="62">
        <f t="shared" si="404"/>
        <v>10771.824099611917</v>
      </c>
      <c r="AI145" s="2">
        <f t="shared" si="379"/>
        <v>113</v>
      </c>
      <c r="AJ145" s="57">
        <f t="shared" si="250"/>
        <v>274569</v>
      </c>
      <c r="AK145" s="62">
        <f t="shared" si="407"/>
        <v>11746.589647712848</v>
      </c>
      <c r="AL145" s="2">
        <f t="shared" si="380"/>
        <v>112</v>
      </c>
      <c r="AM145" s="57">
        <f t="shared" si="254"/>
        <v>287675</v>
      </c>
      <c r="AN145" s="62">
        <f t="shared" si="410"/>
        <v>12809.559536132536</v>
      </c>
      <c r="AO145" s="2">
        <f t="shared" si="381"/>
        <v>111</v>
      </c>
      <c r="AP145" s="57">
        <f t="shared" si="260"/>
        <v>301406</v>
      </c>
      <c r="AQ145" s="62">
        <f t="shared" si="414"/>
        <v>13968.692190611479</v>
      </c>
      <c r="AR145" s="2">
        <f t="shared" si="382"/>
        <v>110</v>
      </c>
      <c r="AS145" s="57">
        <f t="shared" si="265"/>
        <v>315793</v>
      </c>
      <c r="AT145" s="62">
        <f t="shared" si="418"/>
        <v>15232.743611339825</v>
      </c>
      <c r="AU145" s="2">
        <f t="shared" si="383"/>
        <v>109</v>
      </c>
      <c r="AV145" s="57">
        <f t="shared" si="271"/>
        <v>330866</v>
      </c>
      <c r="AW145" s="62">
        <f t="shared" si="422"/>
        <v>16611.144404951548</v>
      </c>
      <c r="AX145" s="2">
        <f t="shared" si="384"/>
        <v>108</v>
      </c>
      <c r="AY145" s="57">
        <f t="shared" si="277"/>
        <v>346659</v>
      </c>
      <c r="AZ145" s="62">
        <f t="shared" si="426"/>
        <v>18114.304827067121</v>
      </c>
      <c r="BA145" s="2">
        <f t="shared" si="385"/>
        <v>107</v>
      </c>
      <c r="BB145" s="57">
        <f t="shared" si="284"/>
        <v>363206</v>
      </c>
      <c r="BC145" s="62">
        <f t="shared" si="430"/>
        <v>19753.496756660097</v>
      </c>
      <c r="BD145" s="2">
        <f t="shared" si="386"/>
        <v>106</v>
      </c>
      <c r="BE145" s="57">
        <f t="shared" si="289"/>
        <v>380542</v>
      </c>
      <c r="BF145" s="62">
        <f t="shared" si="435"/>
        <v>21540.974508673084</v>
      </c>
      <c r="BG145" s="2">
        <f t="shared" si="387"/>
        <v>105</v>
      </c>
      <c r="BH145" s="57">
        <f t="shared" si="296"/>
        <v>398706</v>
      </c>
      <c r="BI145" s="62">
        <f t="shared" si="439"/>
        <v>23490.231723963567</v>
      </c>
      <c r="BJ145" s="2">
        <f t="shared" si="388"/>
        <v>104</v>
      </c>
      <c r="BK145" s="57">
        <f t="shared" si="300"/>
        <v>417737</v>
      </c>
      <c r="BL145" s="62">
        <f t="shared" si="441"/>
        <v>25615.878372387491</v>
      </c>
      <c r="BM145" s="2">
        <f t="shared" si="389"/>
        <v>103</v>
      </c>
      <c r="BN145" s="57">
        <f t="shared" si="304"/>
        <v>437677</v>
      </c>
      <c r="BO145" s="62">
        <f t="shared" si="445"/>
        <v>27933.915381249175</v>
      </c>
      <c r="BP145" s="2">
        <f t="shared" si="390"/>
        <v>102</v>
      </c>
      <c r="BQ145" s="57">
        <f t="shared" si="308"/>
        <v>458568</v>
      </c>
      <c r="BR145" s="62">
        <f t="shared" si="447"/>
        <v>30461.663257948523</v>
      </c>
      <c r="BS145" s="2">
        <f t="shared" si="391"/>
        <v>101</v>
      </c>
      <c r="BT145" s="57">
        <f t="shared" si="312"/>
        <v>480456</v>
      </c>
      <c r="BU145" s="62">
        <f t="shared" si="452"/>
        <v>33218.136708688951</v>
      </c>
      <c r="BV145" s="2">
        <f t="shared" si="392"/>
        <v>100</v>
      </c>
      <c r="BW145" s="57">
        <f t="shared" si="316"/>
        <v>503389</v>
      </c>
      <c r="BX145" s="62">
        <f t="shared" si="455"/>
        <v>36224.06189609065</v>
      </c>
      <c r="BY145" s="2">
        <f t="shared" si="393"/>
        <v>99</v>
      </c>
      <c r="BZ145" s="57">
        <f t="shared" si="320"/>
        <v>527417</v>
      </c>
      <c r="CA145" s="62">
        <f t="shared" si="459"/>
        <v>39502.022267004344</v>
      </c>
      <c r="CB145" s="2">
        <f t="shared" si="394"/>
        <v>98</v>
      </c>
      <c r="CC145" s="57">
        <f t="shared" si="324"/>
        <v>552592</v>
      </c>
      <c r="CD145" s="62">
        <f t="shared" si="463"/>
        <v>43076.615910705652</v>
      </c>
      <c r="CE145" s="2">
        <f t="shared" si="395"/>
        <v>97</v>
      </c>
      <c r="CF145" s="57">
        <f t="shared" si="328"/>
        <v>578968</v>
      </c>
      <c r="CG145" s="62">
        <f t="shared" si="468"/>
        <v>46974.625294805992</v>
      </c>
      <c r="CH145" s="2">
        <v>96</v>
      </c>
      <c r="CI145" s="57">
        <f t="shared" si="332"/>
        <v>606603</v>
      </c>
      <c r="CJ145" s="62">
        <f t="shared" ref="CJ145:CJ163" si="472">SUM($G$10*$G$11*CI145*(EXP(-($G$10*CH145))),$G$10*$G$11*CI145*(EXP(-($G$10*(CH145+0.1)))),$G$10*$G$11*CI145*(EXP(-($G$10*(CH145+0.2)))),$G$10*$G$11*CI145*(EXP(-($G$10*(CH145+0.3)))),$G$10*$G$11*CI145*(EXP(-($G$10*(CH145+0.4)))),$G$10*$G$11*CI145*(EXP(-($G$10*(CH145+0.5)))),$G$10*$G$11*CI145*(EXP(-($G$10*(CH145+0.6)))),$G$10*$G$11*CI145*(EXP(-($G$10*(CH145+0.7)))),$G$10*$G$11*CI145*(EXP(-($G$10*(CH145+0.8)))),$G$10*$G$11*CI145*(EXP(-($G$10*(CH145+0.9)))))/10</f>
        <v>51225.369177181085</v>
      </c>
      <c r="CK145" s="2">
        <v>95</v>
      </c>
      <c r="CL145" s="57">
        <f t="shared" si="336"/>
        <v>635558</v>
      </c>
      <c r="CM145" s="62">
        <f t="shared" si="337"/>
        <v>55860.846447304066</v>
      </c>
      <c r="CN145" s="2">
        <v>94</v>
      </c>
      <c r="CO145" s="57">
        <f t="shared" si="340"/>
        <v>665894</v>
      </c>
      <c r="CP145" s="62">
        <f t="shared" si="341"/>
        <v>60915.694991655197</v>
      </c>
      <c r="CQ145" s="2">
        <v>93</v>
      </c>
      <c r="CR145" s="57">
        <f t="shared" si="344"/>
        <v>697679</v>
      </c>
      <c r="CS145" s="62">
        <f t="shared" si="345"/>
        <v>66428.054303745899</v>
      </c>
      <c r="CT145" s="2">
        <v>92</v>
      </c>
      <c r="CU145" s="57">
        <f t="shared" si="348"/>
        <v>730980</v>
      </c>
      <c r="CV145" s="62">
        <f t="shared" si="349"/>
        <v>72439.118179503392</v>
      </c>
      <c r="CW145" s="2">
        <v>91</v>
      </c>
      <c r="CX145" s="57">
        <f t="shared" si="352"/>
        <v>765871</v>
      </c>
      <c r="CY145" s="62">
        <f t="shared" si="353"/>
        <v>78994.174439740746</v>
      </c>
      <c r="CZ145" s="2">
        <v>90</v>
      </c>
      <c r="DA145" s="57">
        <f t="shared" si="196"/>
        <v>0</v>
      </c>
      <c r="DB145" s="62">
        <f t="shared" si="355"/>
        <v>0</v>
      </c>
      <c r="DC145" s="2">
        <v>89</v>
      </c>
      <c r="DD145" s="57">
        <f t="shared" si="202"/>
        <v>0</v>
      </c>
      <c r="DE145" s="62">
        <f t="shared" si="358"/>
        <v>0</v>
      </c>
      <c r="DF145" s="2">
        <v>88</v>
      </c>
      <c r="DG145" s="57">
        <f t="shared" si="209"/>
        <v>0</v>
      </c>
      <c r="DH145" s="62">
        <f t="shared" si="361"/>
        <v>0</v>
      </c>
      <c r="DI145" s="2">
        <v>87</v>
      </c>
      <c r="DJ145" s="57">
        <f t="shared" si="215"/>
        <v>0</v>
      </c>
      <c r="DK145" s="62">
        <f t="shared" si="364"/>
        <v>0</v>
      </c>
      <c r="DL145" s="2">
        <v>86</v>
      </c>
      <c r="DM145" s="57">
        <f t="shared" si="222"/>
        <v>0</v>
      </c>
      <c r="DN145" s="62">
        <f t="shared" si="367"/>
        <v>0</v>
      </c>
      <c r="DO145" s="2">
        <v>85</v>
      </c>
      <c r="DP145" s="57">
        <f t="shared" si="227"/>
        <v>0</v>
      </c>
      <c r="DQ145" s="62">
        <f t="shared" si="396"/>
        <v>0</v>
      </c>
      <c r="DR145" s="2">
        <v>84</v>
      </c>
      <c r="DS145" s="57">
        <f t="shared" si="234"/>
        <v>0</v>
      </c>
      <c r="DT145" s="62">
        <f t="shared" si="399"/>
        <v>0</v>
      </c>
      <c r="DU145" s="2">
        <v>83</v>
      </c>
      <c r="DV145" s="57">
        <f t="shared" si="239"/>
        <v>0</v>
      </c>
      <c r="DW145" s="62">
        <f t="shared" si="402"/>
        <v>0</v>
      </c>
      <c r="DX145" s="2">
        <v>82</v>
      </c>
      <c r="DY145" s="57">
        <f t="shared" si="245"/>
        <v>0</v>
      </c>
      <c r="DZ145" s="62">
        <f t="shared" si="405"/>
        <v>0</v>
      </c>
      <c r="EA145" s="2">
        <f t="shared" si="448"/>
        <v>81</v>
      </c>
      <c r="EB145" s="57">
        <f t="shared" si="411"/>
        <v>0</v>
      </c>
      <c r="EC145" s="62">
        <f t="shared" si="408"/>
        <v>0</v>
      </c>
      <c r="ED145" s="2">
        <f t="shared" si="453"/>
        <v>80</v>
      </c>
      <c r="EE145" s="57">
        <f t="shared" si="415"/>
        <v>0</v>
      </c>
      <c r="EF145" s="62">
        <f t="shared" si="412"/>
        <v>0</v>
      </c>
      <c r="EG145" s="2">
        <f t="shared" si="456"/>
        <v>79</v>
      </c>
      <c r="EH145" s="57">
        <f t="shared" si="419"/>
        <v>0</v>
      </c>
      <c r="EI145" s="62">
        <f t="shared" si="416"/>
        <v>0</v>
      </c>
      <c r="EJ145" s="2">
        <f t="shared" si="460"/>
        <v>78</v>
      </c>
      <c r="EK145" s="57">
        <f t="shared" si="423"/>
        <v>0</v>
      </c>
      <c r="EL145" s="62">
        <f t="shared" si="420"/>
        <v>0</v>
      </c>
      <c r="EM145" s="2">
        <f t="shared" si="464"/>
        <v>77</v>
      </c>
      <c r="EN145" s="57">
        <f t="shared" si="427"/>
        <v>0</v>
      </c>
      <c r="EO145" s="62">
        <f t="shared" si="424"/>
        <v>0</v>
      </c>
      <c r="EP145" s="2">
        <f t="shared" si="469"/>
        <v>76</v>
      </c>
      <c r="EQ145" s="57">
        <f t="shared" si="431"/>
        <v>0</v>
      </c>
      <c r="ER145" s="62">
        <f t="shared" si="428"/>
        <v>0</v>
      </c>
      <c r="ES145" s="2">
        <f t="shared" ref="ES145:ES163" si="473">IF(ES144="","",(ES144+1))</f>
        <v>75</v>
      </c>
      <c r="ET145" s="57">
        <f t="shared" si="432"/>
        <v>0</v>
      </c>
      <c r="EU145" s="62">
        <f t="shared" si="433"/>
        <v>0</v>
      </c>
      <c r="EV145" s="2">
        <v>74</v>
      </c>
      <c r="EW145" s="57">
        <f t="shared" si="436"/>
        <v>0</v>
      </c>
      <c r="EX145" s="62">
        <f t="shared" si="437"/>
        <v>0</v>
      </c>
      <c r="EY145" s="2">
        <v>73</v>
      </c>
      <c r="EZ145" s="57">
        <f t="shared" si="442"/>
        <v>0</v>
      </c>
      <c r="FA145" s="62">
        <f t="shared" si="440"/>
        <v>0</v>
      </c>
      <c r="FB145" s="2">
        <v>72</v>
      </c>
      <c r="FC145" s="57">
        <f t="shared" si="443"/>
        <v>0</v>
      </c>
      <c r="FD145" s="62">
        <f t="shared" si="444"/>
        <v>0</v>
      </c>
      <c r="FE145" s="2">
        <v>71</v>
      </c>
      <c r="FF145" s="57">
        <f t="shared" si="449"/>
        <v>0</v>
      </c>
      <c r="FG145" s="62">
        <f t="shared" si="446"/>
        <v>0</v>
      </c>
      <c r="FH145" s="2">
        <v>70</v>
      </c>
      <c r="FI145" s="57">
        <f t="shared" si="450"/>
        <v>0</v>
      </c>
      <c r="FJ145" s="62">
        <f t="shared" si="451"/>
        <v>0</v>
      </c>
      <c r="FK145" s="2">
        <v>69</v>
      </c>
      <c r="FL145" s="57">
        <f t="shared" si="457"/>
        <v>0</v>
      </c>
      <c r="FM145" s="62">
        <f t="shared" si="454"/>
        <v>0</v>
      </c>
      <c r="FN145" s="2">
        <v>68</v>
      </c>
      <c r="FO145" s="57">
        <f t="shared" si="461"/>
        <v>0</v>
      </c>
      <c r="FP145" s="62">
        <f t="shared" si="458"/>
        <v>0</v>
      </c>
      <c r="FQ145" s="2">
        <v>67</v>
      </c>
      <c r="FR145" s="57">
        <f t="shared" si="465"/>
        <v>0</v>
      </c>
      <c r="FS145" s="62">
        <f t="shared" si="462"/>
        <v>0</v>
      </c>
      <c r="FT145" s="2">
        <v>66</v>
      </c>
      <c r="FU145" s="57">
        <f t="shared" si="466"/>
        <v>0</v>
      </c>
      <c r="FV145" s="62">
        <f t="shared" si="467"/>
        <v>0</v>
      </c>
      <c r="FW145" s="2">
        <v>65</v>
      </c>
      <c r="FX145" s="57">
        <f t="shared" si="470"/>
        <v>0</v>
      </c>
      <c r="FY145" s="62">
        <f t="shared" si="471"/>
        <v>0</v>
      </c>
      <c r="FZ145" s="2">
        <v>64</v>
      </c>
      <c r="GA145" s="57">
        <f t="shared" si="177"/>
        <v>0</v>
      </c>
      <c r="GB145" s="62">
        <f t="shared" ref="GB145:GB163" si="474">SUM($G$10*$G$11*GA145*(EXP(-($G$10*FZ145))),$G$10*$G$11*GA145*(EXP(-($G$10*(FZ145+0.1)))),$G$10*$G$11*GA145*(EXP(-($G$10*(FZ145+0.2)))),$G$10*$G$11*GA145*(EXP(-($G$10*(FZ145+0.3)))),$G$10*$G$11*GA145*(EXP(-($G$10*(FZ145+0.4)))),$G$10*$G$11*GA145*(EXP(-($G$10*(FZ145+0.5)))),$G$10*$G$11*GA145*(EXP(-($G$10*(FZ145+0.6)))),$G$10*$G$11*GA145*(EXP(-($G$10*(FZ145+0.7)))),$G$10*$G$11*GA145*(EXP(-($G$10*(FZ145+0.8)))),$G$10*$G$11*GA145*(EXP(-($G$10*(FZ145+0.9)))))/10</f>
        <v>0</v>
      </c>
      <c r="GC145" s="2">
        <v>63</v>
      </c>
      <c r="GD145" s="57">
        <f t="shared" si="178"/>
        <v>0</v>
      </c>
      <c r="GE145" s="62">
        <f t="shared" si="338"/>
        <v>0</v>
      </c>
      <c r="GF145" s="2">
        <v>62</v>
      </c>
      <c r="GG145" s="57">
        <f t="shared" si="185"/>
        <v>0</v>
      </c>
      <c r="GH145" s="62">
        <f t="shared" si="342"/>
        <v>0</v>
      </c>
      <c r="GI145" s="2">
        <v>61</v>
      </c>
      <c r="GJ145" s="57">
        <f t="shared" si="186"/>
        <v>0</v>
      </c>
      <c r="GK145" s="62">
        <f t="shared" si="346"/>
        <v>0</v>
      </c>
      <c r="GL145" s="2">
        <v>60</v>
      </c>
      <c r="GM145" s="57">
        <f t="shared" si="193"/>
        <v>0</v>
      </c>
      <c r="GN145" s="62">
        <f t="shared" si="350"/>
        <v>0</v>
      </c>
      <c r="GO145" s="2">
        <v>59</v>
      </c>
      <c r="GP145" s="57">
        <f t="shared" si="194"/>
        <v>0</v>
      </c>
      <c r="GQ145" s="62">
        <f t="shared" si="354"/>
        <v>0</v>
      </c>
      <c r="GR145" s="2">
        <v>58</v>
      </c>
      <c r="GS145" s="57">
        <f t="shared" si="204"/>
        <v>0</v>
      </c>
      <c r="GT145" s="62">
        <f t="shared" si="356"/>
        <v>0</v>
      </c>
      <c r="GU145" s="2">
        <v>57</v>
      </c>
      <c r="GV145" s="57">
        <f t="shared" si="205"/>
        <v>0</v>
      </c>
      <c r="GW145" s="62">
        <f t="shared" si="359"/>
        <v>0</v>
      </c>
      <c r="GX145" s="2">
        <v>56</v>
      </c>
      <c r="GY145" s="57">
        <f t="shared" si="217"/>
        <v>0</v>
      </c>
      <c r="GZ145" s="62">
        <f t="shared" si="362"/>
        <v>0</v>
      </c>
      <c r="HA145" s="2">
        <v>55</v>
      </c>
      <c r="HB145" s="57">
        <f t="shared" si="218"/>
        <v>0</v>
      </c>
      <c r="HC145" s="62">
        <f t="shared" si="365"/>
        <v>0</v>
      </c>
      <c r="HD145" s="2">
        <v>54</v>
      </c>
      <c r="HE145" s="57">
        <f t="shared" si="229"/>
        <v>0</v>
      </c>
      <c r="HF145" s="62">
        <f t="shared" si="368"/>
        <v>0</v>
      </c>
      <c r="HG145" s="2">
        <v>53</v>
      </c>
      <c r="HH145" s="57">
        <f t="shared" si="230"/>
        <v>0</v>
      </c>
      <c r="HI145" s="62">
        <f t="shared" si="397"/>
        <v>0</v>
      </c>
      <c r="HJ145" s="2">
        <v>52</v>
      </c>
      <c r="HK145" s="57">
        <f t="shared" si="241"/>
        <v>0</v>
      </c>
      <c r="HL145" s="62">
        <f t="shared" si="400"/>
        <v>0</v>
      </c>
      <c r="HM145" s="2">
        <v>51</v>
      </c>
      <c r="HN145" s="57">
        <f t="shared" si="247"/>
        <v>0</v>
      </c>
      <c r="HO145" s="62">
        <f t="shared" si="403"/>
        <v>0</v>
      </c>
      <c r="HP145" s="2">
        <v>50</v>
      </c>
      <c r="HQ145" s="57">
        <f t="shared" si="248"/>
        <v>0</v>
      </c>
      <c r="HR145" s="62">
        <f t="shared" si="406"/>
        <v>0</v>
      </c>
      <c r="HS145" s="2">
        <v>49</v>
      </c>
      <c r="HT145" s="57">
        <f t="shared" si="257"/>
        <v>0</v>
      </c>
      <c r="HU145" s="62">
        <f t="shared" si="409"/>
        <v>0</v>
      </c>
      <c r="HV145" s="2">
        <v>48</v>
      </c>
      <c r="HW145" s="57">
        <f t="shared" si="258"/>
        <v>0</v>
      </c>
      <c r="HX145" s="62">
        <f t="shared" si="413"/>
        <v>0</v>
      </c>
      <c r="HY145" s="2">
        <v>47</v>
      </c>
      <c r="HZ145" s="57">
        <f t="shared" si="268"/>
        <v>0</v>
      </c>
      <c r="IA145" s="62">
        <f t="shared" si="417"/>
        <v>0</v>
      </c>
      <c r="IB145" s="2">
        <v>46</v>
      </c>
      <c r="IC145" s="57">
        <f t="shared" si="274"/>
        <v>0</v>
      </c>
      <c r="ID145" s="62">
        <f t="shared" si="421"/>
        <v>0</v>
      </c>
      <c r="IE145" s="2">
        <v>45</v>
      </c>
      <c r="IF145" s="57">
        <f t="shared" si="280"/>
        <v>0</v>
      </c>
      <c r="IG145" s="62">
        <f t="shared" si="425"/>
        <v>0</v>
      </c>
      <c r="IH145" s="2">
        <v>44</v>
      </c>
      <c r="II145" s="57">
        <f t="shared" si="281"/>
        <v>0</v>
      </c>
      <c r="IJ145" s="62">
        <f t="shared" si="429"/>
        <v>0</v>
      </c>
      <c r="IK145" s="2">
        <v>43</v>
      </c>
      <c r="IL145" s="57">
        <f t="shared" si="292"/>
        <v>0</v>
      </c>
      <c r="IM145" s="62">
        <f t="shared" si="434"/>
        <v>0</v>
      </c>
      <c r="IN145" s="2">
        <v>42</v>
      </c>
      <c r="IO145" s="57">
        <f t="shared" si="293"/>
        <v>0</v>
      </c>
      <c r="IP145" s="62">
        <f t="shared" si="438"/>
        <v>0</v>
      </c>
    </row>
    <row r="146" spans="7:250">
      <c r="G146" s="284"/>
      <c r="H146" s="284"/>
      <c r="I146" s="2">
        <f t="shared" si="369"/>
        <v>2141</v>
      </c>
      <c r="J146" s="379">
        <f t="shared" si="264"/>
        <v>855177.47008886526</v>
      </c>
      <c r="K146" s="2">
        <f t="shared" si="370"/>
        <v>122</v>
      </c>
      <c r="L146" s="57">
        <f t="shared" si="200"/>
        <v>189082</v>
      </c>
      <c r="M146" s="62">
        <f t="shared" si="357"/>
        <v>5643.7071384232695</v>
      </c>
      <c r="N146" s="2">
        <f t="shared" si="371"/>
        <v>121</v>
      </c>
      <c r="O146" s="57">
        <f t="shared" si="207"/>
        <v>293489</v>
      </c>
      <c r="P146" s="62">
        <f t="shared" si="360"/>
        <v>9117.544460602805</v>
      </c>
      <c r="Q146" s="2">
        <f t="shared" si="372"/>
        <v>120</v>
      </c>
      <c r="R146" s="57">
        <f t="shared" si="213"/>
        <v>283523</v>
      </c>
      <c r="S146" s="62">
        <f t="shared" si="363"/>
        <v>9167.3990470613753</v>
      </c>
      <c r="T146" s="2">
        <f t="shared" si="373"/>
        <v>119</v>
      </c>
      <c r="U146" s="57">
        <f t="shared" si="220"/>
        <v>143321</v>
      </c>
      <c r="V146" s="62">
        <f t="shared" si="366"/>
        <v>4823.2464082998549</v>
      </c>
      <c r="W146" s="2">
        <f t="shared" si="374"/>
        <v>118</v>
      </c>
      <c r="X146" s="57">
        <f t="shared" si="225"/>
        <v>227851</v>
      </c>
      <c r="Y146" s="62">
        <f t="shared" si="375"/>
        <v>7980.9086171938015</v>
      </c>
      <c r="Z146" s="2">
        <f t="shared" si="376"/>
        <v>117</v>
      </c>
      <c r="AA146" s="57">
        <f t="shared" si="232"/>
        <v>238727</v>
      </c>
      <c r="AB146" s="62">
        <f t="shared" si="398"/>
        <v>8703.1149331471297</v>
      </c>
      <c r="AC146" s="2">
        <f t="shared" si="377"/>
        <v>116</v>
      </c>
      <c r="AD146" s="57">
        <f t="shared" si="237"/>
        <v>250122</v>
      </c>
      <c r="AE146" s="62">
        <f t="shared" si="401"/>
        <v>9490.6695093144335</v>
      </c>
      <c r="AF146" s="2">
        <f t="shared" si="378"/>
        <v>115</v>
      </c>
      <c r="AG146" s="57">
        <f t="shared" si="243"/>
        <v>262060</v>
      </c>
      <c r="AH146" s="62">
        <f t="shared" si="404"/>
        <v>10349.454835313614</v>
      </c>
      <c r="AI146" s="2">
        <f t="shared" si="379"/>
        <v>114</v>
      </c>
      <c r="AJ146" s="57">
        <f t="shared" si="250"/>
        <v>274569</v>
      </c>
      <c r="AK146" s="62">
        <f t="shared" si="407"/>
        <v>11285.999279578515</v>
      </c>
      <c r="AL146" s="2">
        <f t="shared" si="380"/>
        <v>113</v>
      </c>
      <c r="AM146" s="57">
        <f t="shared" si="254"/>
        <v>287675</v>
      </c>
      <c r="AN146" s="62">
        <f t="shared" si="410"/>
        <v>12307.289522509072</v>
      </c>
      <c r="AO146" s="2">
        <f t="shared" si="381"/>
        <v>112</v>
      </c>
      <c r="AP146" s="57">
        <f t="shared" si="260"/>
        <v>301406</v>
      </c>
      <c r="AQ146" s="62">
        <f t="shared" si="414"/>
        <v>13420.97193550904</v>
      </c>
      <c r="AR146" s="2">
        <f t="shared" si="382"/>
        <v>111</v>
      </c>
      <c r="AS146" s="57">
        <f t="shared" si="265"/>
        <v>315793</v>
      </c>
      <c r="AT146" s="62">
        <f t="shared" si="418"/>
        <v>14635.459191090325</v>
      </c>
      <c r="AU146" s="2">
        <f t="shared" si="383"/>
        <v>110</v>
      </c>
      <c r="AV146" s="57">
        <f t="shared" si="271"/>
        <v>330866</v>
      </c>
      <c r="AW146" s="62">
        <f t="shared" si="422"/>
        <v>15959.81211651165</v>
      </c>
      <c r="AX146" s="2">
        <f t="shared" si="384"/>
        <v>109</v>
      </c>
      <c r="AY146" s="57">
        <f t="shared" si="277"/>
        <v>346659</v>
      </c>
      <c r="AZ146" s="62">
        <f t="shared" si="426"/>
        <v>17404.032775432042</v>
      </c>
      <c r="BA146" s="2">
        <f t="shared" si="385"/>
        <v>108</v>
      </c>
      <c r="BB146" s="57">
        <f t="shared" si="284"/>
        <v>363206</v>
      </c>
      <c r="BC146" s="62">
        <f t="shared" si="430"/>
        <v>18978.951070128689</v>
      </c>
      <c r="BD146" s="2">
        <f t="shared" si="386"/>
        <v>107</v>
      </c>
      <c r="BE146" s="57">
        <f t="shared" si="289"/>
        <v>380542</v>
      </c>
      <c r="BF146" s="62">
        <f t="shared" si="435"/>
        <v>20696.340816982498</v>
      </c>
      <c r="BG146" s="2">
        <f t="shared" si="387"/>
        <v>106</v>
      </c>
      <c r="BH146" s="57">
        <f t="shared" si="296"/>
        <v>398706</v>
      </c>
      <c r="BI146" s="62">
        <f t="shared" si="439"/>
        <v>22569.166563625062</v>
      </c>
      <c r="BJ146" s="2">
        <f t="shared" si="388"/>
        <v>105</v>
      </c>
      <c r="BK146" s="57">
        <f t="shared" si="300"/>
        <v>417737</v>
      </c>
      <c r="BL146" s="62">
        <f t="shared" si="441"/>
        <v>24611.465414800299</v>
      </c>
      <c r="BM146" s="2">
        <f t="shared" si="389"/>
        <v>104</v>
      </c>
      <c r="BN146" s="57">
        <f t="shared" si="304"/>
        <v>437677</v>
      </c>
      <c r="BO146" s="62">
        <f t="shared" si="445"/>
        <v>26838.610892478853</v>
      </c>
      <c r="BP146" s="2">
        <f t="shared" si="390"/>
        <v>103</v>
      </c>
      <c r="BQ146" s="57">
        <f t="shared" si="308"/>
        <v>458568</v>
      </c>
      <c r="BR146" s="62">
        <f t="shared" si="447"/>
        <v>29267.244357251293</v>
      </c>
      <c r="BS146" s="2">
        <f t="shared" si="391"/>
        <v>102</v>
      </c>
      <c r="BT146" s="57">
        <f t="shared" si="312"/>
        <v>480456</v>
      </c>
      <c r="BU146" s="62">
        <f t="shared" si="452"/>
        <v>31915.634938026451</v>
      </c>
      <c r="BV146" s="2">
        <f t="shared" si="392"/>
        <v>101</v>
      </c>
      <c r="BW146" s="57">
        <f t="shared" si="316"/>
        <v>503389</v>
      </c>
      <c r="BX146" s="62">
        <f t="shared" si="455"/>
        <v>34803.696112963975</v>
      </c>
      <c r="BY146" s="2">
        <f t="shared" si="393"/>
        <v>100</v>
      </c>
      <c r="BZ146" s="57">
        <f t="shared" si="320"/>
        <v>527417</v>
      </c>
      <c r="CA146" s="62">
        <f t="shared" si="459"/>
        <v>37953.125819297682</v>
      </c>
      <c r="CB146" s="2">
        <f t="shared" si="394"/>
        <v>99</v>
      </c>
      <c r="CC146" s="57">
        <f t="shared" si="324"/>
        <v>552592</v>
      </c>
      <c r="CD146" s="62">
        <f t="shared" si="463"/>
        <v>41387.557641426931</v>
      </c>
      <c r="CE146" s="2">
        <f t="shared" si="395"/>
        <v>98</v>
      </c>
      <c r="CF146" s="57">
        <f t="shared" si="328"/>
        <v>578968</v>
      </c>
      <c r="CG146" s="62">
        <f t="shared" si="468"/>
        <v>45132.723891387184</v>
      </c>
      <c r="CH146" s="2">
        <v>97</v>
      </c>
      <c r="CI146" s="57">
        <f t="shared" si="332"/>
        <v>606603</v>
      </c>
      <c r="CJ146" s="62">
        <f t="shared" si="472"/>
        <v>49216.793722114526</v>
      </c>
      <c r="CK146" s="2">
        <v>96</v>
      </c>
      <c r="CL146" s="57">
        <f t="shared" si="336"/>
        <v>635558</v>
      </c>
      <c r="CM146" s="62">
        <f t="shared" ref="CM146:CM163" si="475">SUM($G$10*$G$11*CL146*(EXP(-($G$10*CK146))),$G$10*$G$11*CL146*(EXP(-($G$10*(CK146+0.1)))),$G$10*$G$11*CL146*(EXP(-($G$10*(CK146+0.2)))),$G$10*$G$11*CL146*(EXP(-($G$10*(CK146+0.3)))),$G$10*$G$11*CL146*(EXP(-($G$10*(CK146+0.4)))),$G$10*$G$11*CL146*(EXP(-($G$10*(CK146+0.5)))),$G$10*$G$11*CL146*(EXP(-($G$10*(CK146+0.6)))),$G$10*$G$11*CL146*(EXP(-($G$10*(CK146+0.7)))),$G$10*$G$11*CL146*(EXP(-($G$10*(CK146+0.8)))),$G$10*$G$11*CL146*(EXP(-($G$10*(CK146+0.9)))))/10</f>
        <v>53670.51132867932</v>
      </c>
      <c r="CN146" s="2">
        <v>95</v>
      </c>
      <c r="CO146" s="57">
        <f t="shared" si="340"/>
        <v>665894</v>
      </c>
      <c r="CP146" s="62">
        <f t="shared" si="341"/>
        <v>58527.156426606365</v>
      </c>
      <c r="CQ146" s="2">
        <v>94</v>
      </c>
      <c r="CR146" s="57">
        <f t="shared" si="344"/>
        <v>697679</v>
      </c>
      <c r="CS146" s="62">
        <f t="shared" si="345"/>
        <v>63823.3730384761</v>
      </c>
      <c r="CT146" s="2">
        <v>93</v>
      </c>
      <c r="CU146" s="57">
        <f t="shared" si="348"/>
        <v>730980</v>
      </c>
      <c r="CV146" s="62">
        <f t="shared" si="349"/>
        <v>69598.739728373912</v>
      </c>
      <c r="CW146" s="2">
        <v>92</v>
      </c>
      <c r="CX146" s="57">
        <f t="shared" si="352"/>
        <v>765871</v>
      </c>
      <c r="CY146" s="62">
        <f t="shared" si="353"/>
        <v>75896.768556259311</v>
      </c>
      <c r="CZ146" s="2">
        <v>91</v>
      </c>
      <c r="DA146" s="57">
        <f t="shared" si="196"/>
        <v>0</v>
      </c>
      <c r="DB146" s="62">
        <f t="shared" si="355"/>
        <v>0</v>
      </c>
      <c r="DC146" s="2">
        <v>90</v>
      </c>
      <c r="DD146" s="57">
        <f t="shared" si="202"/>
        <v>0</v>
      </c>
      <c r="DE146" s="62">
        <f t="shared" si="358"/>
        <v>0</v>
      </c>
      <c r="DF146" s="2">
        <v>89</v>
      </c>
      <c r="DG146" s="57">
        <f t="shared" si="209"/>
        <v>0</v>
      </c>
      <c r="DH146" s="62">
        <f t="shared" si="361"/>
        <v>0</v>
      </c>
      <c r="DI146" s="2">
        <v>88</v>
      </c>
      <c r="DJ146" s="57">
        <f t="shared" si="215"/>
        <v>0</v>
      </c>
      <c r="DK146" s="62">
        <f t="shared" si="364"/>
        <v>0</v>
      </c>
      <c r="DL146" s="2">
        <v>87</v>
      </c>
      <c r="DM146" s="57">
        <f t="shared" si="222"/>
        <v>0</v>
      </c>
      <c r="DN146" s="62">
        <f t="shared" si="367"/>
        <v>0</v>
      </c>
      <c r="DO146" s="2">
        <v>86</v>
      </c>
      <c r="DP146" s="57">
        <f t="shared" si="227"/>
        <v>0</v>
      </c>
      <c r="DQ146" s="62">
        <f t="shared" si="396"/>
        <v>0</v>
      </c>
      <c r="DR146" s="2">
        <v>85</v>
      </c>
      <c r="DS146" s="57">
        <f t="shared" si="234"/>
        <v>0</v>
      </c>
      <c r="DT146" s="62">
        <f t="shared" si="399"/>
        <v>0</v>
      </c>
      <c r="DU146" s="2">
        <v>84</v>
      </c>
      <c r="DV146" s="57">
        <f t="shared" si="239"/>
        <v>0</v>
      </c>
      <c r="DW146" s="62">
        <f t="shared" si="402"/>
        <v>0</v>
      </c>
      <c r="DX146" s="2">
        <v>83</v>
      </c>
      <c r="DY146" s="57">
        <f t="shared" si="245"/>
        <v>0</v>
      </c>
      <c r="DZ146" s="62">
        <f t="shared" si="405"/>
        <v>0</v>
      </c>
      <c r="EA146" s="2">
        <f t="shared" si="448"/>
        <v>82</v>
      </c>
      <c r="EB146" s="57">
        <f t="shared" si="411"/>
        <v>0</v>
      </c>
      <c r="EC146" s="62">
        <f t="shared" si="408"/>
        <v>0</v>
      </c>
      <c r="ED146" s="2">
        <f t="shared" si="453"/>
        <v>81</v>
      </c>
      <c r="EE146" s="57">
        <f t="shared" si="415"/>
        <v>0</v>
      </c>
      <c r="EF146" s="62">
        <f t="shared" si="412"/>
        <v>0</v>
      </c>
      <c r="EG146" s="2">
        <f t="shared" si="456"/>
        <v>80</v>
      </c>
      <c r="EH146" s="57">
        <f t="shared" si="419"/>
        <v>0</v>
      </c>
      <c r="EI146" s="62">
        <f t="shared" si="416"/>
        <v>0</v>
      </c>
      <c r="EJ146" s="2">
        <f t="shared" si="460"/>
        <v>79</v>
      </c>
      <c r="EK146" s="57">
        <f t="shared" si="423"/>
        <v>0</v>
      </c>
      <c r="EL146" s="62">
        <f t="shared" si="420"/>
        <v>0</v>
      </c>
      <c r="EM146" s="2">
        <f t="shared" si="464"/>
        <v>78</v>
      </c>
      <c r="EN146" s="57">
        <f t="shared" si="427"/>
        <v>0</v>
      </c>
      <c r="EO146" s="62">
        <f t="shared" si="424"/>
        <v>0</v>
      </c>
      <c r="EP146" s="2">
        <f t="shared" si="469"/>
        <v>77</v>
      </c>
      <c r="EQ146" s="57">
        <f t="shared" si="431"/>
        <v>0</v>
      </c>
      <c r="ER146" s="62">
        <f t="shared" si="428"/>
        <v>0</v>
      </c>
      <c r="ES146" s="2">
        <f t="shared" si="473"/>
        <v>76</v>
      </c>
      <c r="ET146" s="57">
        <f t="shared" si="432"/>
        <v>0</v>
      </c>
      <c r="EU146" s="62">
        <f t="shared" si="433"/>
        <v>0</v>
      </c>
      <c r="EV146" s="2">
        <f t="shared" ref="EV146:EV163" si="476">IF(EV145="","",(EV145+1))</f>
        <v>75</v>
      </c>
      <c r="EW146" s="57">
        <f t="shared" si="436"/>
        <v>0</v>
      </c>
      <c r="EX146" s="62">
        <f t="shared" si="437"/>
        <v>0</v>
      </c>
      <c r="EY146" s="2">
        <v>74</v>
      </c>
      <c r="EZ146" s="57">
        <f t="shared" si="442"/>
        <v>0</v>
      </c>
      <c r="FA146" s="62">
        <f t="shared" si="440"/>
        <v>0</v>
      </c>
      <c r="FB146" s="2">
        <v>73</v>
      </c>
      <c r="FC146" s="57">
        <f t="shared" si="443"/>
        <v>0</v>
      </c>
      <c r="FD146" s="62">
        <f t="shared" si="444"/>
        <v>0</v>
      </c>
      <c r="FE146" s="2">
        <v>72</v>
      </c>
      <c r="FF146" s="57">
        <f t="shared" si="449"/>
        <v>0</v>
      </c>
      <c r="FG146" s="62">
        <f t="shared" si="446"/>
        <v>0</v>
      </c>
      <c r="FH146" s="2">
        <v>71</v>
      </c>
      <c r="FI146" s="57">
        <f t="shared" si="450"/>
        <v>0</v>
      </c>
      <c r="FJ146" s="62">
        <f t="shared" si="451"/>
        <v>0</v>
      </c>
      <c r="FK146" s="2">
        <v>70</v>
      </c>
      <c r="FL146" s="57">
        <f t="shared" si="457"/>
        <v>0</v>
      </c>
      <c r="FM146" s="62">
        <f t="shared" si="454"/>
        <v>0</v>
      </c>
      <c r="FN146" s="2">
        <v>69</v>
      </c>
      <c r="FO146" s="57">
        <f t="shared" si="461"/>
        <v>0</v>
      </c>
      <c r="FP146" s="62">
        <f t="shared" si="458"/>
        <v>0</v>
      </c>
      <c r="FQ146" s="2">
        <v>68</v>
      </c>
      <c r="FR146" s="57">
        <f t="shared" si="465"/>
        <v>0</v>
      </c>
      <c r="FS146" s="62">
        <f t="shared" si="462"/>
        <v>0</v>
      </c>
      <c r="FT146" s="2">
        <v>67</v>
      </c>
      <c r="FU146" s="57">
        <f t="shared" si="466"/>
        <v>0</v>
      </c>
      <c r="FV146" s="62">
        <f t="shared" si="467"/>
        <v>0</v>
      </c>
      <c r="FW146" s="2">
        <v>66</v>
      </c>
      <c r="FX146" s="57">
        <f t="shared" si="470"/>
        <v>0</v>
      </c>
      <c r="FY146" s="62">
        <f t="shared" si="471"/>
        <v>0</v>
      </c>
      <c r="FZ146" s="2">
        <v>65</v>
      </c>
      <c r="GA146" s="57">
        <f t="shared" ref="GA146:GA163" si="477">$E$80</f>
        <v>0</v>
      </c>
      <c r="GB146" s="62">
        <f t="shared" si="474"/>
        <v>0</v>
      </c>
      <c r="GC146" s="2">
        <v>64</v>
      </c>
      <c r="GD146" s="57">
        <f t="shared" ref="GD146:GD162" si="478">$E$81</f>
        <v>0</v>
      </c>
      <c r="GE146" s="62">
        <f t="shared" ref="GE146:GE163" si="479">SUM($G$10*$G$11*GD146*(EXP(-($G$10*GC146))),$G$10*$G$11*GD146*(EXP(-($G$10*(GC146+0.1)))),$G$10*$G$11*GD146*(EXP(-($G$10*(GC146+0.2)))),$G$10*$G$11*GD146*(EXP(-($G$10*(GC146+0.3)))),$G$10*$G$11*GD146*(EXP(-($G$10*(GC146+0.4)))),$G$10*$G$11*GD146*(EXP(-($G$10*(GC146+0.5)))),$G$10*$G$11*GD146*(EXP(-($G$10*(GC146+0.6)))),$G$10*$G$11*GD146*(EXP(-($G$10*(GC146+0.7)))),$G$10*$G$11*GD146*(EXP(-($G$10*(GC146+0.8)))),$G$10*$G$11*GD146*(EXP(-($G$10*(GC146+0.9)))))/10</f>
        <v>0</v>
      </c>
      <c r="GF146" s="2">
        <v>63</v>
      </c>
      <c r="GG146" s="57">
        <f t="shared" si="185"/>
        <v>0</v>
      </c>
      <c r="GH146" s="62">
        <f t="shared" si="342"/>
        <v>0</v>
      </c>
      <c r="GI146" s="2">
        <v>62</v>
      </c>
      <c r="GJ146" s="57">
        <f t="shared" si="186"/>
        <v>0</v>
      </c>
      <c r="GK146" s="62">
        <f t="shared" si="346"/>
        <v>0</v>
      </c>
      <c r="GL146" s="2">
        <v>61</v>
      </c>
      <c r="GM146" s="57">
        <f t="shared" si="193"/>
        <v>0</v>
      </c>
      <c r="GN146" s="62">
        <f t="shared" si="350"/>
        <v>0</v>
      </c>
      <c r="GO146" s="2">
        <v>60</v>
      </c>
      <c r="GP146" s="57">
        <f t="shared" si="194"/>
        <v>0</v>
      </c>
      <c r="GQ146" s="62">
        <f t="shared" si="354"/>
        <v>0</v>
      </c>
      <c r="GR146" s="2">
        <v>59</v>
      </c>
      <c r="GS146" s="57">
        <f t="shared" si="204"/>
        <v>0</v>
      </c>
      <c r="GT146" s="62">
        <f t="shared" si="356"/>
        <v>0</v>
      </c>
      <c r="GU146" s="2">
        <v>58</v>
      </c>
      <c r="GV146" s="57">
        <f t="shared" si="205"/>
        <v>0</v>
      </c>
      <c r="GW146" s="62">
        <f t="shared" si="359"/>
        <v>0</v>
      </c>
      <c r="GX146" s="2">
        <v>57</v>
      </c>
      <c r="GY146" s="57">
        <f t="shared" si="217"/>
        <v>0</v>
      </c>
      <c r="GZ146" s="62">
        <f t="shared" si="362"/>
        <v>0</v>
      </c>
      <c r="HA146" s="2">
        <v>56</v>
      </c>
      <c r="HB146" s="57">
        <f t="shared" si="218"/>
        <v>0</v>
      </c>
      <c r="HC146" s="62">
        <f t="shared" si="365"/>
        <v>0</v>
      </c>
      <c r="HD146" s="2">
        <v>55</v>
      </c>
      <c r="HE146" s="57">
        <f t="shared" si="229"/>
        <v>0</v>
      </c>
      <c r="HF146" s="62">
        <f t="shared" si="368"/>
        <v>0</v>
      </c>
      <c r="HG146" s="2">
        <v>54</v>
      </c>
      <c r="HH146" s="57">
        <f t="shared" si="230"/>
        <v>0</v>
      </c>
      <c r="HI146" s="62">
        <f t="shared" si="397"/>
        <v>0</v>
      </c>
      <c r="HJ146" s="2">
        <v>53</v>
      </c>
      <c r="HK146" s="57">
        <f t="shared" si="241"/>
        <v>0</v>
      </c>
      <c r="HL146" s="62">
        <f t="shared" si="400"/>
        <v>0</v>
      </c>
      <c r="HM146" s="2">
        <v>52</v>
      </c>
      <c r="HN146" s="57">
        <f t="shared" si="247"/>
        <v>0</v>
      </c>
      <c r="HO146" s="62">
        <f t="shared" si="403"/>
        <v>0</v>
      </c>
      <c r="HP146" s="2">
        <v>51</v>
      </c>
      <c r="HQ146" s="57">
        <f t="shared" si="248"/>
        <v>0</v>
      </c>
      <c r="HR146" s="62">
        <f t="shared" si="406"/>
        <v>0</v>
      </c>
      <c r="HS146" s="2">
        <v>50</v>
      </c>
      <c r="HT146" s="57">
        <f t="shared" si="257"/>
        <v>0</v>
      </c>
      <c r="HU146" s="62">
        <f t="shared" si="409"/>
        <v>0</v>
      </c>
      <c r="HV146" s="2">
        <v>49</v>
      </c>
      <c r="HW146" s="57">
        <f t="shared" si="258"/>
        <v>0</v>
      </c>
      <c r="HX146" s="62">
        <f t="shared" si="413"/>
        <v>0</v>
      </c>
      <c r="HY146" s="2">
        <v>48</v>
      </c>
      <c r="HZ146" s="57">
        <f t="shared" si="268"/>
        <v>0</v>
      </c>
      <c r="IA146" s="62">
        <f t="shared" si="417"/>
        <v>0</v>
      </c>
      <c r="IB146" s="2">
        <v>47</v>
      </c>
      <c r="IC146" s="57">
        <f t="shared" si="274"/>
        <v>0</v>
      </c>
      <c r="ID146" s="62">
        <f t="shared" si="421"/>
        <v>0</v>
      </c>
      <c r="IE146" s="2">
        <v>46</v>
      </c>
      <c r="IF146" s="57">
        <f t="shared" si="280"/>
        <v>0</v>
      </c>
      <c r="IG146" s="62">
        <f t="shared" si="425"/>
        <v>0</v>
      </c>
      <c r="IH146" s="2">
        <v>45</v>
      </c>
      <c r="II146" s="57">
        <f t="shared" si="281"/>
        <v>0</v>
      </c>
      <c r="IJ146" s="62">
        <f t="shared" si="429"/>
        <v>0</v>
      </c>
      <c r="IK146" s="2">
        <v>44</v>
      </c>
      <c r="IL146" s="57">
        <f t="shared" si="292"/>
        <v>0</v>
      </c>
      <c r="IM146" s="62">
        <f t="shared" si="434"/>
        <v>0</v>
      </c>
      <c r="IN146" s="2">
        <v>43</v>
      </c>
      <c r="IO146" s="57">
        <f t="shared" si="293"/>
        <v>0</v>
      </c>
      <c r="IP146" s="62">
        <f t="shared" si="438"/>
        <v>0</v>
      </c>
    </row>
    <row r="147" spans="7:250">
      <c r="G147" s="284"/>
      <c r="H147" s="284"/>
      <c r="I147" s="2">
        <f t="shared" si="369"/>
        <v>2142</v>
      </c>
      <c r="J147" s="379">
        <f t="shared" si="264"/>
        <v>821645.48186238366</v>
      </c>
      <c r="K147" s="2">
        <f t="shared" si="370"/>
        <v>123</v>
      </c>
      <c r="L147" s="57">
        <f t="shared" si="200"/>
        <v>189082</v>
      </c>
      <c r="M147" s="62">
        <f t="shared" si="357"/>
        <v>5422.4142162656572</v>
      </c>
      <c r="N147" s="2">
        <f t="shared" si="371"/>
        <v>122</v>
      </c>
      <c r="O147" s="57">
        <f t="shared" si="207"/>
        <v>293489</v>
      </c>
      <c r="P147" s="62">
        <f t="shared" si="360"/>
        <v>8760.04042874894</v>
      </c>
      <c r="Q147" s="2">
        <f t="shared" si="372"/>
        <v>121</v>
      </c>
      <c r="R147" s="57">
        <f t="shared" si="213"/>
        <v>283523</v>
      </c>
      <c r="S147" s="62">
        <f t="shared" si="363"/>
        <v>8807.9401889116434</v>
      </c>
      <c r="T147" s="2">
        <f t="shared" si="373"/>
        <v>120</v>
      </c>
      <c r="U147" s="57">
        <f t="shared" si="220"/>
        <v>143321</v>
      </c>
      <c r="V147" s="62">
        <f t="shared" si="366"/>
        <v>4634.1242115238756</v>
      </c>
      <c r="W147" s="2">
        <f t="shared" si="374"/>
        <v>119</v>
      </c>
      <c r="X147" s="57">
        <f t="shared" si="225"/>
        <v>227851</v>
      </c>
      <c r="Y147" s="62">
        <f t="shared" si="375"/>
        <v>7667.9727142395759</v>
      </c>
      <c r="Z147" s="2">
        <f t="shared" si="376"/>
        <v>118</v>
      </c>
      <c r="AA147" s="57">
        <f t="shared" si="232"/>
        <v>238727</v>
      </c>
      <c r="AB147" s="62">
        <f t="shared" si="398"/>
        <v>8361.860915496638</v>
      </c>
      <c r="AC147" s="2">
        <f t="shared" si="377"/>
        <v>117</v>
      </c>
      <c r="AD147" s="57">
        <f t="shared" si="237"/>
        <v>250122</v>
      </c>
      <c r="AE147" s="62">
        <f t="shared" si="401"/>
        <v>9118.5350350342705</v>
      </c>
      <c r="AF147" s="2">
        <f t="shared" si="378"/>
        <v>116</v>
      </c>
      <c r="AG147" s="57">
        <f t="shared" si="243"/>
        <v>262060</v>
      </c>
      <c r="AH147" s="62">
        <f t="shared" si="404"/>
        <v>9943.6469067532671</v>
      </c>
      <c r="AI147" s="2">
        <f t="shared" si="379"/>
        <v>115</v>
      </c>
      <c r="AJ147" s="57">
        <f t="shared" si="250"/>
        <v>274569</v>
      </c>
      <c r="AK147" s="62">
        <f t="shared" si="407"/>
        <v>10843.468918099763</v>
      </c>
      <c r="AL147" s="2">
        <f t="shared" si="380"/>
        <v>114</v>
      </c>
      <c r="AM147" s="57">
        <f t="shared" si="254"/>
        <v>287675</v>
      </c>
      <c r="AN147" s="62">
        <f t="shared" si="410"/>
        <v>11824.713797816756</v>
      </c>
      <c r="AO147" s="2">
        <f t="shared" si="381"/>
        <v>113</v>
      </c>
      <c r="AP147" s="57">
        <f t="shared" si="260"/>
        <v>301406</v>
      </c>
      <c r="AQ147" s="62">
        <f t="shared" si="414"/>
        <v>12894.728098796801</v>
      </c>
      <c r="AR147" s="2">
        <f t="shared" si="382"/>
        <v>112</v>
      </c>
      <c r="AS147" s="57">
        <f t="shared" si="265"/>
        <v>315793</v>
      </c>
      <c r="AT147" s="62">
        <f t="shared" si="418"/>
        <v>14061.594627944389</v>
      </c>
      <c r="AU147" s="2">
        <f t="shared" si="383"/>
        <v>111</v>
      </c>
      <c r="AV147" s="57">
        <f t="shared" si="271"/>
        <v>330866</v>
      </c>
      <c r="AW147" s="62">
        <f t="shared" si="422"/>
        <v>15334.018932399678</v>
      </c>
      <c r="AX147" s="2">
        <f t="shared" si="384"/>
        <v>110</v>
      </c>
      <c r="AY147" s="57">
        <f t="shared" si="277"/>
        <v>346659</v>
      </c>
      <c r="AZ147" s="62">
        <f t="shared" si="426"/>
        <v>16721.610889296004</v>
      </c>
      <c r="BA147" s="2">
        <f t="shared" si="385"/>
        <v>109</v>
      </c>
      <c r="BB147" s="57">
        <f t="shared" si="284"/>
        <v>363206</v>
      </c>
      <c r="BC147" s="62">
        <f t="shared" si="430"/>
        <v>18234.775754368329</v>
      </c>
      <c r="BD147" s="2">
        <f t="shared" si="386"/>
        <v>108</v>
      </c>
      <c r="BE147" s="57">
        <f t="shared" si="289"/>
        <v>380542</v>
      </c>
      <c r="BF147" s="62">
        <f t="shared" si="435"/>
        <v>19884.825686053948</v>
      </c>
      <c r="BG147" s="2">
        <f t="shared" si="387"/>
        <v>107</v>
      </c>
      <c r="BH147" s="57">
        <f t="shared" si="296"/>
        <v>398706</v>
      </c>
      <c r="BI147" s="62">
        <f t="shared" si="439"/>
        <v>21684.216884800691</v>
      </c>
      <c r="BJ147" s="2">
        <f t="shared" si="388"/>
        <v>106</v>
      </c>
      <c r="BK147" s="57">
        <f t="shared" si="300"/>
        <v>417737</v>
      </c>
      <c r="BL147" s="62">
        <f t="shared" si="441"/>
        <v>23646.436052602781</v>
      </c>
      <c r="BM147" s="2">
        <f t="shared" si="389"/>
        <v>105</v>
      </c>
      <c r="BN147" s="57">
        <f t="shared" si="304"/>
        <v>437677</v>
      </c>
      <c r="BO147" s="62">
        <f t="shared" si="445"/>
        <v>25786.253907012193</v>
      </c>
      <c r="BP147" s="2">
        <f t="shared" si="390"/>
        <v>104</v>
      </c>
      <c r="BQ147" s="57">
        <f t="shared" si="308"/>
        <v>458568</v>
      </c>
      <c r="BR147" s="62">
        <f t="shared" si="447"/>
        <v>28119.65929153746</v>
      </c>
      <c r="BS147" s="2">
        <f t="shared" si="391"/>
        <v>103</v>
      </c>
      <c r="BT147" s="57">
        <f t="shared" si="312"/>
        <v>480456</v>
      </c>
      <c r="BU147" s="62">
        <f t="shared" si="452"/>
        <v>30664.204992296727</v>
      </c>
      <c r="BV147" s="2">
        <f t="shared" si="392"/>
        <v>102</v>
      </c>
      <c r="BW147" s="57">
        <f t="shared" si="316"/>
        <v>503389</v>
      </c>
      <c r="BX147" s="62">
        <f t="shared" si="455"/>
        <v>33439.023668802554</v>
      </c>
      <c r="BY147" s="2">
        <f t="shared" si="393"/>
        <v>101</v>
      </c>
      <c r="BZ147" s="57">
        <f t="shared" si="320"/>
        <v>527417</v>
      </c>
      <c r="CA147" s="62">
        <f t="shared" si="459"/>
        <v>36464.962470000588</v>
      </c>
      <c r="CB147" s="2">
        <f t="shared" si="394"/>
        <v>100</v>
      </c>
      <c r="CC147" s="57">
        <f t="shared" si="324"/>
        <v>552592</v>
      </c>
      <c r="CD147" s="62">
        <f t="shared" si="463"/>
        <v>39764.728294191023</v>
      </c>
      <c r="CE147" s="2">
        <f t="shared" si="395"/>
        <v>99</v>
      </c>
      <c r="CF147" s="57">
        <f t="shared" si="328"/>
        <v>578968</v>
      </c>
      <c r="CG147" s="62">
        <f t="shared" si="468"/>
        <v>43363.044475022551</v>
      </c>
      <c r="CH147" s="2">
        <v>98</v>
      </c>
      <c r="CI147" s="57">
        <f t="shared" si="332"/>
        <v>606603</v>
      </c>
      <c r="CJ147" s="62">
        <f t="shared" si="472"/>
        <v>47286.975637145988</v>
      </c>
      <c r="CK147" s="2">
        <v>97</v>
      </c>
      <c r="CL147" s="57">
        <f t="shared" si="336"/>
        <v>635558</v>
      </c>
      <c r="CM147" s="62">
        <f t="shared" si="475"/>
        <v>51566.060478500207</v>
      </c>
      <c r="CN147" s="2">
        <v>96</v>
      </c>
      <c r="CO147" s="57">
        <f t="shared" si="340"/>
        <v>665894</v>
      </c>
      <c r="CP147" s="62">
        <f t="shared" ref="CP147:CP163" si="480">SUM($G$10*$G$11*CO147*(EXP(-($G$10*CN147))),$G$10*$G$11*CO147*(EXP(-($G$10*(CN147+0.1)))),$G$10*$G$11*CO147*(EXP(-($G$10*(CN147+0.2)))),$G$10*$G$11*CO147*(EXP(-($G$10*(CN147+0.3)))),$G$10*$G$11*CO147*(EXP(-($G$10*(CN147+0.4)))),$G$10*$G$11*CO147*(EXP(-($G$10*(CN147+0.5)))),$G$10*$G$11*CO147*(EXP(-($G$10*(CN147+0.6)))),$G$10*$G$11*CO147*(EXP(-($G$10*(CN147+0.7)))),$G$10*$G$11*CO147*(EXP(-($G$10*(CN147+0.8)))),$G$10*$G$11*CO147*(EXP(-($G$10*(CN147+0.9)))))/10</f>
        <v>56232.273798299429</v>
      </c>
      <c r="CQ147" s="2">
        <v>95</v>
      </c>
      <c r="CR147" s="57">
        <f t="shared" si="344"/>
        <v>697679</v>
      </c>
      <c r="CS147" s="62">
        <f t="shared" si="345"/>
        <v>61320.822786446937</v>
      </c>
      <c r="CT147" s="2">
        <v>94</v>
      </c>
      <c r="CU147" s="57">
        <f t="shared" si="348"/>
        <v>730980</v>
      </c>
      <c r="CV147" s="62">
        <f t="shared" si="349"/>
        <v>66869.734109332872</v>
      </c>
      <c r="CW147" s="2">
        <v>93</v>
      </c>
      <c r="CX147" s="57">
        <f t="shared" si="352"/>
        <v>765871</v>
      </c>
      <c r="CY147" s="62">
        <f t="shared" si="353"/>
        <v>72920.813694642056</v>
      </c>
      <c r="CZ147" s="2">
        <v>92</v>
      </c>
      <c r="DA147" s="57">
        <f t="shared" si="196"/>
        <v>0</v>
      </c>
      <c r="DB147" s="62">
        <f t="shared" si="355"/>
        <v>0</v>
      </c>
      <c r="DC147" s="2">
        <v>91</v>
      </c>
      <c r="DD147" s="57">
        <f t="shared" si="202"/>
        <v>0</v>
      </c>
      <c r="DE147" s="62">
        <f t="shared" si="358"/>
        <v>0</v>
      </c>
      <c r="DF147" s="2">
        <v>90</v>
      </c>
      <c r="DG147" s="57">
        <f t="shared" si="209"/>
        <v>0</v>
      </c>
      <c r="DH147" s="62">
        <f t="shared" si="361"/>
        <v>0</v>
      </c>
      <c r="DI147" s="2">
        <v>89</v>
      </c>
      <c r="DJ147" s="57">
        <f t="shared" si="215"/>
        <v>0</v>
      </c>
      <c r="DK147" s="62">
        <f t="shared" si="364"/>
        <v>0</v>
      </c>
      <c r="DL147" s="2">
        <v>88</v>
      </c>
      <c r="DM147" s="57">
        <f t="shared" si="222"/>
        <v>0</v>
      </c>
      <c r="DN147" s="62">
        <f t="shared" si="367"/>
        <v>0</v>
      </c>
      <c r="DO147" s="2">
        <v>87</v>
      </c>
      <c r="DP147" s="57">
        <f t="shared" si="227"/>
        <v>0</v>
      </c>
      <c r="DQ147" s="62">
        <f t="shared" si="396"/>
        <v>0</v>
      </c>
      <c r="DR147" s="2">
        <v>86</v>
      </c>
      <c r="DS147" s="57">
        <f t="shared" si="234"/>
        <v>0</v>
      </c>
      <c r="DT147" s="62">
        <f t="shared" si="399"/>
        <v>0</v>
      </c>
      <c r="DU147" s="2">
        <v>85</v>
      </c>
      <c r="DV147" s="57">
        <f t="shared" si="239"/>
        <v>0</v>
      </c>
      <c r="DW147" s="62">
        <f t="shared" si="402"/>
        <v>0</v>
      </c>
      <c r="DX147" s="2">
        <v>84</v>
      </c>
      <c r="DY147" s="57">
        <f t="shared" si="245"/>
        <v>0</v>
      </c>
      <c r="DZ147" s="62">
        <f t="shared" si="405"/>
        <v>0</v>
      </c>
      <c r="EA147" s="2">
        <f t="shared" si="448"/>
        <v>83</v>
      </c>
      <c r="EB147" s="57">
        <f t="shared" si="411"/>
        <v>0</v>
      </c>
      <c r="EC147" s="62">
        <f t="shared" si="408"/>
        <v>0</v>
      </c>
      <c r="ED147" s="2">
        <f t="shared" si="453"/>
        <v>82</v>
      </c>
      <c r="EE147" s="57">
        <f t="shared" si="415"/>
        <v>0</v>
      </c>
      <c r="EF147" s="62">
        <f t="shared" si="412"/>
        <v>0</v>
      </c>
      <c r="EG147" s="2">
        <f t="shared" si="456"/>
        <v>81</v>
      </c>
      <c r="EH147" s="57">
        <f t="shared" si="419"/>
        <v>0</v>
      </c>
      <c r="EI147" s="62">
        <f t="shared" si="416"/>
        <v>0</v>
      </c>
      <c r="EJ147" s="2">
        <f t="shared" si="460"/>
        <v>80</v>
      </c>
      <c r="EK147" s="57">
        <f t="shared" si="423"/>
        <v>0</v>
      </c>
      <c r="EL147" s="62">
        <f t="shared" si="420"/>
        <v>0</v>
      </c>
      <c r="EM147" s="2">
        <f t="shared" si="464"/>
        <v>79</v>
      </c>
      <c r="EN147" s="57">
        <f t="shared" si="427"/>
        <v>0</v>
      </c>
      <c r="EO147" s="62">
        <f t="shared" si="424"/>
        <v>0</v>
      </c>
      <c r="EP147" s="2">
        <f t="shared" si="469"/>
        <v>78</v>
      </c>
      <c r="EQ147" s="57">
        <f t="shared" si="431"/>
        <v>0</v>
      </c>
      <c r="ER147" s="62">
        <f t="shared" si="428"/>
        <v>0</v>
      </c>
      <c r="ES147" s="2">
        <f t="shared" si="473"/>
        <v>77</v>
      </c>
      <c r="ET147" s="57">
        <f t="shared" si="432"/>
        <v>0</v>
      </c>
      <c r="EU147" s="62">
        <f t="shared" si="433"/>
        <v>0</v>
      </c>
      <c r="EV147" s="2">
        <f t="shared" si="476"/>
        <v>76</v>
      </c>
      <c r="EW147" s="57">
        <f t="shared" si="436"/>
        <v>0</v>
      </c>
      <c r="EX147" s="62">
        <f t="shared" si="437"/>
        <v>0</v>
      </c>
      <c r="EY147" s="2">
        <f t="shared" ref="EY147:EY163" si="481">IF(EY146="","",(EY146+1))</f>
        <v>75</v>
      </c>
      <c r="EZ147" s="57">
        <f t="shared" si="442"/>
        <v>0</v>
      </c>
      <c r="FA147" s="62">
        <f t="shared" si="440"/>
        <v>0</v>
      </c>
      <c r="FB147" s="2">
        <v>74</v>
      </c>
      <c r="FC147" s="57">
        <f t="shared" si="443"/>
        <v>0</v>
      </c>
      <c r="FD147" s="62">
        <f t="shared" si="444"/>
        <v>0</v>
      </c>
      <c r="FE147" s="2">
        <v>73</v>
      </c>
      <c r="FF147" s="57">
        <f t="shared" si="449"/>
        <v>0</v>
      </c>
      <c r="FG147" s="62">
        <f t="shared" si="446"/>
        <v>0</v>
      </c>
      <c r="FH147" s="2">
        <v>72</v>
      </c>
      <c r="FI147" s="57">
        <f t="shared" si="450"/>
        <v>0</v>
      </c>
      <c r="FJ147" s="62">
        <f t="shared" si="451"/>
        <v>0</v>
      </c>
      <c r="FK147" s="2">
        <v>71</v>
      </c>
      <c r="FL147" s="57">
        <f t="shared" si="457"/>
        <v>0</v>
      </c>
      <c r="FM147" s="62">
        <f t="shared" si="454"/>
        <v>0</v>
      </c>
      <c r="FN147" s="2">
        <v>70</v>
      </c>
      <c r="FO147" s="57">
        <f t="shared" si="461"/>
        <v>0</v>
      </c>
      <c r="FP147" s="62">
        <f t="shared" si="458"/>
        <v>0</v>
      </c>
      <c r="FQ147" s="2">
        <v>69</v>
      </c>
      <c r="FR147" s="57">
        <f t="shared" si="465"/>
        <v>0</v>
      </c>
      <c r="FS147" s="62">
        <f t="shared" si="462"/>
        <v>0</v>
      </c>
      <c r="FT147" s="2">
        <v>68</v>
      </c>
      <c r="FU147" s="57">
        <f t="shared" si="466"/>
        <v>0</v>
      </c>
      <c r="FV147" s="62">
        <f t="shared" si="467"/>
        <v>0</v>
      </c>
      <c r="FW147" s="2">
        <v>67</v>
      </c>
      <c r="FX147" s="57">
        <f t="shared" si="470"/>
        <v>0</v>
      </c>
      <c r="FY147" s="62">
        <f t="shared" si="471"/>
        <v>0</v>
      </c>
      <c r="FZ147" s="2">
        <v>66</v>
      </c>
      <c r="GA147" s="57">
        <f t="shared" si="477"/>
        <v>0</v>
      </c>
      <c r="GB147" s="62">
        <f t="shared" si="474"/>
        <v>0</v>
      </c>
      <c r="GC147" s="2">
        <v>65</v>
      </c>
      <c r="GD147" s="57">
        <f t="shared" si="478"/>
        <v>0</v>
      </c>
      <c r="GE147" s="62">
        <f t="shared" si="479"/>
        <v>0</v>
      </c>
      <c r="GF147" s="2">
        <v>64</v>
      </c>
      <c r="GG147" s="57">
        <f t="shared" si="185"/>
        <v>0</v>
      </c>
      <c r="GH147" s="62">
        <f t="shared" ref="GH147:GH163" si="482">SUM($G$10*$G$11*GG147*(EXP(-($G$10*GF147))),$G$10*$G$11*GG147*(EXP(-($G$10*(GF147+0.1)))),$G$10*$G$11*GG147*(EXP(-($G$10*(GF147+0.2)))),$G$10*$G$11*GG147*(EXP(-($G$10*(GF147+0.3)))),$G$10*$G$11*GG147*(EXP(-($G$10*(GF147+0.4)))),$G$10*$G$11*GG147*(EXP(-($G$10*(GF147+0.5)))),$G$10*$G$11*GG147*(EXP(-($G$10*(GF147+0.6)))),$G$10*$G$11*GG147*(EXP(-($G$10*(GF147+0.7)))),$G$10*$G$11*GG147*(EXP(-($G$10*(GF147+0.8)))),$G$10*$G$11*GG147*(EXP(-($G$10*(GF147+0.9)))))/10</f>
        <v>0</v>
      </c>
      <c r="GI147" s="2">
        <v>63</v>
      </c>
      <c r="GJ147" s="57">
        <f t="shared" si="186"/>
        <v>0</v>
      </c>
      <c r="GK147" s="62">
        <f t="shared" si="346"/>
        <v>0</v>
      </c>
      <c r="GL147" s="2">
        <v>62</v>
      </c>
      <c r="GM147" s="57">
        <f t="shared" si="193"/>
        <v>0</v>
      </c>
      <c r="GN147" s="62">
        <f t="shared" si="350"/>
        <v>0</v>
      </c>
      <c r="GO147" s="2">
        <v>61</v>
      </c>
      <c r="GP147" s="57">
        <f t="shared" si="194"/>
        <v>0</v>
      </c>
      <c r="GQ147" s="62">
        <f t="shared" si="354"/>
        <v>0</v>
      </c>
      <c r="GR147" s="2">
        <v>60</v>
      </c>
      <c r="GS147" s="57">
        <f t="shared" si="204"/>
        <v>0</v>
      </c>
      <c r="GT147" s="62">
        <f t="shared" si="356"/>
        <v>0</v>
      </c>
      <c r="GU147" s="2">
        <v>59</v>
      </c>
      <c r="GV147" s="57">
        <f t="shared" si="205"/>
        <v>0</v>
      </c>
      <c r="GW147" s="62">
        <f t="shared" si="359"/>
        <v>0</v>
      </c>
      <c r="GX147" s="2">
        <v>58</v>
      </c>
      <c r="GY147" s="57">
        <f t="shared" si="217"/>
        <v>0</v>
      </c>
      <c r="GZ147" s="62">
        <f t="shared" si="362"/>
        <v>0</v>
      </c>
      <c r="HA147" s="2">
        <v>57</v>
      </c>
      <c r="HB147" s="57">
        <f t="shared" si="218"/>
        <v>0</v>
      </c>
      <c r="HC147" s="62">
        <f t="shared" si="365"/>
        <v>0</v>
      </c>
      <c r="HD147" s="2">
        <v>56</v>
      </c>
      <c r="HE147" s="57">
        <f t="shared" si="229"/>
        <v>0</v>
      </c>
      <c r="HF147" s="62">
        <f t="shared" si="368"/>
        <v>0</v>
      </c>
      <c r="HG147" s="2">
        <v>55</v>
      </c>
      <c r="HH147" s="57">
        <f t="shared" si="230"/>
        <v>0</v>
      </c>
      <c r="HI147" s="62">
        <f t="shared" si="397"/>
        <v>0</v>
      </c>
      <c r="HJ147" s="2">
        <v>54</v>
      </c>
      <c r="HK147" s="57">
        <f t="shared" si="241"/>
        <v>0</v>
      </c>
      <c r="HL147" s="62">
        <f t="shared" si="400"/>
        <v>0</v>
      </c>
      <c r="HM147" s="2">
        <v>53</v>
      </c>
      <c r="HN147" s="57">
        <f t="shared" si="247"/>
        <v>0</v>
      </c>
      <c r="HO147" s="62">
        <f t="shared" si="403"/>
        <v>0</v>
      </c>
      <c r="HP147" s="2">
        <v>52</v>
      </c>
      <c r="HQ147" s="57">
        <f t="shared" si="248"/>
        <v>0</v>
      </c>
      <c r="HR147" s="62">
        <f t="shared" si="406"/>
        <v>0</v>
      </c>
      <c r="HS147" s="2">
        <v>51</v>
      </c>
      <c r="HT147" s="57">
        <f t="shared" si="257"/>
        <v>0</v>
      </c>
      <c r="HU147" s="62">
        <f t="shared" si="409"/>
        <v>0</v>
      </c>
      <c r="HV147" s="2">
        <v>50</v>
      </c>
      <c r="HW147" s="57">
        <f t="shared" si="258"/>
        <v>0</v>
      </c>
      <c r="HX147" s="62">
        <f t="shared" si="413"/>
        <v>0</v>
      </c>
      <c r="HY147" s="2">
        <v>49</v>
      </c>
      <c r="HZ147" s="57">
        <f t="shared" si="268"/>
        <v>0</v>
      </c>
      <c r="IA147" s="62">
        <f t="shared" si="417"/>
        <v>0</v>
      </c>
      <c r="IB147" s="2">
        <v>48</v>
      </c>
      <c r="IC147" s="57">
        <f t="shared" si="274"/>
        <v>0</v>
      </c>
      <c r="ID147" s="62">
        <f t="shared" si="421"/>
        <v>0</v>
      </c>
      <c r="IE147" s="2">
        <v>47</v>
      </c>
      <c r="IF147" s="57">
        <f t="shared" si="280"/>
        <v>0</v>
      </c>
      <c r="IG147" s="62">
        <f t="shared" si="425"/>
        <v>0</v>
      </c>
      <c r="IH147" s="2">
        <v>46</v>
      </c>
      <c r="II147" s="57">
        <f t="shared" si="281"/>
        <v>0</v>
      </c>
      <c r="IJ147" s="62">
        <f t="shared" si="429"/>
        <v>0</v>
      </c>
      <c r="IK147" s="2">
        <v>45</v>
      </c>
      <c r="IL147" s="57">
        <f t="shared" si="292"/>
        <v>0</v>
      </c>
      <c r="IM147" s="62">
        <f t="shared" si="434"/>
        <v>0</v>
      </c>
      <c r="IN147" s="2">
        <v>44</v>
      </c>
      <c r="IO147" s="57">
        <f t="shared" si="293"/>
        <v>0</v>
      </c>
      <c r="IP147" s="62">
        <f t="shared" si="438"/>
        <v>0</v>
      </c>
    </row>
    <row r="148" spans="7:250">
      <c r="G148" s="284"/>
      <c r="H148" s="284"/>
      <c r="I148" s="2">
        <f t="shared" si="369"/>
        <v>2143</v>
      </c>
      <c r="J148" s="379">
        <f t="shared" si="264"/>
        <v>789428.30170059996</v>
      </c>
      <c r="K148" s="2">
        <f t="shared" si="370"/>
        <v>124</v>
      </c>
      <c r="L148" s="57">
        <f t="shared" si="200"/>
        <v>189082</v>
      </c>
      <c r="M148" s="62">
        <f t="shared" si="357"/>
        <v>5209.7983136974635</v>
      </c>
      <c r="N148" s="2">
        <f t="shared" si="371"/>
        <v>123</v>
      </c>
      <c r="O148" s="57">
        <f t="shared" si="207"/>
        <v>293489</v>
      </c>
      <c r="P148" s="62">
        <f t="shared" si="360"/>
        <v>8416.5543304893708</v>
      </c>
      <c r="Q148" s="2">
        <f t="shared" si="372"/>
        <v>122</v>
      </c>
      <c r="R148" s="57">
        <f t="shared" si="213"/>
        <v>283523</v>
      </c>
      <c r="S148" s="62">
        <f t="shared" si="363"/>
        <v>8462.5759141916242</v>
      </c>
      <c r="T148" s="2">
        <f t="shared" si="373"/>
        <v>121</v>
      </c>
      <c r="U148" s="57">
        <f t="shared" si="220"/>
        <v>143321</v>
      </c>
      <c r="V148" s="62">
        <f t="shared" si="366"/>
        <v>4452.4176021522253</v>
      </c>
      <c r="W148" s="2">
        <f t="shared" si="374"/>
        <v>120</v>
      </c>
      <c r="X148" s="57">
        <f t="shared" si="225"/>
        <v>227851</v>
      </c>
      <c r="Y148" s="62">
        <f t="shared" si="375"/>
        <v>7367.3072035495597</v>
      </c>
      <c r="Z148" s="2">
        <f t="shared" si="376"/>
        <v>119</v>
      </c>
      <c r="AA148" s="57">
        <f t="shared" si="232"/>
        <v>238727</v>
      </c>
      <c r="AB148" s="62">
        <f t="shared" si="398"/>
        <v>8033.9876592697474</v>
      </c>
      <c r="AC148" s="2">
        <f t="shared" si="377"/>
        <v>118</v>
      </c>
      <c r="AD148" s="57">
        <f t="shared" si="237"/>
        <v>250122</v>
      </c>
      <c r="AE148" s="62">
        <f t="shared" si="401"/>
        <v>8760.9921622013862</v>
      </c>
      <c r="AF148" s="2">
        <f t="shared" si="378"/>
        <v>117</v>
      </c>
      <c r="AG148" s="57">
        <f t="shared" si="243"/>
        <v>262060</v>
      </c>
      <c r="AH148" s="62">
        <f t="shared" si="404"/>
        <v>9553.7509346682054</v>
      </c>
      <c r="AI148" s="2">
        <f t="shared" si="379"/>
        <v>116</v>
      </c>
      <c r="AJ148" s="57">
        <f t="shared" si="250"/>
        <v>274569</v>
      </c>
      <c r="AK148" s="62">
        <f t="shared" si="407"/>
        <v>10418.290420286719</v>
      </c>
      <c r="AL148" s="2">
        <f t="shared" si="380"/>
        <v>115</v>
      </c>
      <c r="AM148" s="57">
        <f t="shared" si="254"/>
        <v>287675</v>
      </c>
      <c r="AN148" s="62">
        <f t="shared" si="410"/>
        <v>11361.060137941098</v>
      </c>
      <c r="AO148" s="2">
        <f t="shared" si="381"/>
        <v>114</v>
      </c>
      <c r="AP148" s="57">
        <f t="shared" si="260"/>
        <v>301406</v>
      </c>
      <c r="AQ148" s="62">
        <f t="shared" si="414"/>
        <v>12389.118578064681</v>
      </c>
      <c r="AR148" s="2">
        <f t="shared" si="382"/>
        <v>113</v>
      </c>
      <c r="AS148" s="57">
        <f t="shared" si="265"/>
        <v>315793</v>
      </c>
      <c r="AT148" s="62">
        <f t="shared" si="418"/>
        <v>13510.231616170011</v>
      </c>
      <c r="AU148" s="2">
        <f t="shared" si="383"/>
        <v>112</v>
      </c>
      <c r="AV148" s="57">
        <f t="shared" si="271"/>
        <v>330866</v>
      </c>
      <c r="AW148" s="62">
        <f t="shared" si="422"/>
        <v>14732.763450011396</v>
      </c>
      <c r="AX148" s="2">
        <f t="shared" si="384"/>
        <v>111</v>
      </c>
      <c r="AY148" s="57">
        <f t="shared" si="277"/>
        <v>346659</v>
      </c>
      <c r="AZ148" s="62">
        <f t="shared" si="426"/>
        <v>16065.947148050085</v>
      </c>
      <c r="BA148" s="2">
        <f t="shared" si="385"/>
        <v>110</v>
      </c>
      <c r="BB148" s="57">
        <f t="shared" si="284"/>
        <v>363206</v>
      </c>
      <c r="BC148" s="62">
        <f t="shared" si="430"/>
        <v>17519.779970107928</v>
      </c>
      <c r="BD148" s="2">
        <f t="shared" si="386"/>
        <v>109</v>
      </c>
      <c r="BE148" s="57">
        <f t="shared" si="289"/>
        <v>380542</v>
      </c>
      <c r="BF148" s="62">
        <f t="shared" si="435"/>
        <v>19105.130518545491</v>
      </c>
      <c r="BG148" s="2">
        <f t="shared" si="387"/>
        <v>108</v>
      </c>
      <c r="BH148" s="57">
        <f t="shared" si="296"/>
        <v>398706</v>
      </c>
      <c r="BI148" s="62">
        <f t="shared" si="439"/>
        <v>20833.966579204989</v>
      </c>
      <c r="BJ148" s="2">
        <f t="shared" si="388"/>
        <v>107</v>
      </c>
      <c r="BK148" s="57">
        <f t="shared" si="300"/>
        <v>417737</v>
      </c>
      <c r="BL148" s="62">
        <f t="shared" si="441"/>
        <v>22719.2460329315</v>
      </c>
      <c r="BM148" s="2">
        <f t="shared" si="389"/>
        <v>106</v>
      </c>
      <c r="BN148" s="57">
        <f t="shared" si="304"/>
        <v>437677</v>
      </c>
      <c r="BO148" s="62">
        <f t="shared" si="445"/>
        <v>24775.160429157644</v>
      </c>
      <c r="BP148" s="2">
        <f t="shared" si="390"/>
        <v>105</v>
      </c>
      <c r="BQ148" s="57">
        <f t="shared" si="308"/>
        <v>458568</v>
      </c>
      <c r="BR148" s="62">
        <f t="shared" si="447"/>
        <v>27017.071679870693</v>
      </c>
      <c r="BS148" s="2">
        <f t="shared" si="391"/>
        <v>104</v>
      </c>
      <c r="BT148" s="57">
        <f t="shared" si="312"/>
        <v>480456</v>
      </c>
      <c r="BU148" s="62">
        <f t="shared" si="452"/>
        <v>29461.844316600636</v>
      </c>
      <c r="BV148" s="2">
        <f t="shared" si="392"/>
        <v>103</v>
      </c>
      <c r="BW148" s="57">
        <f t="shared" si="316"/>
        <v>503389</v>
      </c>
      <c r="BX148" s="62">
        <f t="shared" si="455"/>
        <v>32127.860796550067</v>
      </c>
      <c r="BY148" s="2">
        <f t="shared" si="393"/>
        <v>102</v>
      </c>
      <c r="BZ148" s="57">
        <f t="shared" si="320"/>
        <v>527417</v>
      </c>
      <c r="CA148" s="62">
        <f t="shared" si="459"/>
        <v>35035.150840262373</v>
      </c>
      <c r="CB148" s="2">
        <f t="shared" si="394"/>
        <v>101</v>
      </c>
      <c r="CC148" s="57">
        <f t="shared" si="324"/>
        <v>552592</v>
      </c>
      <c r="CD148" s="62">
        <f t="shared" si="463"/>
        <v>38205.530995820314</v>
      </c>
      <c r="CE148" s="2">
        <f t="shared" si="395"/>
        <v>100</v>
      </c>
      <c r="CF148" s="57">
        <f t="shared" si="328"/>
        <v>578968</v>
      </c>
      <c r="CG148" s="62">
        <f t="shared" si="468"/>
        <v>41662.755181094159</v>
      </c>
      <c r="CH148" s="2">
        <v>99</v>
      </c>
      <c r="CI148" s="57">
        <f t="shared" si="332"/>
        <v>606603</v>
      </c>
      <c r="CJ148" s="62">
        <f t="shared" si="472"/>
        <v>45432.826801623072</v>
      </c>
      <c r="CK148" s="2">
        <v>98</v>
      </c>
      <c r="CL148" s="57">
        <f t="shared" si="336"/>
        <v>635558</v>
      </c>
      <c r="CM148" s="62">
        <f t="shared" si="475"/>
        <v>49544.12632643299</v>
      </c>
      <c r="CN148" s="2">
        <v>97</v>
      </c>
      <c r="CO148" s="57">
        <f t="shared" si="340"/>
        <v>665894</v>
      </c>
      <c r="CP148" s="62">
        <f t="shared" si="480"/>
        <v>54027.374804927982</v>
      </c>
      <c r="CQ148" s="2">
        <v>96</v>
      </c>
      <c r="CR148" s="57">
        <f t="shared" si="344"/>
        <v>697679</v>
      </c>
      <c r="CS148" s="62">
        <f t="shared" ref="CS148:CS163" si="483">SUM($G$10*$G$11*CR148*(EXP(-($G$10*CQ148))),$G$10*$G$11*CR148*(EXP(-($G$10*(CQ148+0.1)))),$G$10*$G$11*CR148*(EXP(-($G$10*(CQ148+0.2)))),$G$10*$G$11*CR148*(EXP(-($G$10*(CQ148+0.3)))),$G$10*$G$11*CR148*(EXP(-($G$10*(CQ148+0.4)))),$G$10*$G$11*CR148*(EXP(-($G$10*(CQ148+0.5)))),$G$10*$G$11*CR148*(EXP(-($G$10*(CQ148+0.6)))),$G$10*$G$11*CR148*(EXP(-($G$10*(CQ148+0.7)))),$G$10*$G$11*CR148*(EXP(-($G$10*(CQ148+0.8)))),$G$10*$G$11*CR148*(EXP(-($G$10*(CQ148+0.9)))))/10</f>
        <v>58916.398933349366</v>
      </c>
      <c r="CT148" s="2">
        <v>95</v>
      </c>
      <c r="CU148" s="57">
        <f t="shared" si="348"/>
        <v>730980</v>
      </c>
      <c r="CV148" s="62">
        <f t="shared" si="349"/>
        <v>64247.734331170912</v>
      </c>
      <c r="CW148" s="2">
        <v>94</v>
      </c>
      <c r="CX148" s="57">
        <f t="shared" si="352"/>
        <v>765871</v>
      </c>
      <c r="CY148" s="62">
        <f t="shared" si="353"/>
        <v>70061.547692206193</v>
      </c>
      <c r="CZ148" s="2">
        <v>93</v>
      </c>
      <c r="DA148" s="57">
        <f t="shared" si="196"/>
        <v>0</v>
      </c>
      <c r="DB148" s="62">
        <f t="shared" si="355"/>
        <v>0</v>
      </c>
      <c r="DC148" s="2">
        <v>92</v>
      </c>
      <c r="DD148" s="57">
        <f t="shared" si="202"/>
        <v>0</v>
      </c>
      <c r="DE148" s="62">
        <f t="shared" si="358"/>
        <v>0</v>
      </c>
      <c r="DF148" s="2">
        <v>91</v>
      </c>
      <c r="DG148" s="57">
        <f t="shared" si="209"/>
        <v>0</v>
      </c>
      <c r="DH148" s="62">
        <f t="shared" si="361"/>
        <v>0</v>
      </c>
      <c r="DI148" s="2">
        <v>90</v>
      </c>
      <c r="DJ148" s="57">
        <f t="shared" si="215"/>
        <v>0</v>
      </c>
      <c r="DK148" s="62">
        <f t="shared" si="364"/>
        <v>0</v>
      </c>
      <c r="DL148" s="2">
        <v>89</v>
      </c>
      <c r="DM148" s="57">
        <f t="shared" si="222"/>
        <v>0</v>
      </c>
      <c r="DN148" s="62">
        <f t="shared" si="367"/>
        <v>0</v>
      </c>
      <c r="DO148" s="2">
        <v>88</v>
      </c>
      <c r="DP148" s="57">
        <f t="shared" si="227"/>
        <v>0</v>
      </c>
      <c r="DQ148" s="62">
        <f t="shared" si="396"/>
        <v>0</v>
      </c>
      <c r="DR148" s="2">
        <v>87</v>
      </c>
      <c r="DS148" s="57">
        <f t="shared" si="234"/>
        <v>0</v>
      </c>
      <c r="DT148" s="62">
        <f t="shared" si="399"/>
        <v>0</v>
      </c>
      <c r="DU148" s="2">
        <v>86</v>
      </c>
      <c r="DV148" s="57">
        <f t="shared" si="239"/>
        <v>0</v>
      </c>
      <c r="DW148" s="62">
        <f t="shared" si="402"/>
        <v>0</v>
      </c>
      <c r="DX148" s="2">
        <v>85</v>
      </c>
      <c r="DY148" s="57">
        <f t="shared" si="245"/>
        <v>0</v>
      </c>
      <c r="DZ148" s="62">
        <f t="shared" si="405"/>
        <v>0</v>
      </c>
      <c r="EA148" s="2">
        <f t="shared" si="448"/>
        <v>84</v>
      </c>
      <c r="EB148" s="57">
        <f t="shared" si="411"/>
        <v>0</v>
      </c>
      <c r="EC148" s="62">
        <f t="shared" si="408"/>
        <v>0</v>
      </c>
      <c r="ED148" s="2">
        <f t="shared" si="453"/>
        <v>83</v>
      </c>
      <c r="EE148" s="57">
        <f t="shared" si="415"/>
        <v>0</v>
      </c>
      <c r="EF148" s="62">
        <f t="shared" si="412"/>
        <v>0</v>
      </c>
      <c r="EG148" s="2">
        <f t="shared" si="456"/>
        <v>82</v>
      </c>
      <c r="EH148" s="57">
        <f t="shared" si="419"/>
        <v>0</v>
      </c>
      <c r="EI148" s="62">
        <f t="shared" si="416"/>
        <v>0</v>
      </c>
      <c r="EJ148" s="2">
        <f t="shared" si="460"/>
        <v>81</v>
      </c>
      <c r="EK148" s="57">
        <f t="shared" si="423"/>
        <v>0</v>
      </c>
      <c r="EL148" s="62">
        <f t="shared" si="420"/>
        <v>0</v>
      </c>
      <c r="EM148" s="2">
        <f t="shared" si="464"/>
        <v>80</v>
      </c>
      <c r="EN148" s="57">
        <f t="shared" si="427"/>
        <v>0</v>
      </c>
      <c r="EO148" s="62">
        <f t="shared" si="424"/>
        <v>0</v>
      </c>
      <c r="EP148" s="2">
        <f t="shared" si="469"/>
        <v>79</v>
      </c>
      <c r="EQ148" s="57">
        <f t="shared" si="431"/>
        <v>0</v>
      </c>
      <c r="ER148" s="62">
        <f t="shared" si="428"/>
        <v>0</v>
      </c>
      <c r="ES148" s="2">
        <f t="shared" si="473"/>
        <v>78</v>
      </c>
      <c r="ET148" s="57">
        <f t="shared" si="432"/>
        <v>0</v>
      </c>
      <c r="EU148" s="62">
        <f t="shared" si="433"/>
        <v>0</v>
      </c>
      <c r="EV148" s="2">
        <f t="shared" si="476"/>
        <v>77</v>
      </c>
      <c r="EW148" s="57">
        <f t="shared" si="436"/>
        <v>0</v>
      </c>
      <c r="EX148" s="62">
        <f t="shared" si="437"/>
        <v>0</v>
      </c>
      <c r="EY148" s="2">
        <f t="shared" si="481"/>
        <v>76</v>
      </c>
      <c r="EZ148" s="57">
        <f t="shared" si="442"/>
        <v>0</v>
      </c>
      <c r="FA148" s="62">
        <f t="shared" si="440"/>
        <v>0</v>
      </c>
      <c r="FB148" s="2">
        <f t="shared" ref="FB148:FB163" si="484">IF(FB147="","",(FB147+1))</f>
        <v>75</v>
      </c>
      <c r="FC148" s="57">
        <f t="shared" si="443"/>
        <v>0</v>
      </c>
      <c r="FD148" s="62">
        <f t="shared" si="444"/>
        <v>0</v>
      </c>
      <c r="FE148" s="2">
        <v>74</v>
      </c>
      <c r="FF148" s="57">
        <f t="shared" si="449"/>
        <v>0</v>
      </c>
      <c r="FG148" s="62">
        <f t="shared" si="446"/>
        <v>0</v>
      </c>
      <c r="FH148" s="2">
        <v>73</v>
      </c>
      <c r="FI148" s="57">
        <f t="shared" si="450"/>
        <v>0</v>
      </c>
      <c r="FJ148" s="62">
        <f t="shared" si="451"/>
        <v>0</v>
      </c>
      <c r="FK148" s="2">
        <v>72</v>
      </c>
      <c r="FL148" s="57">
        <f t="shared" si="457"/>
        <v>0</v>
      </c>
      <c r="FM148" s="62">
        <f t="shared" si="454"/>
        <v>0</v>
      </c>
      <c r="FN148" s="2">
        <v>71</v>
      </c>
      <c r="FO148" s="57">
        <f t="shared" si="461"/>
        <v>0</v>
      </c>
      <c r="FP148" s="62">
        <f t="shared" si="458"/>
        <v>0</v>
      </c>
      <c r="FQ148" s="2">
        <v>70</v>
      </c>
      <c r="FR148" s="57">
        <f t="shared" si="465"/>
        <v>0</v>
      </c>
      <c r="FS148" s="62">
        <f t="shared" si="462"/>
        <v>0</v>
      </c>
      <c r="FT148" s="2">
        <v>69</v>
      </c>
      <c r="FU148" s="57">
        <f t="shared" si="466"/>
        <v>0</v>
      </c>
      <c r="FV148" s="62">
        <f t="shared" si="467"/>
        <v>0</v>
      </c>
      <c r="FW148" s="2">
        <v>68</v>
      </c>
      <c r="FX148" s="57">
        <f t="shared" si="470"/>
        <v>0</v>
      </c>
      <c r="FY148" s="62">
        <f t="shared" si="471"/>
        <v>0</v>
      </c>
      <c r="FZ148" s="2">
        <v>67</v>
      </c>
      <c r="GA148" s="57">
        <f t="shared" si="477"/>
        <v>0</v>
      </c>
      <c r="GB148" s="62">
        <f t="shared" si="474"/>
        <v>0</v>
      </c>
      <c r="GC148" s="2">
        <v>66</v>
      </c>
      <c r="GD148" s="57">
        <f t="shared" si="478"/>
        <v>0</v>
      </c>
      <c r="GE148" s="62">
        <f t="shared" si="479"/>
        <v>0</v>
      </c>
      <c r="GF148" s="2">
        <v>65</v>
      </c>
      <c r="GG148" s="57">
        <f t="shared" ref="GG148:GG163" si="485">$E$82</f>
        <v>0</v>
      </c>
      <c r="GH148" s="62">
        <f t="shared" si="482"/>
        <v>0</v>
      </c>
      <c r="GI148" s="2">
        <v>64</v>
      </c>
      <c r="GJ148" s="57">
        <f t="shared" ref="GJ148:GJ162" si="486">$E$83</f>
        <v>0</v>
      </c>
      <c r="GK148" s="62">
        <f t="shared" ref="GK148:GK163" si="487">SUM($G$10*$G$11*GJ148*(EXP(-($G$10*GI148))),$G$10*$G$11*GJ148*(EXP(-($G$10*(GI148+0.1)))),$G$10*$G$11*GJ148*(EXP(-($G$10*(GI148+0.2)))),$G$10*$G$11*GJ148*(EXP(-($G$10*(GI148+0.3)))),$G$10*$G$11*GJ148*(EXP(-($G$10*(GI148+0.4)))),$G$10*$G$11*GJ148*(EXP(-($G$10*(GI148+0.5)))),$G$10*$G$11*GJ148*(EXP(-($G$10*(GI148+0.6)))),$G$10*$G$11*GJ148*(EXP(-($G$10*(GI148+0.7)))),$G$10*$G$11*GJ148*(EXP(-($G$10*(GI148+0.8)))),$G$10*$G$11*GJ148*(EXP(-($G$10*(GI148+0.9)))))/10</f>
        <v>0</v>
      </c>
      <c r="GL148" s="2">
        <v>63</v>
      </c>
      <c r="GM148" s="57">
        <f t="shared" si="193"/>
        <v>0</v>
      </c>
      <c r="GN148" s="62">
        <f t="shared" si="350"/>
        <v>0</v>
      </c>
      <c r="GO148" s="2">
        <v>62</v>
      </c>
      <c r="GP148" s="57">
        <f t="shared" si="194"/>
        <v>0</v>
      </c>
      <c r="GQ148" s="62">
        <f t="shared" si="354"/>
        <v>0</v>
      </c>
      <c r="GR148" s="2">
        <v>61</v>
      </c>
      <c r="GS148" s="57">
        <f t="shared" si="204"/>
        <v>0</v>
      </c>
      <c r="GT148" s="62">
        <f t="shared" si="356"/>
        <v>0</v>
      </c>
      <c r="GU148" s="2">
        <v>60</v>
      </c>
      <c r="GV148" s="57">
        <f t="shared" si="205"/>
        <v>0</v>
      </c>
      <c r="GW148" s="62">
        <f t="shared" si="359"/>
        <v>0</v>
      </c>
      <c r="GX148" s="2">
        <v>59</v>
      </c>
      <c r="GY148" s="57">
        <f t="shared" si="217"/>
        <v>0</v>
      </c>
      <c r="GZ148" s="62">
        <f t="shared" si="362"/>
        <v>0</v>
      </c>
      <c r="HA148" s="2">
        <v>58</v>
      </c>
      <c r="HB148" s="57">
        <f t="shared" si="218"/>
        <v>0</v>
      </c>
      <c r="HC148" s="62">
        <f t="shared" si="365"/>
        <v>0</v>
      </c>
      <c r="HD148" s="2">
        <v>57</v>
      </c>
      <c r="HE148" s="57">
        <f t="shared" si="229"/>
        <v>0</v>
      </c>
      <c r="HF148" s="62">
        <f t="shared" si="368"/>
        <v>0</v>
      </c>
      <c r="HG148" s="2">
        <v>56</v>
      </c>
      <c r="HH148" s="57">
        <f t="shared" si="230"/>
        <v>0</v>
      </c>
      <c r="HI148" s="62">
        <f t="shared" si="397"/>
        <v>0</v>
      </c>
      <c r="HJ148" s="2">
        <v>55</v>
      </c>
      <c r="HK148" s="57">
        <f t="shared" si="241"/>
        <v>0</v>
      </c>
      <c r="HL148" s="62">
        <f t="shared" si="400"/>
        <v>0</v>
      </c>
      <c r="HM148" s="2">
        <v>54</v>
      </c>
      <c r="HN148" s="57">
        <f t="shared" si="247"/>
        <v>0</v>
      </c>
      <c r="HO148" s="62">
        <f t="shared" si="403"/>
        <v>0</v>
      </c>
      <c r="HP148" s="2">
        <v>53</v>
      </c>
      <c r="HQ148" s="57">
        <f t="shared" si="248"/>
        <v>0</v>
      </c>
      <c r="HR148" s="62">
        <f t="shared" si="406"/>
        <v>0</v>
      </c>
      <c r="HS148" s="2">
        <v>52</v>
      </c>
      <c r="HT148" s="57">
        <f t="shared" si="257"/>
        <v>0</v>
      </c>
      <c r="HU148" s="62">
        <f t="shared" si="409"/>
        <v>0</v>
      </c>
      <c r="HV148" s="2">
        <v>51</v>
      </c>
      <c r="HW148" s="57">
        <f t="shared" si="258"/>
        <v>0</v>
      </c>
      <c r="HX148" s="62">
        <f t="shared" si="413"/>
        <v>0</v>
      </c>
      <c r="HY148" s="2">
        <v>50</v>
      </c>
      <c r="HZ148" s="57">
        <f t="shared" si="268"/>
        <v>0</v>
      </c>
      <c r="IA148" s="62">
        <f t="shared" si="417"/>
        <v>0</v>
      </c>
      <c r="IB148" s="2">
        <v>49</v>
      </c>
      <c r="IC148" s="57">
        <f t="shared" si="274"/>
        <v>0</v>
      </c>
      <c r="ID148" s="62">
        <f t="shared" si="421"/>
        <v>0</v>
      </c>
      <c r="IE148" s="2">
        <v>48</v>
      </c>
      <c r="IF148" s="57">
        <f t="shared" si="280"/>
        <v>0</v>
      </c>
      <c r="IG148" s="62">
        <f t="shared" si="425"/>
        <v>0</v>
      </c>
      <c r="IH148" s="2">
        <v>47</v>
      </c>
      <c r="II148" s="57">
        <f t="shared" si="281"/>
        <v>0</v>
      </c>
      <c r="IJ148" s="62">
        <f t="shared" si="429"/>
        <v>0</v>
      </c>
      <c r="IK148" s="2">
        <v>46</v>
      </c>
      <c r="IL148" s="57">
        <f t="shared" si="292"/>
        <v>0</v>
      </c>
      <c r="IM148" s="62">
        <f t="shared" si="434"/>
        <v>0</v>
      </c>
      <c r="IN148" s="2">
        <v>45</v>
      </c>
      <c r="IO148" s="57">
        <f t="shared" si="293"/>
        <v>0</v>
      </c>
      <c r="IP148" s="62">
        <f t="shared" si="438"/>
        <v>0</v>
      </c>
    </row>
    <row r="149" spans="7:250">
      <c r="G149" s="284"/>
      <c r="H149" s="284"/>
      <c r="I149" s="2">
        <f t="shared" si="369"/>
        <v>2144</v>
      </c>
      <c r="J149" s="379">
        <f t="shared" si="264"/>
        <v>758474.37524189032</v>
      </c>
      <c r="K149" s="2">
        <f t="shared" si="370"/>
        <v>125</v>
      </c>
      <c r="L149" s="57">
        <f t="shared" si="200"/>
        <v>189082</v>
      </c>
      <c r="M149" s="62">
        <f t="shared" si="357"/>
        <v>5005.5191999141052</v>
      </c>
      <c r="N149" s="2">
        <f t="shared" si="371"/>
        <v>124</v>
      </c>
      <c r="O149" s="57">
        <f t="shared" si="207"/>
        <v>293489</v>
      </c>
      <c r="P149" s="62">
        <f t="shared" si="360"/>
        <v>8086.5365147859393</v>
      </c>
      <c r="Q149" s="2">
        <f t="shared" si="372"/>
        <v>123</v>
      </c>
      <c r="R149" s="57">
        <f t="shared" si="213"/>
        <v>283523</v>
      </c>
      <c r="S149" s="62">
        <f t="shared" si="363"/>
        <v>8130.7535663801318</v>
      </c>
      <c r="T149" s="2">
        <f t="shared" si="373"/>
        <v>122</v>
      </c>
      <c r="U149" s="57">
        <f t="shared" si="220"/>
        <v>143321</v>
      </c>
      <c r="V149" s="62">
        <f t="shared" si="366"/>
        <v>4277.8358108437697</v>
      </c>
      <c r="W149" s="2">
        <f t="shared" si="374"/>
        <v>121</v>
      </c>
      <c r="X149" s="57">
        <f t="shared" si="225"/>
        <v>227851</v>
      </c>
      <c r="Y149" s="62">
        <f t="shared" si="375"/>
        <v>7078.4309561612517</v>
      </c>
      <c r="Z149" s="2">
        <f t="shared" si="376"/>
        <v>120</v>
      </c>
      <c r="AA149" s="57">
        <f t="shared" si="232"/>
        <v>238727</v>
      </c>
      <c r="AB149" s="62">
        <f t="shared" si="398"/>
        <v>7718.9704973064672</v>
      </c>
      <c r="AC149" s="2">
        <f t="shared" si="377"/>
        <v>119</v>
      </c>
      <c r="AD149" s="57">
        <f t="shared" si="237"/>
        <v>250122</v>
      </c>
      <c r="AE149" s="62">
        <f t="shared" si="401"/>
        <v>8417.4687459393699</v>
      </c>
      <c r="AF149" s="2">
        <f t="shared" si="378"/>
        <v>118</v>
      </c>
      <c r="AG149" s="57">
        <f t="shared" si="243"/>
        <v>262060</v>
      </c>
      <c r="AH149" s="62">
        <f t="shared" si="404"/>
        <v>9179.1430023208486</v>
      </c>
      <c r="AI149" s="2">
        <f t="shared" si="379"/>
        <v>117</v>
      </c>
      <c r="AJ149" s="57">
        <f t="shared" si="250"/>
        <v>274569</v>
      </c>
      <c r="AK149" s="62">
        <f t="shared" si="407"/>
        <v>10009.783409833301</v>
      </c>
      <c r="AL149" s="2">
        <f t="shared" si="380"/>
        <v>116</v>
      </c>
      <c r="AM149" s="57">
        <f t="shared" si="254"/>
        <v>287675</v>
      </c>
      <c r="AN149" s="62">
        <f t="shared" si="410"/>
        <v>10915.586598108242</v>
      </c>
      <c r="AO149" s="2">
        <f t="shared" si="381"/>
        <v>115</v>
      </c>
      <c r="AP149" s="57">
        <f t="shared" si="260"/>
        <v>301406</v>
      </c>
      <c r="AQ149" s="62">
        <f t="shared" si="414"/>
        <v>11903.334290210392</v>
      </c>
      <c r="AR149" s="2">
        <f t="shared" si="382"/>
        <v>114</v>
      </c>
      <c r="AS149" s="57">
        <f t="shared" si="265"/>
        <v>315793</v>
      </c>
      <c r="AT149" s="62">
        <f t="shared" si="418"/>
        <v>12980.487857317969</v>
      </c>
      <c r="AU149" s="2">
        <f t="shared" si="383"/>
        <v>113</v>
      </c>
      <c r="AV149" s="57">
        <f t="shared" si="271"/>
        <v>330866</v>
      </c>
      <c r="AW149" s="62">
        <f t="shared" si="422"/>
        <v>14155.083532300292</v>
      </c>
      <c r="AX149" s="2">
        <f t="shared" si="384"/>
        <v>112</v>
      </c>
      <c r="AY149" s="57">
        <f t="shared" si="277"/>
        <v>346659</v>
      </c>
      <c r="AZ149" s="62">
        <f t="shared" si="426"/>
        <v>15435.992349825912</v>
      </c>
      <c r="BA149" s="2">
        <f t="shared" si="385"/>
        <v>111</v>
      </c>
      <c r="BB149" s="57">
        <f t="shared" si="284"/>
        <v>363206</v>
      </c>
      <c r="BC149" s="62">
        <f t="shared" si="430"/>
        <v>16832.8195715521</v>
      </c>
      <c r="BD149" s="2">
        <f t="shared" si="386"/>
        <v>110</v>
      </c>
      <c r="BE149" s="57">
        <f t="shared" si="289"/>
        <v>380542</v>
      </c>
      <c r="BF149" s="62">
        <f t="shared" si="435"/>
        <v>18356.007635845253</v>
      </c>
      <c r="BG149" s="2">
        <f t="shared" si="387"/>
        <v>109</v>
      </c>
      <c r="BH149" s="57">
        <f t="shared" si="296"/>
        <v>398706</v>
      </c>
      <c r="BI149" s="62">
        <f t="shared" si="439"/>
        <v>20017.055064952612</v>
      </c>
      <c r="BJ149" s="2">
        <f t="shared" si="388"/>
        <v>108</v>
      </c>
      <c r="BK149" s="57">
        <f t="shared" si="300"/>
        <v>417737</v>
      </c>
      <c r="BL149" s="62">
        <f t="shared" si="441"/>
        <v>21828.411653943902</v>
      </c>
      <c r="BM149" s="2">
        <f t="shared" si="389"/>
        <v>107</v>
      </c>
      <c r="BN149" s="57">
        <f t="shared" si="304"/>
        <v>437677</v>
      </c>
      <c r="BO149" s="62">
        <f t="shared" si="445"/>
        <v>23803.712493639199</v>
      </c>
      <c r="BP149" s="2">
        <f t="shared" si="390"/>
        <v>106</v>
      </c>
      <c r="BQ149" s="57">
        <f t="shared" si="308"/>
        <v>458568</v>
      </c>
      <c r="BR149" s="62">
        <f t="shared" si="447"/>
        <v>25957.717146841078</v>
      </c>
      <c r="BS149" s="2">
        <f t="shared" si="391"/>
        <v>105</v>
      </c>
      <c r="BT149" s="57">
        <f t="shared" si="312"/>
        <v>480456</v>
      </c>
      <c r="BU149" s="62">
        <f t="shared" si="452"/>
        <v>28306.62887733979</v>
      </c>
      <c r="BV149" s="2">
        <f t="shared" si="392"/>
        <v>104</v>
      </c>
      <c r="BW149" s="57">
        <f t="shared" si="316"/>
        <v>503389</v>
      </c>
      <c r="BX149" s="62">
        <f t="shared" si="455"/>
        <v>30868.109355881246</v>
      </c>
      <c r="BY149" s="2">
        <f t="shared" si="393"/>
        <v>103</v>
      </c>
      <c r="BZ149" s="57">
        <f t="shared" si="320"/>
        <v>527417</v>
      </c>
      <c r="CA149" s="62">
        <f t="shared" si="459"/>
        <v>33661.402926432733</v>
      </c>
      <c r="CB149" s="2">
        <f t="shared" si="394"/>
        <v>102</v>
      </c>
      <c r="CC149" s="57">
        <f t="shared" si="324"/>
        <v>552592</v>
      </c>
      <c r="CD149" s="62">
        <f t="shared" si="463"/>
        <v>36707.470697990895</v>
      </c>
      <c r="CE149" s="2">
        <f t="shared" si="395"/>
        <v>101</v>
      </c>
      <c r="CF149" s="57">
        <f t="shared" si="328"/>
        <v>578968</v>
      </c>
      <c r="CG149" s="62">
        <f t="shared" si="468"/>
        <v>40029.135183984021</v>
      </c>
      <c r="CH149" s="2">
        <v>100</v>
      </c>
      <c r="CI149" s="57">
        <f t="shared" si="332"/>
        <v>606603</v>
      </c>
      <c r="CJ149" s="62">
        <f t="shared" si="472"/>
        <v>43651.380181836066</v>
      </c>
      <c r="CK149" s="2">
        <v>99</v>
      </c>
      <c r="CL149" s="57">
        <f t="shared" si="336"/>
        <v>635558</v>
      </c>
      <c r="CM149" s="62">
        <f t="shared" si="475"/>
        <v>47601.473346465405</v>
      </c>
      <c r="CN149" s="2">
        <v>98</v>
      </c>
      <c r="CO149" s="57">
        <f t="shared" si="340"/>
        <v>665894</v>
      </c>
      <c r="CP149" s="62">
        <f t="shared" si="480"/>
        <v>51908.931137699117</v>
      </c>
      <c r="CQ149" s="2">
        <v>97</v>
      </c>
      <c r="CR149" s="57">
        <f t="shared" si="344"/>
        <v>697679</v>
      </c>
      <c r="CS149" s="62">
        <f t="shared" si="483"/>
        <v>56606.253888047264</v>
      </c>
      <c r="CT149" s="2">
        <v>96</v>
      </c>
      <c r="CU149" s="57">
        <f t="shared" si="348"/>
        <v>730980</v>
      </c>
      <c r="CV149" s="62">
        <f t="shared" ref="CV149:CV163" si="488">SUM($G$10*$G$11*CU149*(EXP(-($G$10*CT149))),$G$10*$G$11*CU149*(EXP(-($G$10*(CT149+0.1)))),$G$10*$G$11*CU149*(EXP(-($G$10*(CT149+0.2)))),$G$10*$G$11*CU149*(EXP(-($G$10*(CT149+0.3)))),$G$10*$G$11*CU149*(EXP(-($G$10*(CT149+0.4)))),$G$10*$G$11*CU149*(EXP(-($G$10*(CT149+0.5)))),$G$10*$G$11*CU149*(EXP(-($G$10*(CT149+0.6)))),$G$10*$G$11*CU149*(EXP(-($G$10*(CT149+0.7)))),$G$10*$G$11*CU149*(EXP(-($G$10*(CT149+0.8)))),$G$10*$G$11*CU149*(EXP(-($G$10*(CT149+0.9)))))/10</f>
        <v>61728.544634853162</v>
      </c>
      <c r="CW149" s="2">
        <v>95</v>
      </c>
      <c r="CX149" s="57">
        <f t="shared" si="352"/>
        <v>765871</v>
      </c>
      <c r="CY149" s="62">
        <f t="shared" si="353"/>
        <v>67314.395113338513</v>
      </c>
      <c r="CZ149" s="2">
        <v>94</v>
      </c>
      <c r="DA149" s="57">
        <f t="shared" si="196"/>
        <v>0</v>
      </c>
      <c r="DB149" s="62">
        <f t="shared" si="355"/>
        <v>0</v>
      </c>
      <c r="DC149" s="2">
        <v>93</v>
      </c>
      <c r="DD149" s="57">
        <f t="shared" si="202"/>
        <v>0</v>
      </c>
      <c r="DE149" s="62">
        <f t="shared" si="358"/>
        <v>0</v>
      </c>
      <c r="DF149" s="2">
        <v>92</v>
      </c>
      <c r="DG149" s="57">
        <f t="shared" si="209"/>
        <v>0</v>
      </c>
      <c r="DH149" s="62">
        <f t="shared" si="361"/>
        <v>0</v>
      </c>
      <c r="DI149" s="2">
        <v>91</v>
      </c>
      <c r="DJ149" s="57">
        <f t="shared" si="215"/>
        <v>0</v>
      </c>
      <c r="DK149" s="62">
        <f t="shared" si="364"/>
        <v>0</v>
      </c>
      <c r="DL149" s="2">
        <v>90</v>
      </c>
      <c r="DM149" s="57">
        <f t="shared" si="222"/>
        <v>0</v>
      </c>
      <c r="DN149" s="62">
        <f t="shared" si="367"/>
        <v>0</v>
      </c>
      <c r="DO149" s="2">
        <v>89</v>
      </c>
      <c r="DP149" s="57">
        <f t="shared" si="227"/>
        <v>0</v>
      </c>
      <c r="DQ149" s="62">
        <f t="shared" si="396"/>
        <v>0</v>
      </c>
      <c r="DR149" s="2">
        <v>88</v>
      </c>
      <c r="DS149" s="57">
        <f t="shared" si="234"/>
        <v>0</v>
      </c>
      <c r="DT149" s="62">
        <f t="shared" si="399"/>
        <v>0</v>
      </c>
      <c r="DU149" s="2">
        <v>87</v>
      </c>
      <c r="DV149" s="57">
        <f t="shared" si="239"/>
        <v>0</v>
      </c>
      <c r="DW149" s="62">
        <f t="shared" si="402"/>
        <v>0</v>
      </c>
      <c r="DX149" s="2">
        <v>86</v>
      </c>
      <c r="DY149" s="57">
        <f t="shared" si="245"/>
        <v>0</v>
      </c>
      <c r="DZ149" s="62">
        <f t="shared" si="405"/>
        <v>0</v>
      </c>
      <c r="EA149" s="2">
        <f t="shared" si="448"/>
        <v>85</v>
      </c>
      <c r="EB149" s="57">
        <f t="shared" si="411"/>
        <v>0</v>
      </c>
      <c r="EC149" s="62">
        <f t="shared" si="408"/>
        <v>0</v>
      </c>
      <c r="ED149" s="2">
        <f t="shared" si="453"/>
        <v>84</v>
      </c>
      <c r="EE149" s="57">
        <f t="shared" si="415"/>
        <v>0</v>
      </c>
      <c r="EF149" s="62">
        <f t="shared" si="412"/>
        <v>0</v>
      </c>
      <c r="EG149" s="2">
        <f t="shared" si="456"/>
        <v>83</v>
      </c>
      <c r="EH149" s="57">
        <f t="shared" si="419"/>
        <v>0</v>
      </c>
      <c r="EI149" s="62">
        <f t="shared" si="416"/>
        <v>0</v>
      </c>
      <c r="EJ149" s="2">
        <f t="shared" si="460"/>
        <v>82</v>
      </c>
      <c r="EK149" s="57">
        <f t="shared" si="423"/>
        <v>0</v>
      </c>
      <c r="EL149" s="62">
        <f t="shared" si="420"/>
        <v>0</v>
      </c>
      <c r="EM149" s="2">
        <f t="shared" si="464"/>
        <v>81</v>
      </c>
      <c r="EN149" s="57">
        <f t="shared" si="427"/>
        <v>0</v>
      </c>
      <c r="EO149" s="62">
        <f t="shared" si="424"/>
        <v>0</v>
      </c>
      <c r="EP149" s="2">
        <f t="shared" si="469"/>
        <v>80</v>
      </c>
      <c r="EQ149" s="57">
        <f t="shared" si="431"/>
        <v>0</v>
      </c>
      <c r="ER149" s="62">
        <f t="shared" si="428"/>
        <v>0</v>
      </c>
      <c r="ES149" s="2">
        <f t="shared" si="473"/>
        <v>79</v>
      </c>
      <c r="ET149" s="57">
        <f t="shared" si="432"/>
        <v>0</v>
      </c>
      <c r="EU149" s="62">
        <f t="shared" si="433"/>
        <v>0</v>
      </c>
      <c r="EV149" s="2">
        <f t="shared" si="476"/>
        <v>78</v>
      </c>
      <c r="EW149" s="57">
        <f t="shared" si="436"/>
        <v>0</v>
      </c>
      <c r="EX149" s="62">
        <f t="shared" si="437"/>
        <v>0</v>
      </c>
      <c r="EY149" s="2">
        <f t="shared" si="481"/>
        <v>77</v>
      </c>
      <c r="EZ149" s="57">
        <f t="shared" si="442"/>
        <v>0</v>
      </c>
      <c r="FA149" s="62">
        <f t="shared" si="440"/>
        <v>0</v>
      </c>
      <c r="FB149" s="2">
        <f t="shared" si="484"/>
        <v>76</v>
      </c>
      <c r="FC149" s="57">
        <f t="shared" si="443"/>
        <v>0</v>
      </c>
      <c r="FD149" s="62">
        <f t="shared" si="444"/>
        <v>0</v>
      </c>
      <c r="FE149" s="2">
        <f t="shared" ref="FE149:FE163" si="489">IF(FE148="","",(FE148+1))</f>
        <v>75</v>
      </c>
      <c r="FF149" s="57">
        <f t="shared" si="449"/>
        <v>0</v>
      </c>
      <c r="FG149" s="62">
        <f t="shared" si="446"/>
        <v>0</v>
      </c>
      <c r="FH149" s="2">
        <v>74</v>
      </c>
      <c r="FI149" s="57">
        <f t="shared" si="450"/>
        <v>0</v>
      </c>
      <c r="FJ149" s="62">
        <f t="shared" si="451"/>
        <v>0</v>
      </c>
      <c r="FK149" s="2">
        <v>73</v>
      </c>
      <c r="FL149" s="57">
        <f t="shared" si="457"/>
        <v>0</v>
      </c>
      <c r="FM149" s="62">
        <f t="shared" si="454"/>
        <v>0</v>
      </c>
      <c r="FN149" s="2">
        <v>72</v>
      </c>
      <c r="FO149" s="57">
        <f t="shared" si="461"/>
        <v>0</v>
      </c>
      <c r="FP149" s="62">
        <f t="shared" si="458"/>
        <v>0</v>
      </c>
      <c r="FQ149" s="2">
        <v>71</v>
      </c>
      <c r="FR149" s="57">
        <f t="shared" si="465"/>
        <v>0</v>
      </c>
      <c r="FS149" s="62">
        <f t="shared" si="462"/>
        <v>0</v>
      </c>
      <c r="FT149" s="2">
        <v>70</v>
      </c>
      <c r="FU149" s="57">
        <f t="shared" si="466"/>
        <v>0</v>
      </c>
      <c r="FV149" s="62">
        <f t="shared" si="467"/>
        <v>0</v>
      </c>
      <c r="FW149" s="2">
        <v>69</v>
      </c>
      <c r="FX149" s="57">
        <f t="shared" si="470"/>
        <v>0</v>
      </c>
      <c r="FY149" s="62">
        <f t="shared" si="471"/>
        <v>0</v>
      </c>
      <c r="FZ149" s="2">
        <v>68</v>
      </c>
      <c r="GA149" s="57">
        <f t="shared" si="477"/>
        <v>0</v>
      </c>
      <c r="GB149" s="62">
        <f t="shared" si="474"/>
        <v>0</v>
      </c>
      <c r="GC149" s="2">
        <v>67</v>
      </c>
      <c r="GD149" s="57">
        <f t="shared" si="478"/>
        <v>0</v>
      </c>
      <c r="GE149" s="62">
        <f t="shared" si="479"/>
        <v>0</v>
      </c>
      <c r="GF149" s="2">
        <v>66</v>
      </c>
      <c r="GG149" s="57">
        <f t="shared" si="485"/>
        <v>0</v>
      </c>
      <c r="GH149" s="62">
        <f t="shared" si="482"/>
        <v>0</v>
      </c>
      <c r="GI149" s="2">
        <v>65</v>
      </c>
      <c r="GJ149" s="57">
        <f t="shared" si="486"/>
        <v>0</v>
      </c>
      <c r="GK149" s="62">
        <f t="shared" si="487"/>
        <v>0</v>
      </c>
      <c r="GL149" s="2">
        <v>64</v>
      </c>
      <c r="GM149" s="57">
        <f t="shared" si="193"/>
        <v>0</v>
      </c>
      <c r="GN149" s="62">
        <f t="shared" ref="GN149:GN163" si="490">SUM($G$10*$G$11*GM149*(EXP(-($G$10*GL149))),$G$10*$G$11*GM149*(EXP(-($G$10*(GL149+0.1)))),$G$10*$G$11*GM149*(EXP(-($G$10*(GL149+0.2)))),$G$10*$G$11*GM149*(EXP(-($G$10*(GL149+0.3)))),$G$10*$G$11*GM149*(EXP(-($G$10*(GL149+0.4)))),$G$10*$G$11*GM149*(EXP(-($G$10*(GL149+0.5)))),$G$10*$G$11*GM149*(EXP(-($G$10*(GL149+0.6)))),$G$10*$G$11*GM149*(EXP(-($G$10*(GL149+0.7)))),$G$10*$G$11*GM149*(EXP(-($G$10*(GL149+0.8)))),$G$10*$G$11*GM149*(EXP(-($G$10*(GL149+0.9)))))/10</f>
        <v>0</v>
      </c>
      <c r="GO149" s="2">
        <v>63</v>
      </c>
      <c r="GP149" s="57">
        <f t="shared" si="194"/>
        <v>0</v>
      </c>
      <c r="GQ149" s="62">
        <f t="shared" si="354"/>
        <v>0</v>
      </c>
      <c r="GR149" s="2">
        <v>62</v>
      </c>
      <c r="GS149" s="57">
        <f t="shared" si="204"/>
        <v>0</v>
      </c>
      <c r="GT149" s="62">
        <f t="shared" si="356"/>
        <v>0</v>
      </c>
      <c r="GU149" s="2">
        <v>61</v>
      </c>
      <c r="GV149" s="57">
        <f t="shared" si="205"/>
        <v>0</v>
      </c>
      <c r="GW149" s="62">
        <f t="shared" si="359"/>
        <v>0</v>
      </c>
      <c r="GX149" s="2">
        <v>60</v>
      </c>
      <c r="GY149" s="57">
        <f t="shared" si="217"/>
        <v>0</v>
      </c>
      <c r="GZ149" s="62">
        <f t="shared" si="362"/>
        <v>0</v>
      </c>
      <c r="HA149" s="2">
        <v>59</v>
      </c>
      <c r="HB149" s="57">
        <f t="shared" si="218"/>
        <v>0</v>
      </c>
      <c r="HC149" s="62">
        <f t="shared" si="365"/>
        <v>0</v>
      </c>
      <c r="HD149" s="2">
        <v>58</v>
      </c>
      <c r="HE149" s="57">
        <f t="shared" si="229"/>
        <v>0</v>
      </c>
      <c r="HF149" s="62">
        <f t="shared" si="368"/>
        <v>0</v>
      </c>
      <c r="HG149" s="2">
        <v>57</v>
      </c>
      <c r="HH149" s="57">
        <f t="shared" si="230"/>
        <v>0</v>
      </c>
      <c r="HI149" s="62">
        <f t="shared" si="397"/>
        <v>0</v>
      </c>
      <c r="HJ149" s="2">
        <v>56</v>
      </c>
      <c r="HK149" s="57">
        <f t="shared" si="241"/>
        <v>0</v>
      </c>
      <c r="HL149" s="62">
        <f t="shared" si="400"/>
        <v>0</v>
      </c>
      <c r="HM149" s="2">
        <v>55</v>
      </c>
      <c r="HN149" s="57">
        <f t="shared" si="247"/>
        <v>0</v>
      </c>
      <c r="HO149" s="62">
        <f t="shared" si="403"/>
        <v>0</v>
      </c>
      <c r="HP149" s="2">
        <v>54</v>
      </c>
      <c r="HQ149" s="57">
        <f t="shared" si="248"/>
        <v>0</v>
      </c>
      <c r="HR149" s="62">
        <f t="shared" si="406"/>
        <v>0</v>
      </c>
      <c r="HS149" s="2">
        <v>53</v>
      </c>
      <c r="HT149" s="57">
        <f t="shared" si="257"/>
        <v>0</v>
      </c>
      <c r="HU149" s="62">
        <f t="shared" si="409"/>
        <v>0</v>
      </c>
      <c r="HV149" s="2">
        <v>52</v>
      </c>
      <c r="HW149" s="57">
        <f t="shared" si="258"/>
        <v>0</v>
      </c>
      <c r="HX149" s="62">
        <f t="shared" si="413"/>
        <v>0</v>
      </c>
      <c r="HY149" s="2">
        <v>51</v>
      </c>
      <c r="HZ149" s="57">
        <f t="shared" si="268"/>
        <v>0</v>
      </c>
      <c r="IA149" s="62">
        <f t="shared" si="417"/>
        <v>0</v>
      </c>
      <c r="IB149" s="2">
        <v>50</v>
      </c>
      <c r="IC149" s="57">
        <f t="shared" si="274"/>
        <v>0</v>
      </c>
      <c r="ID149" s="62">
        <f t="shared" si="421"/>
        <v>0</v>
      </c>
      <c r="IE149" s="2">
        <v>49</v>
      </c>
      <c r="IF149" s="57">
        <f t="shared" si="280"/>
        <v>0</v>
      </c>
      <c r="IG149" s="62">
        <f t="shared" si="425"/>
        <v>0</v>
      </c>
      <c r="IH149" s="2">
        <v>48</v>
      </c>
      <c r="II149" s="57">
        <f t="shared" si="281"/>
        <v>0</v>
      </c>
      <c r="IJ149" s="62">
        <f t="shared" si="429"/>
        <v>0</v>
      </c>
      <c r="IK149" s="2">
        <v>47</v>
      </c>
      <c r="IL149" s="57">
        <f t="shared" si="292"/>
        <v>0</v>
      </c>
      <c r="IM149" s="62">
        <f t="shared" si="434"/>
        <v>0</v>
      </c>
      <c r="IN149" s="2">
        <v>46</v>
      </c>
      <c r="IO149" s="57">
        <f t="shared" si="293"/>
        <v>0</v>
      </c>
      <c r="IP149" s="62">
        <f t="shared" si="438"/>
        <v>0</v>
      </c>
    </row>
    <row r="150" spans="7:250">
      <c r="G150" s="284"/>
      <c r="H150" s="284"/>
      <c r="I150" s="2">
        <f t="shared" si="369"/>
        <v>2145</v>
      </c>
      <c r="J150" s="379">
        <f t="shared" si="264"/>
        <v>728734.16960006463</v>
      </c>
      <c r="K150" s="2">
        <f t="shared" si="370"/>
        <v>126</v>
      </c>
      <c r="L150" s="57">
        <f t="shared" si="200"/>
        <v>189082</v>
      </c>
      <c r="M150" s="62">
        <f t="shared" si="357"/>
        <v>4809.2499847516592</v>
      </c>
      <c r="N150" s="2">
        <f t="shared" si="371"/>
        <v>125</v>
      </c>
      <c r="O150" s="57">
        <f t="shared" si="207"/>
        <v>293489</v>
      </c>
      <c r="P150" s="62">
        <f t="shared" si="360"/>
        <v>7769.4588827259668</v>
      </c>
      <c r="Q150" s="2">
        <f t="shared" si="372"/>
        <v>124</v>
      </c>
      <c r="R150" s="57">
        <f t="shared" si="213"/>
        <v>283523</v>
      </c>
      <c r="S150" s="62">
        <f t="shared" si="363"/>
        <v>7811.9421589281174</v>
      </c>
      <c r="T150" s="2">
        <f t="shared" si="373"/>
        <v>123</v>
      </c>
      <c r="U150" s="57">
        <f t="shared" si="220"/>
        <v>143321</v>
      </c>
      <c r="V150" s="62">
        <f t="shared" si="366"/>
        <v>4110.0994694863093</v>
      </c>
      <c r="W150" s="2">
        <f t="shared" si="374"/>
        <v>122</v>
      </c>
      <c r="X150" s="57">
        <f t="shared" si="225"/>
        <v>227851</v>
      </c>
      <c r="Y150" s="62">
        <f t="shared" si="375"/>
        <v>6800.8817084486127</v>
      </c>
      <c r="Z150" s="2">
        <f t="shared" si="376"/>
        <v>121</v>
      </c>
      <c r="AA150" s="57">
        <f t="shared" si="232"/>
        <v>238727</v>
      </c>
      <c r="AB150" s="62">
        <f t="shared" si="398"/>
        <v>7416.3053349404099</v>
      </c>
      <c r="AC150" s="2">
        <f t="shared" si="377"/>
        <v>120</v>
      </c>
      <c r="AD150" s="57">
        <f t="shared" si="237"/>
        <v>250122</v>
      </c>
      <c r="AE150" s="62">
        <f t="shared" si="401"/>
        <v>8087.4150754932953</v>
      </c>
      <c r="AF150" s="2">
        <f t="shared" si="378"/>
        <v>119</v>
      </c>
      <c r="AG150" s="57">
        <f t="shared" si="243"/>
        <v>262060</v>
      </c>
      <c r="AH150" s="62">
        <f t="shared" si="404"/>
        <v>8819.2236570988207</v>
      </c>
      <c r="AI150" s="2">
        <f t="shared" si="379"/>
        <v>118</v>
      </c>
      <c r="AJ150" s="57">
        <f t="shared" si="250"/>
        <v>274569</v>
      </c>
      <c r="AK150" s="62">
        <f t="shared" si="407"/>
        <v>9617.2941883699641</v>
      </c>
      <c r="AL150" s="2">
        <f t="shared" si="380"/>
        <v>117</v>
      </c>
      <c r="AM150" s="57">
        <f t="shared" si="254"/>
        <v>287675</v>
      </c>
      <c r="AN150" s="62">
        <f t="shared" si="410"/>
        <v>10487.580325615036</v>
      </c>
      <c r="AO150" s="2">
        <f t="shared" si="381"/>
        <v>116</v>
      </c>
      <c r="AP150" s="57">
        <f t="shared" si="260"/>
        <v>301406</v>
      </c>
      <c r="AQ150" s="62">
        <f t="shared" si="414"/>
        <v>11436.597876733858</v>
      </c>
      <c r="AR150" s="2">
        <f t="shared" si="382"/>
        <v>115</v>
      </c>
      <c r="AS150" s="57">
        <f t="shared" si="265"/>
        <v>315793</v>
      </c>
      <c r="AT150" s="62">
        <f t="shared" si="418"/>
        <v>12471.515648356075</v>
      </c>
      <c r="AU150" s="2">
        <f t="shared" si="383"/>
        <v>114</v>
      </c>
      <c r="AV150" s="57">
        <f t="shared" si="271"/>
        <v>330866</v>
      </c>
      <c r="AW150" s="62">
        <f t="shared" si="422"/>
        <v>13600.054768153084</v>
      </c>
      <c r="AX150" s="2">
        <f t="shared" si="384"/>
        <v>113</v>
      </c>
      <c r="AY150" s="57">
        <f t="shared" si="277"/>
        <v>346659</v>
      </c>
      <c r="AZ150" s="62">
        <f t="shared" si="426"/>
        <v>14830.738432548789</v>
      </c>
      <c r="BA150" s="2">
        <f t="shared" si="385"/>
        <v>112</v>
      </c>
      <c r="BB150" s="57">
        <f t="shared" si="284"/>
        <v>363206</v>
      </c>
      <c r="BC150" s="62">
        <f t="shared" si="430"/>
        <v>16172.795275503795</v>
      </c>
      <c r="BD150" s="2">
        <f t="shared" si="386"/>
        <v>111</v>
      </c>
      <c r="BE150" s="57">
        <f t="shared" si="289"/>
        <v>380542</v>
      </c>
      <c r="BF150" s="62">
        <f t="shared" si="435"/>
        <v>17636.25828151952</v>
      </c>
      <c r="BG150" s="2">
        <f t="shared" si="387"/>
        <v>110</v>
      </c>
      <c r="BH150" s="57">
        <f t="shared" si="296"/>
        <v>398706</v>
      </c>
      <c r="BI150" s="62">
        <f t="shared" si="439"/>
        <v>19232.175109336989</v>
      </c>
      <c r="BJ150" s="2">
        <f t="shared" si="388"/>
        <v>109</v>
      </c>
      <c r="BK150" s="57">
        <f t="shared" si="300"/>
        <v>417737</v>
      </c>
      <c r="BL150" s="62">
        <f t="shared" si="441"/>
        <v>20972.507390578794</v>
      </c>
      <c r="BM150" s="2">
        <f t="shared" si="389"/>
        <v>108</v>
      </c>
      <c r="BN150" s="57">
        <f t="shared" si="304"/>
        <v>437677</v>
      </c>
      <c r="BO150" s="62">
        <f t="shared" si="445"/>
        <v>22870.355576506758</v>
      </c>
      <c r="BP150" s="2">
        <f t="shared" si="390"/>
        <v>107</v>
      </c>
      <c r="BQ150" s="57">
        <f t="shared" si="308"/>
        <v>458568</v>
      </c>
      <c r="BR150" s="62">
        <f t="shared" si="447"/>
        <v>24939.900499188087</v>
      </c>
      <c r="BS150" s="2">
        <f t="shared" si="391"/>
        <v>106</v>
      </c>
      <c r="BT150" s="57">
        <f t="shared" si="312"/>
        <v>480456</v>
      </c>
      <c r="BU150" s="62">
        <f t="shared" si="452"/>
        <v>27196.710083352256</v>
      </c>
      <c r="BV150" s="2">
        <f t="shared" si="392"/>
        <v>105</v>
      </c>
      <c r="BW150" s="57">
        <f t="shared" si="316"/>
        <v>503389</v>
      </c>
      <c r="BX150" s="62">
        <f t="shared" si="455"/>
        <v>29657.753475729725</v>
      </c>
      <c r="BY150" s="2">
        <f t="shared" si="393"/>
        <v>104</v>
      </c>
      <c r="BZ150" s="57">
        <f t="shared" si="320"/>
        <v>527417</v>
      </c>
      <c r="CA150" s="62">
        <f t="shared" si="459"/>
        <v>32341.520438767671</v>
      </c>
      <c r="CB150" s="2">
        <f t="shared" si="394"/>
        <v>103</v>
      </c>
      <c r="CC150" s="57">
        <f t="shared" si="324"/>
        <v>552592</v>
      </c>
      <c r="CD150" s="62">
        <f t="shared" si="463"/>
        <v>35268.150184623017</v>
      </c>
      <c r="CE150" s="2">
        <f t="shared" si="395"/>
        <v>102</v>
      </c>
      <c r="CF150" s="57">
        <f t="shared" si="328"/>
        <v>578968</v>
      </c>
      <c r="CG150" s="62">
        <f t="shared" si="468"/>
        <v>38459.570343172534</v>
      </c>
      <c r="CH150" s="2">
        <v>101</v>
      </c>
      <c r="CI150" s="57">
        <f t="shared" si="332"/>
        <v>606603</v>
      </c>
      <c r="CJ150" s="62">
        <f t="shared" si="472"/>
        <v>41939.785083131115</v>
      </c>
      <c r="CK150" s="2">
        <v>100</v>
      </c>
      <c r="CL150" s="57">
        <f t="shared" si="336"/>
        <v>635558</v>
      </c>
      <c r="CM150" s="62">
        <f t="shared" si="475"/>
        <v>45734.99287937476</v>
      </c>
      <c r="CN150" s="2">
        <v>99</v>
      </c>
      <c r="CO150" s="57">
        <f t="shared" si="340"/>
        <v>665894</v>
      </c>
      <c r="CP150" s="62">
        <f t="shared" si="480"/>
        <v>49873.552834786497</v>
      </c>
      <c r="CQ150" s="2">
        <v>98</v>
      </c>
      <c r="CR150" s="57">
        <f t="shared" si="344"/>
        <v>697679</v>
      </c>
      <c r="CS150" s="62">
        <f t="shared" si="483"/>
        <v>54386.69092561095</v>
      </c>
      <c r="CT150" s="2">
        <v>97</v>
      </c>
      <c r="CU150" s="57">
        <f t="shared" si="348"/>
        <v>730980</v>
      </c>
      <c r="CV150" s="62">
        <f t="shared" si="488"/>
        <v>59308.133779409727</v>
      </c>
      <c r="CW150" s="2">
        <v>96</v>
      </c>
      <c r="CX150" s="57">
        <f t="shared" si="352"/>
        <v>765871</v>
      </c>
      <c r="CY150" s="62">
        <f t="shared" ref="CY150:CY163" si="491">SUM($G$10*$G$11*CX150*(EXP(-($G$10*CW150))),$G$10*$G$11*CX150*(EXP(-($G$10*(CW150+0.1)))),$G$10*$G$11*CX150*(EXP(-($G$10*(CW150+0.2)))),$G$10*$G$11*CX150*(EXP(-($G$10*(CW150+0.3)))),$G$10*$G$11*CX150*(EXP(-($G$10*(CW150+0.4)))),$G$10*$G$11*CX150*(EXP(-($G$10*(CW150+0.5)))),$G$10*$G$11*CX150*(EXP(-($G$10*(CW150+0.6)))),$G$10*$G$11*CX150*(EXP(-($G$10*(CW150+0.7)))),$G$10*$G$11*CX150*(EXP(-($G$10*(CW150+0.8)))),$G$10*$G$11*CX150*(EXP(-($G$10*(CW150+0.9)))))/10</f>
        <v>64674.95992782242</v>
      </c>
      <c r="CZ150" s="2">
        <v>95</v>
      </c>
      <c r="DA150" s="57">
        <f t="shared" si="196"/>
        <v>0</v>
      </c>
      <c r="DB150" s="62">
        <f t="shared" si="355"/>
        <v>0</v>
      </c>
      <c r="DC150" s="2">
        <v>94</v>
      </c>
      <c r="DD150" s="57">
        <f t="shared" si="202"/>
        <v>0</v>
      </c>
      <c r="DE150" s="62">
        <f t="shared" si="358"/>
        <v>0</v>
      </c>
      <c r="DF150" s="2">
        <v>93</v>
      </c>
      <c r="DG150" s="57">
        <f t="shared" si="209"/>
        <v>0</v>
      </c>
      <c r="DH150" s="62">
        <f t="shared" si="361"/>
        <v>0</v>
      </c>
      <c r="DI150" s="2">
        <v>92</v>
      </c>
      <c r="DJ150" s="57">
        <f t="shared" si="215"/>
        <v>0</v>
      </c>
      <c r="DK150" s="62">
        <f t="shared" si="364"/>
        <v>0</v>
      </c>
      <c r="DL150" s="2">
        <v>91</v>
      </c>
      <c r="DM150" s="57">
        <f t="shared" si="222"/>
        <v>0</v>
      </c>
      <c r="DN150" s="62">
        <f t="shared" si="367"/>
        <v>0</v>
      </c>
      <c r="DO150" s="2">
        <v>90</v>
      </c>
      <c r="DP150" s="57">
        <f t="shared" si="227"/>
        <v>0</v>
      </c>
      <c r="DQ150" s="62">
        <f t="shared" si="396"/>
        <v>0</v>
      </c>
      <c r="DR150" s="2">
        <v>89</v>
      </c>
      <c r="DS150" s="57">
        <f t="shared" si="234"/>
        <v>0</v>
      </c>
      <c r="DT150" s="62">
        <f t="shared" si="399"/>
        <v>0</v>
      </c>
      <c r="DU150" s="2">
        <v>88</v>
      </c>
      <c r="DV150" s="57">
        <f t="shared" si="239"/>
        <v>0</v>
      </c>
      <c r="DW150" s="62">
        <f t="shared" si="402"/>
        <v>0</v>
      </c>
      <c r="DX150" s="2">
        <v>87</v>
      </c>
      <c r="DY150" s="57">
        <f t="shared" si="245"/>
        <v>0</v>
      </c>
      <c r="DZ150" s="62">
        <f t="shared" si="405"/>
        <v>0</v>
      </c>
      <c r="EA150" s="2">
        <f t="shared" si="448"/>
        <v>86</v>
      </c>
      <c r="EB150" s="57">
        <f t="shared" si="411"/>
        <v>0</v>
      </c>
      <c r="EC150" s="62">
        <f t="shared" si="408"/>
        <v>0</v>
      </c>
      <c r="ED150" s="2">
        <f t="shared" si="453"/>
        <v>85</v>
      </c>
      <c r="EE150" s="57">
        <f t="shared" si="415"/>
        <v>0</v>
      </c>
      <c r="EF150" s="62">
        <f t="shared" si="412"/>
        <v>0</v>
      </c>
      <c r="EG150" s="2">
        <f t="shared" si="456"/>
        <v>84</v>
      </c>
      <c r="EH150" s="57">
        <f t="shared" si="419"/>
        <v>0</v>
      </c>
      <c r="EI150" s="62">
        <f t="shared" si="416"/>
        <v>0</v>
      </c>
      <c r="EJ150" s="2">
        <f t="shared" si="460"/>
        <v>83</v>
      </c>
      <c r="EK150" s="57">
        <f t="shared" si="423"/>
        <v>0</v>
      </c>
      <c r="EL150" s="62">
        <f t="shared" si="420"/>
        <v>0</v>
      </c>
      <c r="EM150" s="2">
        <f t="shared" si="464"/>
        <v>82</v>
      </c>
      <c r="EN150" s="57">
        <f t="shared" si="427"/>
        <v>0</v>
      </c>
      <c r="EO150" s="62">
        <f t="shared" si="424"/>
        <v>0</v>
      </c>
      <c r="EP150" s="2">
        <f t="shared" si="469"/>
        <v>81</v>
      </c>
      <c r="EQ150" s="57">
        <f t="shared" si="431"/>
        <v>0</v>
      </c>
      <c r="ER150" s="62">
        <f t="shared" si="428"/>
        <v>0</v>
      </c>
      <c r="ES150" s="2">
        <f t="shared" si="473"/>
        <v>80</v>
      </c>
      <c r="ET150" s="57">
        <f t="shared" si="432"/>
        <v>0</v>
      </c>
      <c r="EU150" s="62">
        <f t="shared" si="433"/>
        <v>0</v>
      </c>
      <c r="EV150" s="2">
        <f t="shared" si="476"/>
        <v>79</v>
      </c>
      <c r="EW150" s="57">
        <f t="shared" si="436"/>
        <v>0</v>
      </c>
      <c r="EX150" s="62">
        <f t="shared" si="437"/>
        <v>0</v>
      </c>
      <c r="EY150" s="2">
        <f t="shared" si="481"/>
        <v>78</v>
      </c>
      <c r="EZ150" s="57">
        <f t="shared" si="442"/>
        <v>0</v>
      </c>
      <c r="FA150" s="62">
        <f t="shared" si="440"/>
        <v>0</v>
      </c>
      <c r="FB150" s="2">
        <f t="shared" si="484"/>
        <v>77</v>
      </c>
      <c r="FC150" s="57">
        <f t="shared" si="443"/>
        <v>0</v>
      </c>
      <c r="FD150" s="62">
        <f t="shared" si="444"/>
        <v>0</v>
      </c>
      <c r="FE150" s="2">
        <f t="shared" si="489"/>
        <v>76</v>
      </c>
      <c r="FF150" s="57">
        <f t="shared" si="449"/>
        <v>0</v>
      </c>
      <c r="FG150" s="62">
        <f t="shared" si="446"/>
        <v>0</v>
      </c>
      <c r="FH150" s="2">
        <f t="shared" ref="FH150:FH163" si="492">IF(FH149="","",(FH149+1))</f>
        <v>75</v>
      </c>
      <c r="FI150" s="57">
        <f t="shared" si="450"/>
        <v>0</v>
      </c>
      <c r="FJ150" s="62">
        <f t="shared" si="451"/>
        <v>0</v>
      </c>
      <c r="FK150" s="2">
        <v>74</v>
      </c>
      <c r="FL150" s="57">
        <f t="shared" si="457"/>
        <v>0</v>
      </c>
      <c r="FM150" s="62">
        <f t="shared" si="454"/>
        <v>0</v>
      </c>
      <c r="FN150" s="2">
        <v>73</v>
      </c>
      <c r="FO150" s="57">
        <f t="shared" si="461"/>
        <v>0</v>
      </c>
      <c r="FP150" s="62">
        <f t="shared" si="458"/>
        <v>0</v>
      </c>
      <c r="FQ150" s="2">
        <v>72</v>
      </c>
      <c r="FR150" s="57">
        <f t="shared" si="465"/>
        <v>0</v>
      </c>
      <c r="FS150" s="62">
        <f t="shared" si="462"/>
        <v>0</v>
      </c>
      <c r="FT150" s="2">
        <v>71</v>
      </c>
      <c r="FU150" s="57">
        <f t="shared" si="466"/>
        <v>0</v>
      </c>
      <c r="FV150" s="62">
        <f t="shared" si="467"/>
        <v>0</v>
      </c>
      <c r="FW150" s="2">
        <v>70</v>
      </c>
      <c r="FX150" s="57">
        <f t="shared" si="470"/>
        <v>0</v>
      </c>
      <c r="FY150" s="62">
        <f t="shared" si="471"/>
        <v>0</v>
      </c>
      <c r="FZ150" s="2">
        <v>69</v>
      </c>
      <c r="GA150" s="57">
        <f t="shared" si="477"/>
        <v>0</v>
      </c>
      <c r="GB150" s="62">
        <f t="shared" si="474"/>
        <v>0</v>
      </c>
      <c r="GC150" s="2">
        <v>68</v>
      </c>
      <c r="GD150" s="57">
        <f t="shared" si="478"/>
        <v>0</v>
      </c>
      <c r="GE150" s="62">
        <f t="shared" si="479"/>
        <v>0</v>
      </c>
      <c r="GF150" s="2">
        <v>67</v>
      </c>
      <c r="GG150" s="57">
        <f t="shared" si="485"/>
        <v>0</v>
      </c>
      <c r="GH150" s="62">
        <f t="shared" si="482"/>
        <v>0</v>
      </c>
      <c r="GI150" s="2">
        <v>66</v>
      </c>
      <c r="GJ150" s="57">
        <f t="shared" si="486"/>
        <v>0</v>
      </c>
      <c r="GK150" s="62">
        <f t="shared" si="487"/>
        <v>0</v>
      </c>
      <c r="GL150" s="2">
        <v>65</v>
      </c>
      <c r="GM150" s="57">
        <f t="shared" ref="GM150:GM163" si="493">$E$84</f>
        <v>0</v>
      </c>
      <c r="GN150" s="62">
        <f t="shared" si="490"/>
        <v>0</v>
      </c>
      <c r="GO150" s="2">
        <v>64</v>
      </c>
      <c r="GP150" s="57">
        <f t="shared" ref="GP150:GP162" si="494">$E$85</f>
        <v>0</v>
      </c>
      <c r="GQ150" s="62">
        <f t="shared" ref="GQ150:GQ163" si="495">SUM($G$10*$G$11*GP150*(EXP(-($G$10*GO150))),$G$10*$G$11*GP150*(EXP(-($G$10*(GO150+0.1)))),$G$10*$G$11*GP150*(EXP(-($G$10*(GO150+0.2)))),$G$10*$G$11*GP150*(EXP(-($G$10*(GO150+0.3)))),$G$10*$G$11*GP150*(EXP(-($G$10*(GO150+0.4)))),$G$10*$G$11*GP150*(EXP(-($G$10*(GO150+0.5)))),$G$10*$G$11*GP150*(EXP(-($G$10*(GO150+0.6)))),$G$10*$G$11*GP150*(EXP(-($G$10*(GO150+0.7)))),$G$10*$G$11*GP150*(EXP(-($G$10*(GO150+0.8)))),$G$10*$G$11*GP150*(EXP(-($G$10*(GO150+0.9)))))/10</f>
        <v>0</v>
      </c>
      <c r="GR150" s="2">
        <v>63</v>
      </c>
      <c r="GS150" s="57">
        <f t="shared" si="204"/>
        <v>0</v>
      </c>
      <c r="GT150" s="62">
        <f t="shared" si="356"/>
        <v>0</v>
      </c>
      <c r="GU150" s="2">
        <v>62</v>
      </c>
      <c r="GV150" s="57">
        <f t="shared" si="205"/>
        <v>0</v>
      </c>
      <c r="GW150" s="62">
        <f t="shared" si="359"/>
        <v>0</v>
      </c>
      <c r="GX150" s="2">
        <v>61</v>
      </c>
      <c r="GY150" s="57">
        <f t="shared" si="217"/>
        <v>0</v>
      </c>
      <c r="GZ150" s="62">
        <f t="shared" si="362"/>
        <v>0</v>
      </c>
      <c r="HA150" s="2">
        <v>60</v>
      </c>
      <c r="HB150" s="57">
        <f t="shared" si="218"/>
        <v>0</v>
      </c>
      <c r="HC150" s="62">
        <f t="shared" si="365"/>
        <v>0</v>
      </c>
      <c r="HD150" s="2">
        <v>59</v>
      </c>
      <c r="HE150" s="57">
        <f t="shared" si="229"/>
        <v>0</v>
      </c>
      <c r="HF150" s="62">
        <f t="shared" si="368"/>
        <v>0</v>
      </c>
      <c r="HG150" s="2">
        <v>58</v>
      </c>
      <c r="HH150" s="57">
        <f t="shared" si="230"/>
        <v>0</v>
      </c>
      <c r="HI150" s="62">
        <f t="shared" si="397"/>
        <v>0</v>
      </c>
      <c r="HJ150" s="2">
        <v>57</v>
      </c>
      <c r="HK150" s="57">
        <f t="shared" si="241"/>
        <v>0</v>
      </c>
      <c r="HL150" s="62">
        <f t="shared" si="400"/>
        <v>0</v>
      </c>
      <c r="HM150" s="2">
        <v>56</v>
      </c>
      <c r="HN150" s="57">
        <f t="shared" si="247"/>
        <v>0</v>
      </c>
      <c r="HO150" s="62">
        <f t="shared" si="403"/>
        <v>0</v>
      </c>
      <c r="HP150" s="2">
        <v>55</v>
      </c>
      <c r="HQ150" s="57">
        <f t="shared" si="248"/>
        <v>0</v>
      </c>
      <c r="HR150" s="62">
        <f t="shared" si="406"/>
        <v>0</v>
      </c>
      <c r="HS150" s="2">
        <v>54</v>
      </c>
      <c r="HT150" s="57">
        <f t="shared" si="257"/>
        <v>0</v>
      </c>
      <c r="HU150" s="62">
        <f t="shared" si="409"/>
        <v>0</v>
      </c>
      <c r="HV150" s="2">
        <v>53</v>
      </c>
      <c r="HW150" s="57">
        <f t="shared" si="258"/>
        <v>0</v>
      </c>
      <c r="HX150" s="62">
        <f t="shared" si="413"/>
        <v>0</v>
      </c>
      <c r="HY150" s="2">
        <v>52</v>
      </c>
      <c r="HZ150" s="57">
        <f t="shared" si="268"/>
        <v>0</v>
      </c>
      <c r="IA150" s="62">
        <f t="shared" si="417"/>
        <v>0</v>
      </c>
      <c r="IB150" s="2">
        <v>51</v>
      </c>
      <c r="IC150" s="57">
        <f t="shared" si="274"/>
        <v>0</v>
      </c>
      <c r="ID150" s="62">
        <f t="shared" si="421"/>
        <v>0</v>
      </c>
      <c r="IE150" s="2">
        <v>50</v>
      </c>
      <c r="IF150" s="57">
        <f t="shared" si="280"/>
        <v>0</v>
      </c>
      <c r="IG150" s="62">
        <f t="shared" si="425"/>
        <v>0</v>
      </c>
      <c r="IH150" s="2">
        <v>49</v>
      </c>
      <c r="II150" s="57">
        <f t="shared" si="281"/>
        <v>0</v>
      </c>
      <c r="IJ150" s="62">
        <f t="shared" si="429"/>
        <v>0</v>
      </c>
      <c r="IK150" s="2">
        <v>48</v>
      </c>
      <c r="IL150" s="57">
        <f t="shared" si="292"/>
        <v>0</v>
      </c>
      <c r="IM150" s="62">
        <f t="shared" si="434"/>
        <v>0</v>
      </c>
      <c r="IN150" s="2">
        <v>47</v>
      </c>
      <c r="IO150" s="57">
        <f t="shared" si="293"/>
        <v>0</v>
      </c>
      <c r="IP150" s="62">
        <f t="shared" si="438"/>
        <v>0</v>
      </c>
    </row>
    <row r="151" spans="7:250">
      <c r="G151" s="284"/>
      <c r="H151" s="284"/>
      <c r="I151" s="2">
        <f t="shared" si="369"/>
        <v>2146</v>
      </c>
      <c r="J151" s="379">
        <f t="shared" si="264"/>
        <v>700160.09410117997</v>
      </c>
      <c r="K151" s="2">
        <f t="shared" si="370"/>
        <v>127</v>
      </c>
      <c r="L151" s="57">
        <f t="shared" si="200"/>
        <v>189082</v>
      </c>
      <c r="M151" s="62">
        <f t="shared" si="357"/>
        <v>4620.6765955928659</v>
      </c>
      <c r="N151" s="2">
        <f t="shared" si="371"/>
        <v>126</v>
      </c>
      <c r="O151" s="57">
        <f t="shared" si="207"/>
        <v>293489</v>
      </c>
      <c r="P151" s="62">
        <f t="shared" si="360"/>
        <v>7464.8140424513167</v>
      </c>
      <c r="Q151" s="2">
        <f t="shared" si="372"/>
        <v>125</v>
      </c>
      <c r="R151" s="57">
        <f t="shared" si="213"/>
        <v>283523</v>
      </c>
      <c r="S151" s="62">
        <f t="shared" si="363"/>
        <v>7505.6315255669351</v>
      </c>
      <c r="T151" s="2">
        <f t="shared" si="373"/>
        <v>124</v>
      </c>
      <c r="U151" s="57">
        <f t="shared" si="220"/>
        <v>143321</v>
      </c>
      <c r="V151" s="62">
        <f t="shared" si="366"/>
        <v>3948.9401641480108</v>
      </c>
      <c r="W151" s="2">
        <f t="shared" si="374"/>
        <v>123</v>
      </c>
      <c r="X151" s="57">
        <f t="shared" si="225"/>
        <v>227851</v>
      </c>
      <c r="Y151" s="62">
        <f t="shared" si="375"/>
        <v>6534.2153224016356</v>
      </c>
      <c r="Z151" s="2">
        <f t="shared" si="376"/>
        <v>122</v>
      </c>
      <c r="AA151" s="57">
        <f t="shared" si="232"/>
        <v>238727</v>
      </c>
      <c r="AB151" s="62">
        <f t="shared" si="398"/>
        <v>7125.5078433397812</v>
      </c>
      <c r="AC151" s="2">
        <f t="shared" si="377"/>
        <v>121</v>
      </c>
      <c r="AD151" s="57">
        <f t="shared" si="237"/>
        <v>250122</v>
      </c>
      <c r="AE151" s="62">
        <f t="shared" si="401"/>
        <v>7770.3029945752451</v>
      </c>
      <c r="AF151" s="2">
        <f t="shared" si="378"/>
        <v>120</v>
      </c>
      <c r="AG151" s="57">
        <f t="shared" si="243"/>
        <v>262060</v>
      </c>
      <c r="AH151" s="62">
        <f t="shared" si="404"/>
        <v>8473.416951262876</v>
      </c>
      <c r="AI151" s="2">
        <f t="shared" si="379"/>
        <v>119</v>
      </c>
      <c r="AJ151" s="57">
        <f t="shared" si="250"/>
        <v>274569</v>
      </c>
      <c r="AK151" s="62">
        <f t="shared" si="407"/>
        <v>9240.1946894068788</v>
      </c>
      <c r="AL151" s="2">
        <f t="shared" si="380"/>
        <v>118</v>
      </c>
      <c r="AM151" s="57">
        <f t="shared" si="254"/>
        <v>287675</v>
      </c>
      <c r="AN151" s="62">
        <f t="shared" si="410"/>
        <v>10076.356419112608</v>
      </c>
      <c r="AO151" s="2">
        <f t="shared" si="381"/>
        <v>117</v>
      </c>
      <c r="AP151" s="57">
        <f t="shared" si="260"/>
        <v>301406</v>
      </c>
      <c r="AQ151" s="62">
        <f t="shared" si="414"/>
        <v>10988.162459797775</v>
      </c>
      <c r="AR151" s="2">
        <f t="shared" si="382"/>
        <v>116</v>
      </c>
      <c r="AS151" s="57">
        <f t="shared" si="265"/>
        <v>315793</v>
      </c>
      <c r="AT151" s="62">
        <f t="shared" si="418"/>
        <v>11982.500525163454</v>
      </c>
      <c r="AU151" s="2">
        <f t="shared" si="383"/>
        <v>115</v>
      </c>
      <c r="AV151" s="57">
        <f t="shared" si="271"/>
        <v>330866</v>
      </c>
      <c r="AW151" s="62">
        <f t="shared" si="422"/>
        <v>13066.78899313468</v>
      </c>
      <c r="AX151" s="2">
        <f t="shared" si="384"/>
        <v>114</v>
      </c>
      <c r="AY151" s="57">
        <f t="shared" si="277"/>
        <v>346659</v>
      </c>
      <c r="AZ151" s="62">
        <f t="shared" si="426"/>
        <v>14249.216860823353</v>
      </c>
      <c r="BA151" s="2">
        <f t="shared" si="385"/>
        <v>113</v>
      </c>
      <c r="BB151" s="57">
        <f t="shared" si="284"/>
        <v>363206</v>
      </c>
      <c r="BC151" s="62">
        <f t="shared" si="430"/>
        <v>15538.650902276631</v>
      </c>
      <c r="BD151" s="2">
        <f t="shared" si="386"/>
        <v>112</v>
      </c>
      <c r="BE151" s="57">
        <f t="shared" si="289"/>
        <v>380542</v>
      </c>
      <c r="BF151" s="62">
        <f t="shared" si="435"/>
        <v>16944.730703046658</v>
      </c>
      <c r="BG151" s="2">
        <f t="shared" si="387"/>
        <v>111</v>
      </c>
      <c r="BH151" s="57">
        <f t="shared" si="296"/>
        <v>398706</v>
      </c>
      <c r="BI151" s="62">
        <f t="shared" si="439"/>
        <v>18478.070736979156</v>
      </c>
      <c r="BJ151" s="2">
        <f t="shared" si="388"/>
        <v>110</v>
      </c>
      <c r="BK151" s="57">
        <f t="shared" si="300"/>
        <v>417737</v>
      </c>
      <c r="BL151" s="62">
        <f t="shared" si="441"/>
        <v>20150.163613412158</v>
      </c>
      <c r="BM151" s="2">
        <f t="shared" si="389"/>
        <v>109</v>
      </c>
      <c r="BN151" s="57">
        <f t="shared" si="304"/>
        <v>437677</v>
      </c>
      <c r="BO151" s="62">
        <f t="shared" si="445"/>
        <v>21973.59610756614</v>
      </c>
      <c r="BP151" s="2">
        <f t="shared" si="390"/>
        <v>108</v>
      </c>
      <c r="BQ151" s="57">
        <f t="shared" si="308"/>
        <v>458568</v>
      </c>
      <c r="BR151" s="62">
        <f t="shared" si="447"/>
        <v>23961.993013129664</v>
      </c>
      <c r="BS151" s="2">
        <f t="shared" si="391"/>
        <v>107</v>
      </c>
      <c r="BT151" s="57">
        <f t="shared" si="312"/>
        <v>480456</v>
      </c>
      <c r="BU151" s="62">
        <f t="shared" si="452"/>
        <v>26130.311827772348</v>
      </c>
      <c r="BV151" s="2">
        <f t="shared" si="392"/>
        <v>106</v>
      </c>
      <c r="BW151" s="57">
        <f t="shared" si="316"/>
        <v>503389</v>
      </c>
      <c r="BX151" s="62">
        <f t="shared" si="455"/>
        <v>28494.856328464222</v>
      </c>
      <c r="BY151" s="2">
        <f t="shared" si="393"/>
        <v>105</v>
      </c>
      <c r="BZ151" s="57">
        <f t="shared" si="320"/>
        <v>527417</v>
      </c>
      <c r="CA151" s="62">
        <f t="shared" si="459"/>
        <v>31073.39128369699</v>
      </c>
      <c r="CB151" s="2">
        <f t="shared" si="394"/>
        <v>104</v>
      </c>
      <c r="CC151" s="57">
        <f t="shared" si="324"/>
        <v>552592</v>
      </c>
      <c r="CD151" s="62">
        <f t="shared" si="463"/>
        <v>33885.266235823852</v>
      </c>
      <c r="CE151" s="2">
        <f t="shared" si="395"/>
        <v>103</v>
      </c>
      <c r="CF151" s="57">
        <f t="shared" si="328"/>
        <v>578968</v>
      </c>
      <c r="CG151" s="62">
        <f t="shared" si="468"/>
        <v>36951.54902005606</v>
      </c>
      <c r="CH151" s="2">
        <v>102</v>
      </c>
      <c r="CI151" s="57">
        <f t="shared" si="332"/>
        <v>606603</v>
      </c>
      <c r="CJ151" s="62">
        <f t="shared" si="472"/>
        <v>40295.30258819052</v>
      </c>
      <c r="CK151" s="2">
        <v>101</v>
      </c>
      <c r="CL151" s="57">
        <f t="shared" si="336"/>
        <v>635558</v>
      </c>
      <c r="CM151" s="62">
        <f t="shared" si="475"/>
        <v>43941.698158209976</v>
      </c>
      <c r="CN151" s="2">
        <v>100</v>
      </c>
      <c r="CO151" s="57">
        <f t="shared" si="340"/>
        <v>665894</v>
      </c>
      <c r="CP151" s="62">
        <f t="shared" si="480"/>
        <v>47917.982856668277</v>
      </c>
      <c r="CQ151" s="2">
        <v>99</v>
      </c>
      <c r="CR151" s="57">
        <f t="shared" si="344"/>
        <v>697679</v>
      </c>
      <c r="CS151" s="62">
        <f t="shared" si="483"/>
        <v>52254.158271768494</v>
      </c>
      <c r="CT151" s="2">
        <v>98</v>
      </c>
      <c r="CU151" s="57">
        <f t="shared" si="348"/>
        <v>730980</v>
      </c>
      <c r="CV151" s="62">
        <f t="shared" si="488"/>
        <v>56982.628591090019</v>
      </c>
      <c r="CW151" s="2">
        <v>97</v>
      </c>
      <c r="CX151" s="57">
        <f t="shared" si="352"/>
        <v>765871</v>
      </c>
      <c r="CY151" s="62">
        <f t="shared" si="491"/>
        <v>62139.018476251476</v>
      </c>
      <c r="CZ151" s="2">
        <v>96</v>
      </c>
      <c r="DA151" s="57">
        <f t="shared" ref="DA151:DA163" si="496">$E$54</f>
        <v>0</v>
      </c>
      <c r="DB151" s="62">
        <f t="shared" ref="DB151:DB163" si="497">SUM($G$10*$G$11*DA151*(EXP(-($G$10*CZ151))),$G$10*$G$11*DA151*(EXP(-($G$10*(CZ151+0.1)))),$G$10*$G$11*DA151*(EXP(-($G$10*(CZ151+0.2)))),$G$10*$G$11*DA151*(EXP(-($G$10*(CZ151+0.3)))),$G$10*$G$11*DA151*(EXP(-($G$10*(CZ151+0.4)))),$G$10*$G$11*DA151*(EXP(-($G$10*(CZ151+0.5)))),$G$10*$G$11*DA151*(EXP(-($G$10*(CZ151+0.6)))),$G$10*$G$11*DA151*(EXP(-($G$10*(CZ151+0.7)))),$G$10*$G$11*DA151*(EXP(-($G$10*(CZ151+0.8)))),$G$10*$G$11*DA151*(EXP(-($G$10*(CZ151+0.9)))))/10</f>
        <v>0</v>
      </c>
      <c r="DC151" s="2">
        <v>95</v>
      </c>
      <c r="DD151" s="57">
        <f t="shared" si="202"/>
        <v>0</v>
      </c>
      <c r="DE151" s="62">
        <f t="shared" si="358"/>
        <v>0</v>
      </c>
      <c r="DF151" s="2">
        <v>94</v>
      </c>
      <c r="DG151" s="57">
        <f t="shared" si="209"/>
        <v>0</v>
      </c>
      <c r="DH151" s="62">
        <f t="shared" si="361"/>
        <v>0</v>
      </c>
      <c r="DI151" s="2">
        <v>93</v>
      </c>
      <c r="DJ151" s="57">
        <f t="shared" si="215"/>
        <v>0</v>
      </c>
      <c r="DK151" s="62">
        <f t="shared" si="364"/>
        <v>0</v>
      </c>
      <c r="DL151" s="2">
        <v>92</v>
      </c>
      <c r="DM151" s="57">
        <f t="shared" si="222"/>
        <v>0</v>
      </c>
      <c r="DN151" s="62">
        <f t="shared" si="367"/>
        <v>0</v>
      </c>
      <c r="DO151" s="2">
        <v>91</v>
      </c>
      <c r="DP151" s="57">
        <f t="shared" si="227"/>
        <v>0</v>
      </c>
      <c r="DQ151" s="62">
        <f t="shared" si="396"/>
        <v>0</v>
      </c>
      <c r="DR151" s="2">
        <v>90</v>
      </c>
      <c r="DS151" s="57">
        <f t="shared" si="234"/>
        <v>0</v>
      </c>
      <c r="DT151" s="62">
        <f t="shared" si="399"/>
        <v>0</v>
      </c>
      <c r="DU151" s="2">
        <v>89</v>
      </c>
      <c r="DV151" s="57">
        <f t="shared" si="239"/>
        <v>0</v>
      </c>
      <c r="DW151" s="62">
        <f t="shared" si="402"/>
        <v>0</v>
      </c>
      <c r="DX151" s="2">
        <v>88</v>
      </c>
      <c r="DY151" s="57">
        <f t="shared" si="245"/>
        <v>0</v>
      </c>
      <c r="DZ151" s="62">
        <f t="shared" si="405"/>
        <v>0</v>
      </c>
      <c r="EA151" s="2">
        <f t="shared" si="448"/>
        <v>87</v>
      </c>
      <c r="EB151" s="57">
        <f t="shared" si="411"/>
        <v>0</v>
      </c>
      <c r="EC151" s="62">
        <f t="shared" si="408"/>
        <v>0</v>
      </c>
      <c r="ED151" s="2">
        <f t="shared" si="453"/>
        <v>86</v>
      </c>
      <c r="EE151" s="57">
        <f t="shared" si="415"/>
        <v>0</v>
      </c>
      <c r="EF151" s="62">
        <f t="shared" si="412"/>
        <v>0</v>
      </c>
      <c r="EG151" s="2">
        <f t="shared" si="456"/>
        <v>85</v>
      </c>
      <c r="EH151" s="57">
        <f t="shared" si="419"/>
        <v>0</v>
      </c>
      <c r="EI151" s="62">
        <f t="shared" si="416"/>
        <v>0</v>
      </c>
      <c r="EJ151" s="2">
        <f t="shared" si="460"/>
        <v>84</v>
      </c>
      <c r="EK151" s="57">
        <f t="shared" si="423"/>
        <v>0</v>
      </c>
      <c r="EL151" s="62">
        <f t="shared" si="420"/>
        <v>0</v>
      </c>
      <c r="EM151" s="2">
        <f t="shared" si="464"/>
        <v>83</v>
      </c>
      <c r="EN151" s="57">
        <f t="shared" si="427"/>
        <v>0</v>
      </c>
      <c r="EO151" s="62">
        <f t="shared" si="424"/>
        <v>0</v>
      </c>
      <c r="EP151" s="2">
        <f t="shared" si="469"/>
        <v>82</v>
      </c>
      <c r="EQ151" s="57">
        <f t="shared" si="431"/>
        <v>0</v>
      </c>
      <c r="ER151" s="62">
        <f t="shared" si="428"/>
        <v>0</v>
      </c>
      <c r="ES151" s="2">
        <f t="shared" si="473"/>
        <v>81</v>
      </c>
      <c r="ET151" s="57">
        <f t="shared" si="432"/>
        <v>0</v>
      </c>
      <c r="EU151" s="62">
        <f t="shared" si="433"/>
        <v>0</v>
      </c>
      <c r="EV151" s="2">
        <f t="shared" si="476"/>
        <v>80</v>
      </c>
      <c r="EW151" s="57">
        <f t="shared" si="436"/>
        <v>0</v>
      </c>
      <c r="EX151" s="62">
        <f t="shared" si="437"/>
        <v>0</v>
      </c>
      <c r="EY151" s="2">
        <f t="shared" si="481"/>
        <v>79</v>
      </c>
      <c r="EZ151" s="57">
        <f t="shared" si="442"/>
        <v>0</v>
      </c>
      <c r="FA151" s="62">
        <f t="shared" si="440"/>
        <v>0</v>
      </c>
      <c r="FB151" s="2">
        <f t="shared" si="484"/>
        <v>78</v>
      </c>
      <c r="FC151" s="57">
        <f t="shared" si="443"/>
        <v>0</v>
      </c>
      <c r="FD151" s="62">
        <f t="shared" si="444"/>
        <v>0</v>
      </c>
      <c r="FE151" s="2">
        <f t="shared" si="489"/>
        <v>77</v>
      </c>
      <c r="FF151" s="57">
        <f t="shared" si="449"/>
        <v>0</v>
      </c>
      <c r="FG151" s="62">
        <f t="shared" si="446"/>
        <v>0</v>
      </c>
      <c r="FH151" s="2">
        <f t="shared" si="492"/>
        <v>76</v>
      </c>
      <c r="FI151" s="57">
        <f t="shared" si="450"/>
        <v>0</v>
      </c>
      <c r="FJ151" s="62">
        <f t="shared" si="451"/>
        <v>0</v>
      </c>
      <c r="FK151" s="2">
        <f t="shared" ref="FK151:FK163" si="498">IF(FK150="","",(FK150+1))</f>
        <v>75</v>
      </c>
      <c r="FL151" s="57">
        <f t="shared" si="457"/>
        <v>0</v>
      </c>
      <c r="FM151" s="62">
        <f t="shared" si="454"/>
        <v>0</v>
      </c>
      <c r="FN151" s="2">
        <v>74</v>
      </c>
      <c r="FO151" s="57">
        <f t="shared" si="461"/>
        <v>0</v>
      </c>
      <c r="FP151" s="62">
        <f t="shared" si="458"/>
        <v>0</v>
      </c>
      <c r="FQ151" s="2">
        <v>73</v>
      </c>
      <c r="FR151" s="57">
        <f t="shared" si="465"/>
        <v>0</v>
      </c>
      <c r="FS151" s="62">
        <f t="shared" si="462"/>
        <v>0</v>
      </c>
      <c r="FT151" s="2">
        <v>72</v>
      </c>
      <c r="FU151" s="57">
        <f t="shared" si="466"/>
        <v>0</v>
      </c>
      <c r="FV151" s="62">
        <f t="shared" si="467"/>
        <v>0</v>
      </c>
      <c r="FW151" s="2">
        <v>71</v>
      </c>
      <c r="FX151" s="57">
        <f t="shared" si="470"/>
        <v>0</v>
      </c>
      <c r="FY151" s="62">
        <f t="shared" si="471"/>
        <v>0</v>
      </c>
      <c r="FZ151" s="2">
        <v>70</v>
      </c>
      <c r="GA151" s="57">
        <f t="shared" si="477"/>
        <v>0</v>
      </c>
      <c r="GB151" s="62">
        <f t="shared" si="474"/>
        <v>0</v>
      </c>
      <c r="GC151" s="2">
        <v>69</v>
      </c>
      <c r="GD151" s="57">
        <f t="shared" si="478"/>
        <v>0</v>
      </c>
      <c r="GE151" s="62">
        <f t="shared" si="479"/>
        <v>0</v>
      </c>
      <c r="GF151" s="2">
        <v>68</v>
      </c>
      <c r="GG151" s="57">
        <f t="shared" si="485"/>
        <v>0</v>
      </c>
      <c r="GH151" s="62">
        <f t="shared" si="482"/>
        <v>0</v>
      </c>
      <c r="GI151" s="2">
        <v>67</v>
      </c>
      <c r="GJ151" s="57">
        <f t="shared" si="486"/>
        <v>0</v>
      </c>
      <c r="GK151" s="62">
        <f t="shared" si="487"/>
        <v>0</v>
      </c>
      <c r="GL151" s="2">
        <v>66</v>
      </c>
      <c r="GM151" s="57">
        <f t="shared" si="493"/>
        <v>0</v>
      </c>
      <c r="GN151" s="62">
        <f t="shared" si="490"/>
        <v>0</v>
      </c>
      <c r="GO151" s="2">
        <v>65</v>
      </c>
      <c r="GP151" s="57">
        <f t="shared" si="494"/>
        <v>0</v>
      </c>
      <c r="GQ151" s="62">
        <f t="shared" si="495"/>
        <v>0</v>
      </c>
      <c r="GR151" s="2">
        <v>64</v>
      </c>
      <c r="GS151" s="57">
        <f t="shared" si="204"/>
        <v>0</v>
      </c>
      <c r="GT151" s="62">
        <f t="shared" ref="GT151:GT163" si="499">SUM($G$10*$G$11*GS151*(EXP(-($G$10*GR151))),$G$10*$G$11*GS151*(EXP(-($G$10*(GR151+0.1)))),$G$10*$G$11*GS151*(EXP(-($G$10*(GR151+0.2)))),$G$10*$G$11*GS151*(EXP(-($G$10*(GR151+0.3)))),$G$10*$G$11*GS151*(EXP(-($G$10*(GR151+0.4)))),$G$10*$G$11*GS151*(EXP(-($G$10*(GR151+0.5)))),$G$10*$G$11*GS151*(EXP(-($G$10*(GR151+0.6)))),$G$10*$G$11*GS151*(EXP(-($G$10*(GR151+0.7)))),$G$10*$G$11*GS151*(EXP(-($G$10*(GR151+0.8)))),$G$10*$G$11*GS151*(EXP(-($G$10*(GR151+0.9)))))/10</f>
        <v>0</v>
      </c>
      <c r="GU151" s="2">
        <v>63</v>
      </c>
      <c r="GV151" s="57">
        <f t="shared" si="205"/>
        <v>0</v>
      </c>
      <c r="GW151" s="62">
        <f t="shared" si="359"/>
        <v>0</v>
      </c>
      <c r="GX151" s="2">
        <v>62</v>
      </c>
      <c r="GY151" s="57">
        <f t="shared" si="217"/>
        <v>0</v>
      </c>
      <c r="GZ151" s="62">
        <f t="shared" si="362"/>
        <v>0</v>
      </c>
      <c r="HA151" s="2">
        <v>61</v>
      </c>
      <c r="HB151" s="57">
        <f t="shared" si="218"/>
        <v>0</v>
      </c>
      <c r="HC151" s="62">
        <f t="shared" si="365"/>
        <v>0</v>
      </c>
      <c r="HD151" s="2">
        <v>60</v>
      </c>
      <c r="HE151" s="57">
        <f t="shared" si="229"/>
        <v>0</v>
      </c>
      <c r="HF151" s="62">
        <f t="shared" si="368"/>
        <v>0</v>
      </c>
      <c r="HG151" s="2">
        <v>59</v>
      </c>
      <c r="HH151" s="57">
        <f t="shared" si="230"/>
        <v>0</v>
      </c>
      <c r="HI151" s="62">
        <f t="shared" si="397"/>
        <v>0</v>
      </c>
      <c r="HJ151" s="2">
        <v>58</v>
      </c>
      <c r="HK151" s="57">
        <f t="shared" si="241"/>
        <v>0</v>
      </c>
      <c r="HL151" s="62">
        <f t="shared" si="400"/>
        <v>0</v>
      </c>
      <c r="HM151" s="2">
        <v>57</v>
      </c>
      <c r="HN151" s="57">
        <f t="shared" si="247"/>
        <v>0</v>
      </c>
      <c r="HO151" s="62">
        <f t="shared" si="403"/>
        <v>0</v>
      </c>
      <c r="HP151" s="2">
        <v>56</v>
      </c>
      <c r="HQ151" s="57">
        <f t="shared" si="248"/>
        <v>0</v>
      </c>
      <c r="HR151" s="62">
        <f t="shared" si="406"/>
        <v>0</v>
      </c>
      <c r="HS151" s="2">
        <v>55</v>
      </c>
      <c r="HT151" s="57">
        <f t="shared" si="257"/>
        <v>0</v>
      </c>
      <c r="HU151" s="62">
        <f t="shared" si="409"/>
        <v>0</v>
      </c>
      <c r="HV151" s="2">
        <v>54</v>
      </c>
      <c r="HW151" s="57">
        <f t="shared" si="258"/>
        <v>0</v>
      </c>
      <c r="HX151" s="62">
        <f t="shared" si="413"/>
        <v>0</v>
      </c>
      <c r="HY151" s="2">
        <v>53</v>
      </c>
      <c r="HZ151" s="57">
        <f t="shared" si="268"/>
        <v>0</v>
      </c>
      <c r="IA151" s="62">
        <f t="shared" si="417"/>
        <v>0</v>
      </c>
      <c r="IB151" s="2">
        <v>52</v>
      </c>
      <c r="IC151" s="57">
        <f t="shared" si="274"/>
        <v>0</v>
      </c>
      <c r="ID151" s="62">
        <f t="shared" si="421"/>
        <v>0</v>
      </c>
      <c r="IE151" s="2">
        <v>51</v>
      </c>
      <c r="IF151" s="57">
        <f t="shared" si="280"/>
        <v>0</v>
      </c>
      <c r="IG151" s="62">
        <f t="shared" si="425"/>
        <v>0</v>
      </c>
      <c r="IH151" s="2">
        <v>50</v>
      </c>
      <c r="II151" s="57">
        <f t="shared" si="281"/>
        <v>0</v>
      </c>
      <c r="IJ151" s="62">
        <f t="shared" si="429"/>
        <v>0</v>
      </c>
      <c r="IK151" s="2">
        <v>49</v>
      </c>
      <c r="IL151" s="57">
        <f t="shared" si="292"/>
        <v>0</v>
      </c>
      <c r="IM151" s="62">
        <f t="shared" si="434"/>
        <v>0</v>
      </c>
      <c r="IN151" s="2">
        <v>48</v>
      </c>
      <c r="IO151" s="57">
        <f t="shared" si="293"/>
        <v>0</v>
      </c>
      <c r="IP151" s="62">
        <f t="shared" si="438"/>
        <v>0</v>
      </c>
    </row>
    <row r="152" spans="7:250">
      <c r="I152" s="2">
        <f t="shared" si="369"/>
        <v>2147</v>
      </c>
      <c r="J152" s="379">
        <f t="shared" si="264"/>
        <v>672706.42412831052</v>
      </c>
      <c r="K152" s="2">
        <f t="shared" si="370"/>
        <v>128</v>
      </c>
      <c r="L152" s="57">
        <f t="shared" ref="L152:L163" si="500">$E$23</f>
        <v>189082</v>
      </c>
      <c r="M152" s="62">
        <f t="shared" ref="M152:M163" si="501">SUM($G$10*$G$11*L152*(EXP(-($G$10*K152))),$G$10*$G$11*L152*(EXP(-($G$10*(K152+0.1)))),$G$10*$G$11*L152*(EXP(-($G$10*(K152+0.2)))),$G$10*$G$11*L152*(EXP(-($G$10*(K152+0.3)))),$G$10*$G$11*L152*(EXP(-($G$10*(K152+0.4)))),$G$10*$G$11*L152*(EXP(-($G$10*(K152+0.5)))),$G$10*$G$11*L152*(EXP(-($G$10*(K152+0.6)))),$G$10*$G$11*L152*(EXP(-($G$10*(K152+0.7)))),$G$10*$G$11*L152*(EXP(-($G$10*(K152+0.8)))),$G$10*$G$11*L152*(EXP(-($G$10*(K152+0.9)))))/10</f>
        <v>4439.4972747839365</v>
      </c>
      <c r="N152" s="2">
        <f t="shared" si="371"/>
        <v>127</v>
      </c>
      <c r="O152" s="57">
        <f t="shared" si="207"/>
        <v>293489</v>
      </c>
      <c r="P152" s="62">
        <f t="shared" si="360"/>
        <v>7172.1144972231868</v>
      </c>
      <c r="Q152" s="2">
        <f t="shared" si="372"/>
        <v>126</v>
      </c>
      <c r="R152" s="57">
        <f t="shared" si="213"/>
        <v>283523</v>
      </c>
      <c r="S152" s="62">
        <f t="shared" si="363"/>
        <v>7211.3315039334502</v>
      </c>
      <c r="T152" s="2">
        <f t="shared" si="373"/>
        <v>125</v>
      </c>
      <c r="U152" s="57">
        <f t="shared" si="220"/>
        <v>143321</v>
      </c>
      <c r="V152" s="62">
        <f t="shared" si="366"/>
        <v>3794.1000055578525</v>
      </c>
      <c r="W152" s="2">
        <f t="shared" si="374"/>
        <v>124</v>
      </c>
      <c r="X152" s="57">
        <f t="shared" si="225"/>
        <v>227851</v>
      </c>
      <c r="Y152" s="62">
        <f t="shared" si="375"/>
        <v>6278.005074910785</v>
      </c>
      <c r="Z152" s="2">
        <f t="shared" si="376"/>
        <v>123</v>
      </c>
      <c r="AA152" s="57">
        <f t="shared" si="232"/>
        <v>238727</v>
      </c>
      <c r="AB152" s="62">
        <f t="shared" si="398"/>
        <v>6846.1126844779064</v>
      </c>
      <c r="AC152" s="2">
        <f t="shared" si="377"/>
        <v>122</v>
      </c>
      <c r="AD152" s="57">
        <f t="shared" si="237"/>
        <v>250122</v>
      </c>
      <c r="AE152" s="62">
        <f t="shared" si="401"/>
        <v>7465.6250562015703</v>
      </c>
      <c r="AF152" s="2">
        <f t="shared" si="378"/>
        <v>121</v>
      </c>
      <c r="AG152" s="57">
        <f t="shared" si="243"/>
        <v>262060</v>
      </c>
      <c r="AH152" s="62">
        <f t="shared" si="404"/>
        <v>8141.169520307647</v>
      </c>
      <c r="AI152" s="2">
        <f t="shared" si="379"/>
        <v>120</v>
      </c>
      <c r="AJ152" s="57">
        <f t="shared" si="250"/>
        <v>274569</v>
      </c>
      <c r="AK152" s="62">
        <f t="shared" si="407"/>
        <v>8877.881473293508</v>
      </c>
      <c r="AL152" s="2">
        <f t="shared" si="380"/>
        <v>119</v>
      </c>
      <c r="AM152" s="57">
        <f t="shared" si="254"/>
        <v>287675</v>
      </c>
      <c r="AN152" s="62">
        <f t="shared" si="410"/>
        <v>9681.2568326181172</v>
      </c>
      <c r="AO152" s="2">
        <f t="shared" si="381"/>
        <v>118</v>
      </c>
      <c r="AP152" s="57">
        <f t="shared" si="260"/>
        <v>301406</v>
      </c>
      <c r="AQ152" s="62">
        <f t="shared" si="414"/>
        <v>10557.310447063715</v>
      </c>
      <c r="AR152" s="2">
        <f t="shared" si="382"/>
        <v>117</v>
      </c>
      <c r="AS152" s="57">
        <f t="shared" si="265"/>
        <v>315793</v>
      </c>
      <c r="AT152" s="62">
        <f t="shared" si="418"/>
        <v>11512.659959214212</v>
      </c>
      <c r="AU152" s="2">
        <f t="shared" si="383"/>
        <v>116</v>
      </c>
      <c r="AV152" s="57">
        <f t="shared" si="271"/>
        <v>330866</v>
      </c>
      <c r="AW152" s="62">
        <f t="shared" si="422"/>
        <v>12554.432868235619</v>
      </c>
      <c r="AX152" s="2">
        <f t="shared" si="384"/>
        <v>115</v>
      </c>
      <c r="AY152" s="57">
        <f t="shared" si="277"/>
        <v>346659</v>
      </c>
      <c r="AZ152" s="62">
        <f t="shared" si="426"/>
        <v>13690.497076070296</v>
      </c>
      <c r="BA152" s="2">
        <f t="shared" si="385"/>
        <v>114</v>
      </c>
      <c r="BB152" s="57">
        <f t="shared" si="284"/>
        <v>363206</v>
      </c>
      <c r="BC152" s="62">
        <f t="shared" si="430"/>
        <v>14929.371685582106</v>
      </c>
      <c r="BD152" s="2">
        <f t="shared" si="386"/>
        <v>113</v>
      </c>
      <c r="BE152" s="57">
        <f t="shared" si="289"/>
        <v>380542</v>
      </c>
      <c r="BF152" s="62">
        <f t="shared" si="435"/>
        <v>16280.318308767353</v>
      </c>
      <c r="BG152" s="2">
        <f t="shared" si="387"/>
        <v>112</v>
      </c>
      <c r="BH152" s="57">
        <f t="shared" si="296"/>
        <v>398706</v>
      </c>
      <c r="BI152" s="62">
        <f t="shared" si="439"/>
        <v>17753.535219999165</v>
      </c>
      <c r="BJ152" s="2">
        <f t="shared" si="388"/>
        <v>111</v>
      </c>
      <c r="BK152" s="57">
        <f t="shared" si="300"/>
        <v>417737</v>
      </c>
      <c r="BL152" s="62">
        <f t="shared" si="441"/>
        <v>19360.064396957816</v>
      </c>
      <c r="BM152" s="2">
        <f t="shared" si="389"/>
        <v>110</v>
      </c>
      <c r="BN152" s="57">
        <f t="shared" si="304"/>
        <v>437677</v>
      </c>
      <c r="BO152" s="62">
        <f t="shared" si="445"/>
        <v>21111.999080348141</v>
      </c>
      <c r="BP152" s="2">
        <f t="shared" si="390"/>
        <v>109</v>
      </c>
      <c r="BQ152" s="57">
        <f t="shared" si="308"/>
        <v>458568</v>
      </c>
      <c r="BR152" s="62">
        <f t="shared" si="447"/>
        <v>23022.429828056735</v>
      </c>
      <c r="BS152" s="2">
        <f t="shared" si="391"/>
        <v>108</v>
      </c>
      <c r="BT152" s="57">
        <f t="shared" si="312"/>
        <v>480456</v>
      </c>
      <c r="BU152" s="62">
        <f t="shared" si="452"/>
        <v>25105.72764588071</v>
      </c>
      <c r="BV152" s="2">
        <f t="shared" si="392"/>
        <v>107</v>
      </c>
      <c r="BW152" s="57">
        <f t="shared" si="316"/>
        <v>503389</v>
      </c>
      <c r="BX152" s="62">
        <f t="shared" si="455"/>
        <v>27377.557030551176</v>
      </c>
      <c r="BY152" s="2">
        <f t="shared" si="393"/>
        <v>106</v>
      </c>
      <c r="BZ152" s="57">
        <f t="shared" si="320"/>
        <v>527417</v>
      </c>
      <c r="CA152" s="62">
        <f t="shared" si="459"/>
        <v>29854.986184023921</v>
      </c>
      <c r="CB152" s="2">
        <f t="shared" si="394"/>
        <v>105</v>
      </c>
      <c r="CC152" s="57">
        <f t="shared" si="324"/>
        <v>552592</v>
      </c>
      <c r="CD152" s="62">
        <f t="shared" si="463"/>
        <v>32556.605942244358</v>
      </c>
      <c r="CE152" s="2">
        <f t="shared" si="395"/>
        <v>104</v>
      </c>
      <c r="CF152" s="57">
        <f t="shared" si="328"/>
        <v>578968</v>
      </c>
      <c r="CG152" s="62">
        <f t="shared" si="468"/>
        <v>35502.658058789231</v>
      </c>
      <c r="CH152" s="2">
        <v>103</v>
      </c>
      <c r="CI152" s="57">
        <f t="shared" si="332"/>
        <v>606603</v>
      </c>
      <c r="CJ152" s="62">
        <f t="shared" si="472"/>
        <v>38715.30117418072</v>
      </c>
      <c r="CK152" s="2">
        <v>102</v>
      </c>
      <c r="CL152" s="57">
        <f t="shared" si="336"/>
        <v>635558</v>
      </c>
      <c r="CM152" s="62">
        <f t="shared" si="475"/>
        <v>42218.719528827241</v>
      </c>
      <c r="CN152" s="2">
        <v>101</v>
      </c>
      <c r="CO152" s="57">
        <f t="shared" si="340"/>
        <v>665894</v>
      </c>
      <c r="CP152" s="62">
        <f t="shared" si="480"/>
        <v>46039.091874168946</v>
      </c>
      <c r="CQ152" s="2">
        <v>100</v>
      </c>
      <c r="CR152" s="57">
        <f t="shared" si="344"/>
        <v>697679</v>
      </c>
      <c r="CS152" s="62">
        <f t="shared" si="483"/>
        <v>50205.243419309183</v>
      </c>
      <c r="CT152" s="2">
        <v>99</v>
      </c>
      <c r="CU152" s="57">
        <f t="shared" si="348"/>
        <v>730980</v>
      </c>
      <c r="CV152" s="62">
        <f t="shared" si="488"/>
        <v>54748.307765458514</v>
      </c>
      <c r="CW152" s="2">
        <v>98</v>
      </c>
      <c r="CX152" s="57">
        <f t="shared" si="352"/>
        <v>765871</v>
      </c>
      <c r="CY152" s="62">
        <f t="shared" si="491"/>
        <v>59702.512711273506</v>
      </c>
      <c r="CZ152" s="2">
        <v>97</v>
      </c>
      <c r="DA152" s="57">
        <f t="shared" si="496"/>
        <v>0</v>
      </c>
      <c r="DB152" s="62">
        <f t="shared" si="497"/>
        <v>0</v>
      </c>
      <c r="DC152" s="2">
        <v>96</v>
      </c>
      <c r="DD152" s="57">
        <f t="shared" ref="DD152:DD163" si="502">$E$55</f>
        <v>0</v>
      </c>
      <c r="DE152" s="62">
        <f t="shared" ref="DE152:DE163" si="503">SUM($G$10*$G$11*DD152*(EXP(-($G$10*DC152))),$G$10*$G$11*DD152*(EXP(-($G$10*(DC152+0.1)))),$G$10*$G$11*DD152*(EXP(-($G$10*(DC152+0.2)))),$G$10*$G$11*DD152*(EXP(-($G$10*(DC152+0.3)))),$G$10*$G$11*DD152*(EXP(-($G$10*(DC152+0.4)))),$G$10*$G$11*DD152*(EXP(-($G$10*(DC152+0.5)))),$G$10*$G$11*DD152*(EXP(-($G$10*(DC152+0.6)))),$G$10*$G$11*DD152*(EXP(-($G$10*(DC152+0.7)))),$G$10*$G$11*DD152*(EXP(-($G$10*(DC152+0.8)))),$G$10*$G$11*DD152*(EXP(-($G$10*(DC152+0.9)))))/10</f>
        <v>0</v>
      </c>
      <c r="DF152" s="2">
        <v>95</v>
      </c>
      <c r="DG152" s="57">
        <f t="shared" si="209"/>
        <v>0</v>
      </c>
      <c r="DH152" s="62">
        <f t="shared" si="361"/>
        <v>0</v>
      </c>
      <c r="DI152" s="2">
        <v>94</v>
      </c>
      <c r="DJ152" s="57">
        <f t="shared" si="215"/>
        <v>0</v>
      </c>
      <c r="DK152" s="62">
        <f t="shared" si="364"/>
        <v>0</v>
      </c>
      <c r="DL152" s="2">
        <v>93</v>
      </c>
      <c r="DM152" s="57">
        <f t="shared" si="222"/>
        <v>0</v>
      </c>
      <c r="DN152" s="62">
        <f t="shared" si="367"/>
        <v>0</v>
      </c>
      <c r="DO152" s="2">
        <v>92</v>
      </c>
      <c r="DP152" s="57">
        <f t="shared" si="227"/>
        <v>0</v>
      </c>
      <c r="DQ152" s="62">
        <f t="shared" si="396"/>
        <v>0</v>
      </c>
      <c r="DR152" s="2">
        <v>91</v>
      </c>
      <c r="DS152" s="57">
        <f t="shared" si="234"/>
        <v>0</v>
      </c>
      <c r="DT152" s="62">
        <f t="shared" si="399"/>
        <v>0</v>
      </c>
      <c r="DU152" s="2">
        <v>90</v>
      </c>
      <c r="DV152" s="57">
        <f t="shared" si="239"/>
        <v>0</v>
      </c>
      <c r="DW152" s="62">
        <f t="shared" si="402"/>
        <v>0</v>
      </c>
      <c r="DX152" s="2">
        <v>89</v>
      </c>
      <c r="DY152" s="57">
        <f t="shared" si="245"/>
        <v>0</v>
      </c>
      <c r="DZ152" s="62">
        <f t="shared" si="405"/>
        <v>0</v>
      </c>
      <c r="EA152" s="2">
        <f t="shared" si="448"/>
        <v>88</v>
      </c>
      <c r="EB152" s="57">
        <f t="shared" si="411"/>
        <v>0</v>
      </c>
      <c r="EC152" s="62">
        <f t="shared" si="408"/>
        <v>0</v>
      </c>
      <c r="ED152" s="2">
        <f t="shared" si="453"/>
        <v>87</v>
      </c>
      <c r="EE152" s="57">
        <f t="shared" si="415"/>
        <v>0</v>
      </c>
      <c r="EF152" s="62">
        <f t="shared" si="412"/>
        <v>0</v>
      </c>
      <c r="EG152" s="2">
        <f t="shared" si="456"/>
        <v>86</v>
      </c>
      <c r="EH152" s="57">
        <f t="shared" si="419"/>
        <v>0</v>
      </c>
      <c r="EI152" s="62">
        <f t="shared" si="416"/>
        <v>0</v>
      </c>
      <c r="EJ152" s="2">
        <f t="shared" si="460"/>
        <v>85</v>
      </c>
      <c r="EK152" s="57">
        <f t="shared" si="423"/>
        <v>0</v>
      </c>
      <c r="EL152" s="62">
        <f t="shared" si="420"/>
        <v>0</v>
      </c>
      <c r="EM152" s="2">
        <f t="shared" si="464"/>
        <v>84</v>
      </c>
      <c r="EN152" s="57">
        <f t="shared" si="427"/>
        <v>0</v>
      </c>
      <c r="EO152" s="62">
        <f t="shared" si="424"/>
        <v>0</v>
      </c>
      <c r="EP152" s="2">
        <f t="shared" si="469"/>
        <v>83</v>
      </c>
      <c r="EQ152" s="57">
        <f t="shared" si="431"/>
        <v>0</v>
      </c>
      <c r="ER152" s="62">
        <f t="shared" si="428"/>
        <v>0</v>
      </c>
      <c r="ES152" s="2">
        <f t="shared" si="473"/>
        <v>82</v>
      </c>
      <c r="ET152" s="57">
        <f t="shared" si="432"/>
        <v>0</v>
      </c>
      <c r="EU152" s="62">
        <f t="shared" si="433"/>
        <v>0</v>
      </c>
      <c r="EV152" s="2">
        <f t="shared" si="476"/>
        <v>81</v>
      </c>
      <c r="EW152" s="57">
        <f t="shared" si="436"/>
        <v>0</v>
      </c>
      <c r="EX152" s="62">
        <f t="shared" si="437"/>
        <v>0</v>
      </c>
      <c r="EY152" s="2">
        <f t="shared" si="481"/>
        <v>80</v>
      </c>
      <c r="EZ152" s="57">
        <f t="shared" si="442"/>
        <v>0</v>
      </c>
      <c r="FA152" s="62">
        <f t="shared" si="440"/>
        <v>0</v>
      </c>
      <c r="FB152" s="2">
        <f t="shared" si="484"/>
        <v>79</v>
      </c>
      <c r="FC152" s="57">
        <f t="shared" si="443"/>
        <v>0</v>
      </c>
      <c r="FD152" s="62">
        <f t="shared" si="444"/>
        <v>0</v>
      </c>
      <c r="FE152" s="2">
        <f t="shared" si="489"/>
        <v>78</v>
      </c>
      <c r="FF152" s="57">
        <f t="shared" si="449"/>
        <v>0</v>
      </c>
      <c r="FG152" s="62">
        <f t="shared" si="446"/>
        <v>0</v>
      </c>
      <c r="FH152" s="2">
        <f t="shared" si="492"/>
        <v>77</v>
      </c>
      <c r="FI152" s="57">
        <f t="shared" si="450"/>
        <v>0</v>
      </c>
      <c r="FJ152" s="62">
        <f t="shared" si="451"/>
        <v>0</v>
      </c>
      <c r="FK152" s="2">
        <f t="shared" si="498"/>
        <v>76</v>
      </c>
      <c r="FL152" s="57">
        <f t="shared" si="457"/>
        <v>0</v>
      </c>
      <c r="FM152" s="62">
        <f t="shared" si="454"/>
        <v>0</v>
      </c>
      <c r="FN152" s="2">
        <f t="shared" ref="FN152:FN163" si="504">IF(FN151="","",(FN151+1))</f>
        <v>75</v>
      </c>
      <c r="FO152" s="57">
        <f t="shared" si="461"/>
        <v>0</v>
      </c>
      <c r="FP152" s="62">
        <f t="shared" si="458"/>
        <v>0</v>
      </c>
      <c r="FQ152" s="2">
        <v>74</v>
      </c>
      <c r="FR152" s="57">
        <f t="shared" si="465"/>
        <v>0</v>
      </c>
      <c r="FS152" s="62">
        <f t="shared" si="462"/>
        <v>0</v>
      </c>
      <c r="FT152" s="2">
        <v>73</v>
      </c>
      <c r="FU152" s="57">
        <f t="shared" si="466"/>
        <v>0</v>
      </c>
      <c r="FV152" s="62">
        <f t="shared" si="467"/>
        <v>0</v>
      </c>
      <c r="FW152" s="2">
        <v>72</v>
      </c>
      <c r="FX152" s="57">
        <f t="shared" si="470"/>
        <v>0</v>
      </c>
      <c r="FY152" s="62">
        <f t="shared" si="471"/>
        <v>0</v>
      </c>
      <c r="FZ152" s="2">
        <v>71</v>
      </c>
      <c r="GA152" s="57">
        <f t="shared" si="477"/>
        <v>0</v>
      </c>
      <c r="GB152" s="62">
        <f t="shared" si="474"/>
        <v>0</v>
      </c>
      <c r="GC152" s="2">
        <v>70</v>
      </c>
      <c r="GD152" s="57">
        <f t="shared" si="478"/>
        <v>0</v>
      </c>
      <c r="GE152" s="62">
        <f t="shared" si="479"/>
        <v>0</v>
      </c>
      <c r="GF152" s="2">
        <v>69</v>
      </c>
      <c r="GG152" s="57">
        <f t="shared" si="485"/>
        <v>0</v>
      </c>
      <c r="GH152" s="62">
        <f t="shared" si="482"/>
        <v>0</v>
      </c>
      <c r="GI152" s="2">
        <v>68</v>
      </c>
      <c r="GJ152" s="57">
        <f t="shared" si="486"/>
        <v>0</v>
      </c>
      <c r="GK152" s="62">
        <f t="shared" si="487"/>
        <v>0</v>
      </c>
      <c r="GL152" s="2">
        <v>67</v>
      </c>
      <c r="GM152" s="57">
        <f t="shared" si="493"/>
        <v>0</v>
      </c>
      <c r="GN152" s="62">
        <f t="shared" si="490"/>
        <v>0</v>
      </c>
      <c r="GO152" s="2">
        <v>66</v>
      </c>
      <c r="GP152" s="57">
        <f t="shared" si="494"/>
        <v>0</v>
      </c>
      <c r="GQ152" s="62">
        <f t="shared" si="495"/>
        <v>0</v>
      </c>
      <c r="GR152" s="2">
        <v>65</v>
      </c>
      <c r="GS152" s="57">
        <f t="shared" ref="GS152:GS163" si="505">$E$86</f>
        <v>0</v>
      </c>
      <c r="GT152" s="62">
        <f t="shared" si="499"/>
        <v>0</v>
      </c>
      <c r="GU152" s="2">
        <v>64</v>
      </c>
      <c r="GV152" s="57">
        <f t="shared" ref="GV152:GV162" si="506">$E$87</f>
        <v>0</v>
      </c>
      <c r="GW152" s="62">
        <f t="shared" ref="GW152:GW163" si="507">SUM($G$10*$G$11*GV152*(EXP(-($G$10*GU152))),$G$10*$G$11*GV152*(EXP(-($G$10*(GU152+0.1)))),$G$10*$G$11*GV152*(EXP(-($G$10*(GU152+0.2)))),$G$10*$G$11*GV152*(EXP(-($G$10*(GU152+0.3)))),$G$10*$G$11*GV152*(EXP(-($G$10*(GU152+0.4)))),$G$10*$G$11*GV152*(EXP(-($G$10*(GU152+0.5)))),$G$10*$G$11*GV152*(EXP(-($G$10*(GU152+0.6)))),$G$10*$G$11*GV152*(EXP(-($G$10*(GU152+0.7)))),$G$10*$G$11*GV152*(EXP(-($G$10*(GU152+0.8)))),$G$10*$G$11*GV152*(EXP(-($G$10*(GU152+0.9)))))/10</f>
        <v>0</v>
      </c>
      <c r="GX152" s="2">
        <v>63</v>
      </c>
      <c r="GY152" s="57">
        <f t="shared" si="217"/>
        <v>0</v>
      </c>
      <c r="GZ152" s="62">
        <f t="shared" si="362"/>
        <v>0</v>
      </c>
      <c r="HA152" s="2">
        <v>62</v>
      </c>
      <c r="HB152" s="57">
        <f t="shared" si="218"/>
        <v>0</v>
      </c>
      <c r="HC152" s="62">
        <f t="shared" si="365"/>
        <v>0</v>
      </c>
      <c r="HD152" s="2">
        <v>61</v>
      </c>
      <c r="HE152" s="57">
        <f t="shared" si="229"/>
        <v>0</v>
      </c>
      <c r="HF152" s="62">
        <f t="shared" si="368"/>
        <v>0</v>
      </c>
      <c r="HG152" s="2">
        <v>60</v>
      </c>
      <c r="HH152" s="57">
        <f t="shared" si="230"/>
        <v>0</v>
      </c>
      <c r="HI152" s="62">
        <f t="shared" si="397"/>
        <v>0</v>
      </c>
      <c r="HJ152" s="2">
        <v>59</v>
      </c>
      <c r="HK152" s="57">
        <f t="shared" si="241"/>
        <v>0</v>
      </c>
      <c r="HL152" s="62">
        <f t="shared" si="400"/>
        <v>0</v>
      </c>
      <c r="HM152" s="2">
        <v>58</v>
      </c>
      <c r="HN152" s="57">
        <f t="shared" si="247"/>
        <v>0</v>
      </c>
      <c r="HO152" s="62">
        <f t="shared" si="403"/>
        <v>0</v>
      </c>
      <c r="HP152" s="2">
        <v>57</v>
      </c>
      <c r="HQ152" s="57">
        <f t="shared" si="248"/>
        <v>0</v>
      </c>
      <c r="HR152" s="62">
        <f t="shared" si="406"/>
        <v>0</v>
      </c>
      <c r="HS152" s="2">
        <v>56</v>
      </c>
      <c r="HT152" s="57">
        <f t="shared" si="257"/>
        <v>0</v>
      </c>
      <c r="HU152" s="62">
        <f t="shared" si="409"/>
        <v>0</v>
      </c>
      <c r="HV152" s="2">
        <v>55</v>
      </c>
      <c r="HW152" s="57">
        <f t="shared" si="258"/>
        <v>0</v>
      </c>
      <c r="HX152" s="62">
        <f t="shared" si="413"/>
        <v>0</v>
      </c>
      <c r="HY152" s="2">
        <v>54</v>
      </c>
      <c r="HZ152" s="57">
        <f t="shared" si="268"/>
        <v>0</v>
      </c>
      <c r="IA152" s="62">
        <f t="shared" si="417"/>
        <v>0</v>
      </c>
      <c r="IB152" s="2">
        <v>53</v>
      </c>
      <c r="IC152" s="57">
        <f t="shared" si="274"/>
        <v>0</v>
      </c>
      <c r="ID152" s="62">
        <f t="shared" si="421"/>
        <v>0</v>
      </c>
      <c r="IE152" s="2">
        <v>52</v>
      </c>
      <c r="IF152" s="57">
        <f t="shared" si="280"/>
        <v>0</v>
      </c>
      <c r="IG152" s="62">
        <f t="shared" si="425"/>
        <v>0</v>
      </c>
      <c r="IH152" s="2">
        <v>51</v>
      </c>
      <c r="II152" s="57">
        <f t="shared" si="281"/>
        <v>0</v>
      </c>
      <c r="IJ152" s="62">
        <f t="shared" si="429"/>
        <v>0</v>
      </c>
      <c r="IK152" s="2">
        <v>50</v>
      </c>
      <c r="IL152" s="57">
        <f t="shared" si="292"/>
        <v>0</v>
      </c>
      <c r="IM152" s="62">
        <f t="shared" si="434"/>
        <v>0</v>
      </c>
      <c r="IN152" s="2">
        <v>49</v>
      </c>
      <c r="IO152" s="57">
        <f t="shared" si="293"/>
        <v>0</v>
      </c>
      <c r="IP152" s="62">
        <f t="shared" si="438"/>
        <v>0</v>
      </c>
    </row>
    <row r="153" spans="7:250">
      <c r="I153" s="2">
        <f t="shared" si="369"/>
        <v>2148</v>
      </c>
      <c r="J153" s="379">
        <f t="shared" ref="J153:J163" si="508">(M153+P153+S153+V153+Y153+AB153+AE153+AH153+AK153+AN153+AQ153+AT153+AW153+AZ153+BC153+BF153+BI153+BL153+BO153+BR153+BU153+BX153+CA153+CD153+CG153+CJ153+CM153+CP153+CS153+CV153+CY153+DB153+DE153+DH153+DK153+DN153+DQ153+DT153+DW153+DZ153+EC153+EF153+EI153+EL153+EO153+ER153+EU153+EX153+FA153+FD153+FG153+FJ153+FM153+FP153+FS153+FV153+FY153+GB153+GE153+GH153+GK153+GN153+GQ153+GT153+GW153+GZ153+HC153+HF153+HI153+HL153+HO153+HR153+HU153+HX153+IA153+ID153+IG153+IJ153+IM153+IP153)</f>
        <v>646329.22795240453</v>
      </c>
      <c r="K153" s="2">
        <f t="shared" si="370"/>
        <v>129</v>
      </c>
      <c r="L153" s="57">
        <f t="shared" si="500"/>
        <v>189082</v>
      </c>
      <c r="M153" s="62">
        <f t="shared" si="501"/>
        <v>4265.4220967579258</v>
      </c>
      <c r="N153" s="2">
        <f t="shared" si="371"/>
        <v>128</v>
      </c>
      <c r="O153" s="57">
        <f t="shared" ref="O153:O163" si="509">$E$24</f>
        <v>293489</v>
      </c>
      <c r="P153" s="62">
        <f t="shared" ref="P153:P163" si="510">SUM($G$10*$G$11*O153*(EXP(-($G$10*N153))),$G$10*$G$11*O153*(EXP(-($G$10*(N153+0.1)))),$G$10*$G$11*O153*(EXP(-($G$10*(N153+0.2)))),$G$10*$G$11*O153*(EXP(-($G$10*(N153+0.3)))),$G$10*$G$11*O153*(EXP(-($G$10*(N153+0.4)))),$G$10*$G$11*O153*(EXP(-($G$10*(N153+0.5)))),$G$10*$G$11*O153*(EXP(-($G$10*(N153+0.6)))),$G$10*$G$11*O153*(EXP(-($G$10*(N153+0.7)))),$G$10*$G$11*O153*(EXP(-($G$10*(N153+0.8)))),$G$10*$G$11*O153*(EXP(-($G$10*(N153+0.9)))))/10</f>
        <v>6890.8918653233122</v>
      </c>
      <c r="Q153" s="2">
        <f t="shared" si="372"/>
        <v>127</v>
      </c>
      <c r="R153" s="57">
        <f t="shared" si="213"/>
        <v>283523</v>
      </c>
      <c r="S153" s="62">
        <f t="shared" si="363"/>
        <v>6928.5711512057005</v>
      </c>
      <c r="T153" s="2">
        <f t="shared" si="373"/>
        <v>126</v>
      </c>
      <c r="U153" s="57">
        <f t="shared" si="220"/>
        <v>143321</v>
      </c>
      <c r="V153" s="62">
        <f t="shared" si="366"/>
        <v>3645.331216427755</v>
      </c>
      <c r="W153" s="2">
        <f t="shared" si="374"/>
        <v>125</v>
      </c>
      <c r="X153" s="57">
        <f t="shared" si="225"/>
        <v>227851</v>
      </c>
      <c r="Y153" s="62">
        <f t="shared" si="375"/>
        <v>6031.8409749189723</v>
      </c>
      <c r="Z153" s="2">
        <f t="shared" si="376"/>
        <v>124</v>
      </c>
      <c r="AA153" s="57">
        <f t="shared" si="232"/>
        <v>238727</v>
      </c>
      <c r="AB153" s="62">
        <f t="shared" si="398"/>
        <v>6577.6727664931332</v>
      </c>
      <c r="AC153" s="2">
        <f t="shared" si="377"/>
        <v>123</v>
      </c>
      <c r="AD153" s="57">
        <f t="shared" si="237"/>
        <v>250122</v>
      </c>
      <c r="AE153" s="62">
        <f t="shared" si="401"/>
        <v>7172.8937106694384</v>
      </c>
      <c r="AF153" s="2">
        <f t="shared" si="378"/>
        <v>122</v>
      </c>
      <c r="AG153" s="57">
        <f t="shared" si="243"/>
        <v>262060</v>
      </c>
      <c r="AH153" s="62">
        <f t="shared" si="404"/>
        <v>7821.9496974603735</v>
      </c>
      <c r="AI153" s="2">
        <f t="shared" si="379"/>
        <v>121</v>
      </c>
      <c r="AJ153" s="57">
        <f t="shared" si="250"/>
        <v>274569</v>
      </c>
      <c r="AK153" s="62">
        <f t="shared" si="407"/>
        <v>8529.7747615864682</v>
      </c>
      <c r="AL153" s="2">
        <f t="shared" si="380"/>
        <v>120</v>
      </c>
      <c r="AM153" s="57">
        <f t="shared" si="254"/>
        <v>287675</v>
      </c>
      <c r="AN153" s="62">
        <f t="shared" si="410"/>
        <v>9301.6493225007544</v>
      </c>
      <c r="AO153" s="2">
        <f t="shared" si="381"/>
        <v>119</v>
      </c>
      <c r="AP153" s="57">
        <f t="shared" si="260"/>
        <v>301406</v>
      </c>
      <c r="AQ153" s="62">
        <f t="shared" si="414"/>
        <v>10143.352383391311</v>
      </c>
      <c r="AR153" s="2">
        <f t="shared" si="382"/>
        <v>118</v>
      </c>
      <c r="AS153" s="57">
        <f t="shared" si="265"/>
        <v>315793</v>
      </c>
      <c r="AT153" s="62">
        <f t="shared" si="418"/>
        <v>11061.242105364832</v>
      </c>
      <c r="AU153" s="2">
        <f t="shared" si="383"/>
        <v>117</v>
      </c>
      <c r="AV153" s="57">
        <f t="shared" si="271"/>
        <v>330866</v>
      </c>
      <c r="AW153" s="62">
        <f t="shared" si="422"/>
        <v>12062.166514347593</v>
      </c>
      <c r="AX153" s="2">
        <f t="shared" si="384"/>
        <v>116</v>
      </c>
      <c r="AY153" s="57">
        <f t="shared" si="277"/>
        <v>346659</v>
      </c>
      <c r="AZ153" s="62">
        <f t="shared" si="426"/>
        <v>13153.685007434102</v>
      </c>
      <c r="BA153" s="2">
        <f t="shared" si="385"/>
        <v>115</v>
      </c>
      <c r="BB153" s="57">
        <f t="shared" si="284"/>
        <v>363206</v>
      </c>
      <c r="BC153" s="62">
        <f t="shared" si="430"/>
        <v>14343.982648687006</v>
      </c>
      <c r="BD153" s="2">
        <f t="shared" si="386"/>
        <v>114</v>
      </c>
      <c r="BE153" s="57">
        <f t="shared" si="289"/>
        <v>380542</v>
      </c>
      <c r="BF153" s="62">
        <f t="shared" si="435"/>
        <v>15641.957897101882</v>
      </c>
      <c r="BG153" s="2">
        <f t="shared" si="387"/>
        <v>113</v>
      </c>
      <c r="BH153" s="57">
        <f t="shared" si="296"/>
        <v>398706</v>
      </c>
      <c r="BI153" s="62">
        <f t="shared" si="439"/>
        <v>17057.40914699401</v>
      </c>
      <c r="BJ153" s="2">
        <f t="shared" si="388"/>
        <v>112</v>
      </c>
      <c r="BK153" s="57">
        <f t="shared" si="300"/>
        <v>417737</v>
      </c>
      <c r="BL153" s="62">
        <f t="shared" si="441"/>
        <v>18600.94541390596</v>
      </c>
      <c r="BM153" s="2">
        <f t="shared" si="389"/>
        <v>111</v>
      </c>
      <c r="BN153" s="57">
        <f t="shared" si="304"/>
        <v>437677</v>
      </c>
      <c r="BO153" s="62">
        <f t="shared" si="445"/>
        <v>20284.185755792052</v>
      </c>
      <c r="BP153" s="2">
        <f t="shared" si="390"/>
        <v>110</v>
      </c>
      <c r="BQ153" s="57">
        <f t="shared" si="308"/>
        <v>458568</v>
      </c>
      <c r="BR153" s="62">
        <f t="shared" si="447"/>
        <v>22119.707442422357</v>
      </c>
      <c r="BS153" s="2">
        <f t="shared" si="391"/>
        <v>109</v>
      </c>
      <c r="BT153" s="57">
        <f t="shared" si="312"/>
        <v>480456</v>
      </c>
      <c r="BU153" s="62">
        <f t="shared" si="452"/>
        <v>24121.317984396708</v>
      </c>
      <c r="BV153" s="2">
        <f t="shared" si="392"/>
        <v>108</v>
      </c>
      <c r="BW153" s="57">
        <f t="shared" si="316"/>
        <v>503389</v>
      </c>
      <c r="BX153" s="62">
        <f t="shared" si="455"/>
        <v>26304.067664744001</v>
      </c>
      <c r="BY153" s="2">
        <f t="shared" si="393"/>
        <v>107</v>
      </c>
      <c r="BZ153" s="57">
        <f t="shared" si="320"/>
        <v>527417</v>
      </c>
      <c r="CA153" s="62">
        <f t="shared" si="459"/>
        <v>28684.355431648699</v>
      </c>
      <c r="CB153" s="2">
        <f t="shared" si="394"/>
        <v>106</v>
      </c>
      <c r="CC153" s="57">
        <f t="shared" si="324"/>
        <v>552592</v>
      </c>
      <c r="CD153" s="62">
        <f t="shared" si="463"/>
        <v>31280.043163952145</v>
      </c>
      <c r="CE153" s="2">
        <f t="shared" si="395"/>
        <v>105</v>
      </c>
      <c r="CF153" s="57">
        <f t="shared" si="328"/>
        <v>578968</v>
      </c>
      <c r="CG153" s="62">
        <f t="shared" si="468"/>
        <v>34110.578924720823</v>
      </c>
      <c r="CH153" s="2">
        <v>104</v>
      </c>
      <c r="CI153" s="57">
        <f t="shared" si="332"/>
        <v>606603</v>
      </c>
      <c r="CJ153" s="62">
        <f t="shared" si="472"/>
        <v>37197.252501754381</v>
      </c>
      <c r="CK153" s="2">
        <v>103</v>
      </c>
      <c r="CL153" s="57">
        <f t="shared" si="336"/>
        <v>635558</v>
      </c>
      <c r="CM153" s="62">
        <f t="shared" si="475"/>
        <v>40563.299857831153</v>
      </c>
      <c r="CN153" s="2">
        <v>102</v>
      </c>
      <c r="CO153" s="57">
        <f t="shared" si="340"/>
        <v>665894</v>
      </c>
      <c r="CP153" s="62">
        <f t="shared" si="480"/>
        <v>44233.873260865083</v>
      </c>
      <c r="CQ153" s="2">
        <v>101</v>
      </c>
      <c r="CR153" s="57">
        <f t="shared" si="344"/>
        <v>697679</v>
      </c>
      <c r="CS153" s="62">
        <f t="shared" si="483"/>
        <v>48236.667667343936</v>
      </c>
      <c r="CT153" s="2">
        <v>100</v>
      </c>
      <c r="CU153" s="57">
        <f t="shared" si="348"/>
        <v>730980</v>
      </c>
      <c r="CV153" s="62">
        <f t="shared" si="488"/>
        <v>52601.595912513672</v>
      </c>
      <c r="CW153" s="2">
        <v>99</v>
      </c>
      <c r="CX153" s="57">
        <f t="shared" si="352"/>
        <v>765871</v>
      </c>
      <c r="CY153" s="62">
        <f t="shared" si="491"/>
        <v>57361.543703848918</v>
      </c>
      <c r="CZ153" s="2">
        <v>98</v>
      </c>
      <c r="DA153" s="57">
        <f t="shared" si="496"/>
        <v>0</v>
      </c>
      <c r="DB153" s="62">
        <f t="shared" si="497"/>
        <v>0</v>
      </c>
      <c r="DC153" s="2">
        <v>97</v>
      </c>
      <c r="DD153" s="57">
        <f t="shared" si="502"/>
        <v>0</v>
      </c>
      <c r="DE153" s="62">
        <f t="shared" si="503"/>
        <v>0</v>
      </c>
      <c r="DF153" s="2">
        <v>96</v>
      </c>
      <c r="DG153" s="57">
        <f t="shared" ref="DG153:DG163" si="511">$E$56</f>
        <v>0</v>
      </c>
      <c r="DH153" s="62">
        <f t="shared" ref="DH153:DH163" si="512">SUM($G$10*$G$11*DG153*(EXP(-($G$10*DF153))),$G$10*$G$11*DG153*(EXP(-($G$10*(DF153+0.1)))),$G$10*$G$11*DG153*(EXP(-($G$10*(DF153+0.2)))),$G$10*$G$11*DG153*(EXP(-($G$10*(DF153+0.3)))),$G$10*$G$11*DG153*(EXP(-($G$10*(DF153+0.4)))),$G$10*$G$11*DG153*(EXP(-($G$10*(DF153+0.5)))),$G$10*$G$11*DG153*(EXP(-($G$10*(DF153+0.6)))),$G$10*$G$11*DG153*(EXP(-($G$10*(DF153+0.7)))),$G$10*$G$11*DG153*(EXP(-($G$10*(DF153+0.8)))),$G$10*$G$11*DG153*(EXP(-($G$10*(DF153+0.9)))))/10</f>
        <v>0</v>
      </c>
      <c r="DI153" s="2">
        <v>95</v>
      </c>
      <c r="DJ153" s="57">
        <f t="shared" si="215"/>
        <v>0</v>
      </c>
      <c r="DK153" s="62">
        <f t="shared" si="364"/>
        <v>0</v>
      </c>
      <c r="DL153" s="2">
        <v>94</v>
      </c>
      <c r="DM153" s="57">
        <f t="shared" si="222"/>
        <v>0</v>
      </c>
      <c r="DN153" s="62">
        <f t="shared" si="367"/>
        <v>0</v>
      </c>
      <c r="DO153" s="2">
        <v>93</v>
      </c>
      <c r="DP153" s="57">
        <f t="shared" si="227"/>
        <v>0</v>
      </c>
      <c r="DQ153" s="62">
        <f t="shared" si="396"/>
        <v>0</v>
      </c>
      <c r="DR153" s="2">
        <v>92</v>
      </c>
      <c r="DS153" s="57">
        <f t="shared" si="234"/>
        <v>0</v>
      </c>
      <c r="DT153" s="62">
        <f t="shared" si="399"/>
        <v>0</v>
      </c>
      <c r="DU153" s="2">
        <v>91</v>
      </c>
      <c r="DV153" s="57">
        <f t="shared" si="239"/>
        <v>0</v>
      </c>
      <c r="DW153" s="62">
        <f t="shared" si="402"/>
        <v>0</v>
      </c>
      <c r="DX153" s="2">
        <v>90</v>
      </c>
      <c r="DY153" s="57">
        <f t="shared" si="245"/>
        <v>0</v>
      </c>
      <c r="DZ153" s="62">
        <f t="shared" si="405"/>
        <v>0</v>
      </c>
      <c r="EA153" s="2">
        <f t="shared" si="448"/>
        <v>89</v>
      </c>
      <c r="EB153" s="57">
        <f t="shared" si="411"/>
        <v>0</v>
      </c>
      <c r="EC153" s="62">
        <f t="shared" si="408"/>
        <v>0</v>
      </c>
      <c r="ED153" s="2">
        <f t="shared" si="453"/>
        <v>88</v>
      </c>
      <c r="EE153" s="57">
        <f t="shared" si="415"/>
        <v>0</v>
      </c>
      <c r="EF153" s="62">
        <f t="shared" si="412"/>
        <v>0</v>
      </c>
      <c r="EG153" s="2">
        <f t="shared" si="456"/>
        <v>87</v>
      </c>
      <c r="EH153" s="57">
        <f t="shared" si="419"/>
        <v>0</v>
      </c>
      <c r="EI153" s="62">
        <f t="shared" si="416"/>
        <v>0</v>
      </c>
      <c r="EJ153" s="2">
        <f t="shared" si="460"/>
        <v>86</v>
      </c>
      <c r="EK153" s="57">
        <f t="shared" si="423"/>
        <v>0</v>
      </c>
      <c r="EL153" s="62">
        <f t="shared" si="420"/>
        <v>0</v>
      </c>
      <c r="EM153" s="2">
        <f t="shared" si="464"/>
        <v>85</v>
      </c>
      <c r="EN153" s="57">
        <f t="shared" si="427"/>
        <v>0</v>
      </c>
      <c r="EO153" s="62">
        <f t="shared" si="424"/>
        <v>0</v>
      </c>
      <c r="EP153" s="2">
        <f t="shared" si="469"/>
        <v>84</v>
      </c>
      <c r="EQ153" s="57">
        <f t="shared" si="431"/>
        <v>0</v>
      </c>
      <c r="ER153" s="62">
        <f t="shared" si="428"/>
        <v>0</v>
      </c>
      <c r="ES153" s="2">
        <f t="shared" si="473"/>
        <v>83</v>
      </c>
      <c r="ET153" s="57">
        <f t="shared" si="432"/>
        <v>0</v>
      </c>
      <c r="EU153" s="62">
        <f t="shared" si="433"/>
        <v>0</v>
      </c>
      <c r="EV153" s="2">
        <f t="shared" si="476"/>
        <v>82</v>
      </c>
      <c r="EW153" s="57">
        <f t="shared" si="436"/>
        <v>0</v>
      </c>
      <c r="EX153" s="62">
        <f t="shared" si="437"/>
        <v>0</v>
      </c>
      <c r="EY153" s="2">
        <f t="shared" si="481"/>
        <v>81</v>
      </c>
      <c r="EZ153" s="57">
        <f t="shared" si="442"/>
        <v>0</v>
      </c>
      <c r="FA153" s="62">
        <f t="shared" si="440"/>
        <v>0</v>
      </c>
      <c r="FB153" s="2">
        <f t="shared" si="484"/>
        <v>80</v>
      </c>
      <c r="FC153" s="57">
        <f t="shared" si="443"/>
        <v>0</v>
      </c>
      <c r="FD153" s="62">
        <f t="shared" si="444"/>
        <v>0</v>
      </c>
      <c r="FE153" s="2">
        <f t="shared" si="489"/>
        <v>79</v>
      </c>
      <c r="FF153" s="57">
        <f t="shared" si="449"/>
        <v>0</v>
      </c>
      <c r="FG153" s="62">
        <f t="shared" si="446"/>
        <v>0</v>
      </c>
      <c r="FH153" s="2">
        <f t="shared" si="492"/>
        <v>78</v>
      </c>
      <c r="FI153" s="57">
        <f t="shared" si="450"/>
        <v>0</v>
      </c>
      <c r="FJ153" s="62">
        <f t="shared" si="451"/>
        <v>0</v>
      </c>
      <c r="FK153" s="2">
        <f t="shared" si="498"/>
        <v>77</v>
      </c>
      <c r="FL153" s="57">
        <f t="shared" si="457"/>
        <v>0</v>
      </c>
      <c r="FM153" s="62">
        <f t="shared" si="454"/>
        <v>0</v>
      </c>
      <c r="FN153" s="2">
        <f t="shared" si="504"/>
        <v>76</v>
      </c>
      <c r="FO153" s="57">
        <f t="shared" si="461"/>
        <v>0</v>
      </c>
      <c r="FP153" s="62">
        <f t="shared" si="458"/>
        <v>0</v>
      </c>
      <c r="FQ153" s="2">
        <f t="shared" ref="FQ153:FQ163" si="513">IF(FQ152="","",(FQ152+1))</f>
        <v>75</v>
      </c>
      <c r="FR153" s="57">
        <f t="shared" si="465"/>
        <v>0</v>
      </c>
      <c r="FS153" s="62">
        <f t="shared" si="462"/>
        <v>0</v>
      </c>
      <c r="FT153" s="2">
        <v>74</v>
      </c>
      <c r="FU153" s="57">
        <f t="shared" si="466"/>
        <v>0</v>
      </c>
      <c r="FV153" s="62">
        <f t="shared" si="467"/>
        <v>0</v>
      </c>
      <c r="FW153" s="2">
        <v>73</v>
      </c>
      <c r="FX153" s="57">
        <f t="shared" si="470"/>
        <v>0</v>
      </c>
      <c r="FY153" s="62">
        <f t="shared" si="471"/>
        <v>0</v>
      </c>
      <c r="FZ153" s="2">
        <v>72</v>
      </c>
      <c r="GA153" s="57">
        <f t="shared" si="477"/>
        <v>0</v>
      </c>
      <c r="GB153" s="62">
        <f t="shared" si="474"/>
        <v>0</v>
      </c>
      <c r="GC153" s="2">
        <v>71</v>
      </c>
      <c r="GD153" s="57">
        <f t="shared" si="478"/>
        <v>0</v>
      </c>
      <c r="GE153" s="62">
        <f t="shared" si="479"/>
        <v>0</v>
      </c>
      <c r="GF153" s="2">
        <v>70</v>
      </c>
      <c r="GG153" s="57">
        <f t="shared" si="485"/>
        <v>0</v>
      </c>
      <c r="GH153" s="62">
        <f t="shared" si="482"/>
        <v>0</v>
      </c>
      <c r="GI153" s="2">
        <v>69</v>
      </c>
      <c r="GJ153" s="57">
        <f t="shared" si="486"/>
        <v>0</v>
      </c>
      <c r="GK153" s="62">
        <f t="shared" si="487"/>
        <v>0</v>
      </c>
      <c r="GL153" s="2">
        <v>68</v>
      </c>
      <c r="GM153" s="57">
        <f t="shared" si="493"/>
        <v>0</v>
      </c>
      <c r="GN153" s="62">
        <f t="shared" si="490"/>
        <v>0</v>
      </c>
      <c r="GO153" s="2">
        <v>67</v>
      </c>
      <c r="GP153" s="57">
        <f t="shared" si="494"/>
        <v>0</v>
      </c>
      <c r="GQ153" s="62">
        <f t="shared" si="495"/>
        <v>0</v>
      </c>
      <c r="GR153" s="2">
        <v>66</v>
      </c>
      <c r="GS153" s="57">
        <f t="shared" si="505"/>
        <v>0</v>
      </c>
      <c r="GT153" s="62">
        <f t="shared" si="499"/>
        <v>0</v>
      </c>
      <c r="GU153" s="2">
        <v>65</v>
      </c>
      <c r="GV153" s="57">
        <f t="shared" si="506"/>
        <v>0</v>
      </c>
      <c r="GW153" s="62">
        <f t="shared" si="507"/>
        <v>0</v>
      </c>
      <c r="GX153" s="2">
        <v>64</v>
      </c>
      <c r="GY153" s="57">
        <f t="shared" si="217"/>
        <v>0</v>
      </c>
      <c r="GZ153" s="62">
        <f t="shared" ref="GZ153:GZ163" si="514">SUM($G$10*$G$11*GY153*(EXP(-($G$10*GX153))),$G$10*$G$11*GY153*(EXP(-($G$10*(GX153+0.1)))),$G$10*$G$11*GY153*(EXP(-($G$10*(GX153+0.2)))),$G$10*$G$11*GY153*(EXP(-($G$10*(GX153+0.3)))),$G$10*$G$11*GY153*(EXP(-($G$10*(GX153+0.4)))),$G$10*$G$11*GY153*(EXP(-($G$10*(GX153+0.5)))),$G$10*$G$11*GY153*(EXP(-($G$10*(GX153+0.6)))),$G$10*$G$11*GY153*(EXP(-($G$10*(GX153+0.7)))),$G$10*$G$11*GY153*(EXP(-($G$10*(GX153+0.8)))),$G$10*$G$11*GY153*(EXP(-($G$10*(GX153+0.9)))))/10</f>
        <v>0</v>
      </c>
      <c r="HA153" s="2">
        <v>63</v>
      </c>
      <c r="HB153" s="57">
        <f t="shared" si="218"/>
        <v>0</v>
      </c>
      <c r="HC153" s="62">
        <f t="shared" si="365"/>
        <v>0</v>
      </c>
      <c r="HD153" s="2">
        <v>62</v>
      </c>
      <c r="HE153" s="57">
        <f t="shared" si="229"/>
        <v>0</v>
      </c>
      <c r="HF153" s="62">
        <f t="shared" si="368"/>
        <v>0</v>
      </c>
      <c r="HG153" s="2">
        <v>61</v>
      </c>
      <c r="HH153" s="57">
        <f t="shared" si="230"/>
        <v>0</v>
      </c>
      <c r="HI153" s="62">
        <f t="shared" si="397"/>
        <v>0</v>
      </c>
      <c r="HJ153" s="2">
        <v>60</v>
      </c>
      <c r="HK153" s="57">
        <f t="shared" si="241"/>
        <v>0</v>
      </c>
      <c r="HL153" s="62">
        <f t="shared" si="400"/>
        <v>0</v>
      </c>
      <c r="HM153" s="2">
        <v>59</v>
      </c>
      <c r="HN153" s="57">
        <f t="shared" si="247"/>
        <v>0</v>
      </c>
      <c r="HO153" s="62">
        <f t="shared" si="403"/>
        <v>0</v>
      </c>
      <c r="HP153" s="2">
        <v>58</v>
      </c>
      <c r="HQ153" s="57">
        <f t="shared" si="248"/>
        <v>0</v>
      </c>
      <c r="HR153" s="62">
        <f t="shared" si="406"/>
        <v>0</v>
      </c>
      <c r="HS153" s="2">
        <v>57</v>
      </c>
      <c r="HT153" s="57">
        <f t="shared" si="257"/>
        <v>0</v>
      </c>
      <c r="HU153" s="62">
        <f t="shared" si="409"/>
        <v>0</v>
      </c>
      <c r="HV153" s="2">
        <v>56</v>
      </c>
      <c r="HW153" s="57">
        <f t="shared" si="258"/>
        <v>0</v>
      </c>
      <c r="HX153" s="62">
        <f t="shared" si="413"/>
        <v>0</v>
      </c>
      <c r="HY153" s="2">
        <v>55</v>
      </c>
      <c r="HZ153" s="57">
        <f t="shared" si="268"/>
        <v>0</v>
      </c>
      <c r="IA153" s="62">
        <f t="shared" si="417"/>
        <v>0</v>
      </c>
      <c r="IB153" s="2">
        <v>54</v>
      </c>
      <c r="IC153" s="57">
        <f t="shared" si="274"/>
        <v>0</v>
      </c>
      <c r="ID153" s="62">
        <f t="shared" si="421"/>
        <v>0</v>
      </c>
      <c r="IE153" s="2">
        <v>53</v>
      </c>
      <c r="IF153" s="57">
        <f t="shared" si="280"/>
        <v>0</v>
      </c>
      <c r="IG153" s="62">
        <f t="shared" si="425"/>
        <v>0</v>
      </c>
      <c r="IH153" s="2">
        <v>52</v>
      </c>
      <c r="II153" s="57">
        <f t="shared" si="281"/>
        <v>0</v>
      </c>
      <c r="IJ153" s="62">
        <f t="shared" si="429"/>
        <v>0</v>
      </c>
      <c r="IK153" s="2">
        <v>51</v>
      </c>
      <c r="IL153" s="57">
        <f t="shared" si="292"/>
        <v>0</v>
      </c>
      <c r="IM153" s="62">
        <f t="shared" si="434"/>
        <v>0</v>
      </c>
      <c r="IN153" s="2">
        <v>50</v>
      </c>
      <c r="IO153" s="57">
        <f t="shared" si="293"/>
        <v>0</v>
      </c>
      <c r="IP153" s="62">
        <f t="shared" si="438"/>
        <v>0</v>
      </c>
    </row>
    <row r="154" spans="7:250">
      <c r="I154" s="2">
        <f t="shared" si="369"/>
        <v>2149</v>
      </c>
      <c r="J154" s="379">
        <f t="shared" si="508"/>
        <v>620986.29643214482</v>
      </c>
      <c r="K154" s="2">
        <f t="shared" si="370"/>
        <v>130</v>
      </c>
      <c r="L154" s="57">
        <f t="shared" si="500"/>
        <v>189082</v>
      </c>
      <c r="M154" s="62">
        <f t="shared" si="501"/>
        <v>4098.1725040919737</v>
      </c>
      <c r="N154" s="2">
        <f t="shared" si="371"/>
        <v>129</v>
      </c>
      <c r="O154" s="57">
        <f t="shared" si="509"/>
        <v>293489</v>
      </c>
      <c r="P154" s="62">
        <f t="shared" si="510"/>
        <v>6620.6961305432924</v>
      </c>
      <c r="Q154" s="2">
        <f t="shared" si="372"/>
        <v>128</v>
      </c>
      <c r="R154" s="57">
        <f t="shared" ref="R154:R163" si="515">$E$25</f>
        <v>283523</v>
      </c>
      <c r="S154" s="62">
        <f t="shared" ref="S154:S163" si="516">SUM($G$10*$G$11*R154*(EXP(-($G$10*Q154))),$G$10*$G$11*R154*(EXP(-($G$10*(Q154+0.1)))),$G$10*$G$11*R154*(EXP(-($G$10*(Q154+0.2)))),$G$10*$G$11*R154*(EXP(-($G$10*(Q154+0.3)))),$G$10*$G$11*R154*(EXP(-($G$10*(Q154+0.4)))),$G$10*$G$11*R154*(EXP(-($G$10*(Q154+0.5)))),$G$10*$G$11*R154*(EXP(-($G$10*(Q154+0.6)))),$G$10*$G$11*R154*(EXP(-($G$10*(Q154+0.7)))),$G$10*$G$11*R154*(EXP(-($G$10*(Q154+0.8)))),$G$10*$G$11*R154*(EXP(-($G$10*(Q154+0.9)))))/10</f>
        <v>6656.8979904938915</v>
      </c>
      <c r="T154" s="2">
        <f t="shared" si="373"/>
        <v>127</v>
      </c>
      <c r="U154" s="57">
        <f t="shared" si="220"/>
        <v>143321</v>
      </c>
      <c r="V154" s="62">
        <f t="shared" si="366"/>
        <v>3502.3957349560778</v>
      </c>
      <c r="W154" s="2">
        <f t="shared" si="374"/>
        <v>126</v>
      </c>
      <c r="X154" s="57">
        <f t="shared" si="225"/>
        <v>227851</v>
      </c>
      <c r="Y154" s="62">
        <f t="shared" si="375"/>
        <v>5795.3291073484015</v>
      </c>
      <c r="Z154" s="2">
        <f t="shared" si="376"/>
        <v>125</v>
      </c>
      <c r="AA154" s="57">
        <f t="shared" si="232"/>
        <v>238727</v>
      </c>
      <c r="AB154" s="62">
        <f t="shared" si="398"/>
        <v>6319.7585282464479</v>
      </c>
      <c r="AC154" s="2">
        <f t="shared" si="377"/>
        <v>124</v>
      </c>
      <c r="AD154" s="57">
        <f t="shared" si="237"/>
        <v>250122</v>
      </c>
      <c r="AE154" s="62">
        <f t="shared" si="401"/>
        <v>6891.6405253733155</v>
      </c>
      <c r="AF154" s="2">
        <f t="shared" si="378"/>
        <v>123</v>
      </c>
      <c r="AG154" s="57">
        <f t="shared" si="243"/>
        <v>262060</v>
      </c>
      <c r="AH154" s="62">
        <f t="shared" si="404"/>
        <v>7515.2466629006358</v>
      </c>
      <c r="AI154" s="2">
        <f t="shared" si="379"/>
        <v>122</v>
      </c>
      <c r="AJ154" s="57">
        <f t="shared" si="250"/>
        <v>274569</v>
      </c>
      <c r="AK154" s="62">
        <f t="shared" si="407"/>
        <v>8195.3175092803085</v>
      </c>
      <c r="AL154" s="2">
        <f t="shared" si="380"/>
        <v>121</v>
      </c>
      <c r="AM154" s="57">
        <f t="shared" si="254"/>
        <v>287675</v>
      </c>
      <c r="AN154" s="62">
        <f t="shared" si="410"/>
        <v>8936.9264357570864</v>
      </c>
      <c r="AO154" s="2">
        <f t="shared" si="381"/>
        <v>120</v>
      </c>
      <c r="AP154" s="57">
        <f t="shared" si="260"/>
        <v>301406</v>
      </c>
      <c r="AQ154" s="62">
        <f t="shared" si="414"/>
        <v>9745.6258475629184</v>
      </c>
      <c r="AR154" s="2">
        <f t="shared" si="382"/>
        <v>119</v>
      </c>
      <c r="AS154" s="57">
        <f t="shared" si="265"/>
        <v>315793</v>
      </c>
      <c r="AT154" s="62">
        <f t="shared" si="418"/>
        <v>10627.524598741536</v>
      </c>
      <c r="AU154" s="2">
        <f t="shared" si="383"/>
        <v>118</v>
      </c>
      <c r="AV154" s="57">
        <f t="shared" si="271"/>
        <v>330866</v>
      </c>
      <c r="AW154" s="62">
        <f t="shared" si="422"/>
        <v>11589.202200281958</v>
      </c>
      <c r="AX154" s="2">
        <f t="shared" si="384"/>
        <v>117</v>
      </c>
      <c r="AY154" s="57">
        <f t="shared" si="277"/>
        <v>346659</v>
      </c>
      <c r="AZ154" s="62">
        <f t="shared" si="426"/>
        <v>12637.921641078934</v>
      </c>
      <c r="BA154" s="2">
        <f t="shared" si="385"/>
        <v>116</v>
      </c>
      <c r="BB154" s="57">
        <f t="shared" si="284"/>
        <v>363206</v>
      </c>
      <c r="BC154" s="62">
        <f t="shared" si="430"/>
        <v>13781.547044242645</v>
      </c>
      <c r="BD154" s="2">
        <f t="shared" si="386"/>
        <v>115</v>
      </c>
      <c r="BE154" s="57">
        <f t="shared" si="289"/>
        <v>380542</v>
      </c>
      <c r="BF154" s="62">
        <f t="shared" si="435"/>
        <v>15028.627955200771</v>
      </c>
      <c r="BG154" s="2">
        <f t="shared" si="387"/>
        <v>114</v>
      </c>
      <c r="BH154" s="57">
        <f t="shared" si="296"/>
        <v>398706</v>
      </c>
      <c r="BI154" s="62">
        <f t="shared" si="439"/>
        <v>16388.578567732078</v>
      </c>
      <c r="BJ154" s="2">
        <f t="shared" si="388"/>
        <v>113</v>
      </c>
      <c r="BK154" s="57">
        <f t="shared" si="300"/>
        <v>417737</v>
      </c>
      <c r="BL154" s="62">
        <f t="shared" si="441"/>
        <v>17871.591911929681</v>
      </c>
      <c r="BM154" s="2">
        <f t="shared" si="389"/>
        <v>112</v>
      </c>
      <c r="BN154" s="57">
        <f t="shared" si="304"/>
        <v>437677</v>
      </c>
      <c r="BO154" s="62">
        <f t="shared" si="445"/>
        <v>19488.83145596899</v>
      </c>
      <c r="BP154" s="2">
        <f t="shared" si="390"/>
        <v>111</v>
      </c>
      <c r="BQ154" s="57">
        <f t="shared" si="308"/>
        <v>458568</v>
      </c>
      <c r="BR154" s="62">
        <f t="shared" si="447"/>
        <v>21252.381307818439</v>
      </c>
      <c r="BS154" s="2">
        <f t="shared" si="391"/>
        <v>110</v>
      </c>
      <c r="BT154" s="57">
        <f t="shared" si="312"/>
        <v>480456</v>
      </c>
      <c r="BU154" s="62">
        <f t="shared" si="452"/>
        <v>23175.507577843357</v>
      </c>
      <c r="BV154" s="2">
        <f t="shared" si="392"/>
        <v>109</v>
      </c>
      <c r="BW154" s="57">
        <f t="shared" si="316"/>
        <v>503389</v>
      </c>
      <c r="BX154" s="62">
        <f t="shared" si="455"/>
        <v>25272.670419034155</v>
      </c>
      <c r="BY154" s="2">
        <f t="shared" si="393"/>
        <v>108</v>
      </c>
      <c r="BZ154" s="57">
        <f t="shared" si="320"/>
        <v>527417</v>
      </c>
      <c r="CA154" s="62">
        <f t="shared" si="459"/>
        <v>27559.625767619651</v>
      </c>
      <c r="CB154" s="2">
        <f t="shared" si="394"/>
        <v>107</v>
      </c>
      <c r="CC154" s="57">
        <f t="shared" si="324"/>
        <v>552592</v>
      </c>
      <c r="CD154" s="62">
        <f t="shared" si="463"/>
        <v>30053.535128154042</v>
      </c>
      <c r="CE154" s="2">
        <f t="shared" si="395"/>
        <v>106</v>
      </c>
      <c r="CF154" s="57">
        <f t="shared" si="328"/>
        <v>578968</v>
      </c>
      <c r="CG154" s="62">
        <f t="shared" si="468"/>
        <v>32773.08399424357</v>
      </c>
      <c r="CH154" s="2">
        <v>105</v>
      </c>
      <c r="CI154" s="57">
        <f t="shared" si="332"/>
        <v>606603</v>
      </c>
      <c r="CJ154" s="62">
        <f t="shared" si="472"/>
        <v>35738.727369167944</v>
      </c>
      <c r="CK154" s="2">
        <v>104</v>
      </c>
      <c r="CL154" s="57">
        <f t="shared" si="336"/>
        <v>635558</v>
      </c>
      <c r="CM154" s="62">
        <f t="shared" si="475"/>
        <v>38972.79012057311</v>
      </c>
      <c r="CN154" s="2">
        <v>103</v>
      </c>
      <c r="CO154" s="57">
        <f t="shared" si="340"/>
        <v>665894</v>
      </c>
      <c r="CP154" s="62">
        <f t="shared" si="480"/>
        <v>42499.438281841496</v>
      </c>
      <c r="CQ154" s="2">
        <v>102</v>
      </c>
      <c r="CR154" s="57">
        <f t="shared" si="344"/>
        <v>697679</v>
      </c>
      <c r="CS154" s="62">
        <f t="shared" si="483"/>
        <v>46345.28087468438</v>
      </c>
      <c r="CT154" s="2">
        <v>101</v>
      </c>
      <c r="CU154" s="57">
        <f t="shared" si="348"/>
        <v>730980</v>
      </c>
      <c r="CV154" s="62">
        <f t="shared" si="488"/>
        <v>50539.057835301151</v>
      </c>
      <c r="CW154" s="2">
        <v>100</v>
      </c>
      <c r="CX154" s="57">
        <f t="shared" si="352"/>
        <v>765871</v>
      </c>
      <c r="CY154" s="62">
        <f t="shared" si="491"/>
        <v>55112.365404132477</v>
      </c>
      <c r="CZ154" s="2">
        <v>99</v>
      </c>
      <c r="DA154" s="57">
        <f t="shared" si="496"/>
        <v>0</v>
      </c>
      <c r="DB154" s="62">
        <f t="shared" si="497"/>
        <v>0</v>
      </c>
      <c r="DC154" s="2">
        <v>98</v>
      </c>
      <c r="DD154" s="57">
        <f t="shared" si="502"/>
        <v>0</v>
      </c>
      <c r="DE154" s="62">
        <f t="shared" si="503"/>
        <v>0</v>
      </c>
      <c r="DF154" s="2">
        <v>97</v>
      </c>
      <c r="DG154" s="57">
        <f t="shared" si="511"/>
        <v>0</v>
      </c>
      <c r="DH154" s="62">
        <f t="shared" si="512"/>
        <v>0</v>
      </c>
      <c r="DI154" s="2">
        <v>96</v>
      </c>
      <c r="DJ154" s="57">
        <f t="shared" ref="DJ154:DJ163" si="517">$E$57</f>
        <v>0</v>
      </c>
      <c r="DK154" s="62">
        <f t="shared" ref="DK154:DK163" si="518">SUM($G$10*$G$11*DJ154*(EXP(-($G$10*DI154))),$G$10*$G$11*DJ154*(EXP(-($G$10*(DI154+0.1)))),$G$10*$G$11*DJ154*(EXP(-($G$10*(DI154+0.2)))),$G$10*$G$11*DJ154*(EXP(-($G$10*(DI154+0.3)))),$G$10*$G$11*DJ154*(EXP(-($G$10*(DI154+0.4)))),$G$10*$G$11*DJ154*(EXP(-($G$10*(DI154+0.5)))),$G$10*$G$11*DJ154*(EXP(-($G$10*(DI154+0.6)))),$G$10*$G$11*DJ154*(EXP(-($G$10*(DI154+0.7)))),$G$10*$G$11*DJ154*(EXP(-($G$10*(DI154+0.8)))),$G$10*$G$11*DJ154*(EXP(-($G$10*(DI154+0.9)))))/10</f>
        <v>0</v>
      </c>
      <c r="DL154" s="2">
        <v>95</v>
      </c>
      <c r="DM154" s="57">
        <f t="shared" si="222"/>
        <v>0</v>
      </c>
      <c r="DN154" s="62">
        <f t="shared" si="367"/>
        <v>0</v>
      </c>
      <c r="DO154" s="2">
        <v>94</v>
      </c>
      <c r="DP154" s="57">
        <f t="shared" si="227"/>
        <v>0</v>
      </c>
      <c r="DQ154" s="62">
        <f t="shared" si="396"/>
        <v>0</v>
      </c>
      <c r="DR154" s="2">
        <v>93</v>
      </c>
      <c r="DS154" s="57">
        <f t="shared" si="234"/>
        <v>0</v>
      </c>
      <c r="DT154" s="62">
        <f t="shared" si="399"/>
        <v>0</v>
      </c>
      <c r="DU154" s="2">
        <v>92</v>
      </c>
      <c r="DV154" s="57">
        <f t="shared" si="239"/>
        <v>0</v>
      </c>
      <c r="DW154" s="62">
        <f t="shared" si="402"/>
        <v>0</v>
      </c>
      <c r="DX154" s="2">
        <v>91</v>
      </c>
      <c r="DY154" s="57">
        <f t="shared" si="245"/>
        <v>0</v>
      </c>
      <c r="DZ154" s="62">
        <f t="shared" si="405"/>
        <v>0</v>
      </c>
      <c r="EA154" s="2">
        <f t="shared" si="448"/>
        <v>90</v>
      </c>
      <c r="EB154" s="57">
        <f t="shared" si="411"/>
        <v>0</v>
      </c>
      <c r="EC154" s="62">
        <f t="shared" si="408"/>
        <v>0</v>
      </c>
      <c r="ED154" s="2">
        <f t="shared" si="453"/>
        <v>89</v>
      </c>
      <c r="EE154" s="57">
        <f t="shared" si="415"/>
        <v>0</v>
      </c>
      <c r="EF154" s="62">
        <f t="shared" si="412"/>
        <v>0</v>
      </c>
      <c r="EG154" s="2">
        <f t="shared" si="456"/>
        <v>88</v>
      </c>
      <c r="EH154" s="57">
        <f t="shared" si="419"/>
        <v>0</v>
      </c>
      <c r="EI154" s="62">
        <f t="shared" si="416"/>
        <v>0</v>
      </c>
      <c r="EJ154" s="2">
        <f t="shared" si="460"/>
        <v>87</v>
      </c>
      <c r="EK154" s="57">
        <f t="shared" si="423"/>
        <v>0</v>
      </c>
      <c r="EL154" s="62">
        <f t="shared" si="420"/>
        <v>0</v>
      </c>
      <c r="EM154" s="2">
        <f t="shared" si="464"/>
        <v>86</v>
      </c>
      <c r="EN154" s="57">
        <f t="shared" si="427"/>
        <v>0</v>
      </c>
      <c r="EO154" s="62">
        <f t="shared" si="424"/>
        <v>0</v>
      </c>
      <c r="EP154" s="2">
        <f t="shared" si="469"/>
        <v>85</v>
      </c>
      <c r="EQ154" s="57">
        <f t="shared" si="431"/>
        <v>0</v>
      </c>
      <c r="ER154" s="62">
        <f t="shared" si="428"/>
        <v>0</v>
      </c>
      <c r="ES154" s="2">
        <f t="shared" si="473"/>
        <v>84</v>
      </c>
      <c r="ET154" s="57">
        <f t="shared" si="432"/>
        <v>0</v>
      </c>
      <c r="EU154" s="62">
        <f t="shared" si="433"/>
        <v>0</v>
      </c>
      <c r="EV154" s="2">
        <f t="shared" si="476"/>
        <v>83</v>
      </c>
      <c r="EW154" s="57">
        <f t="shared" si="436"/>
        <v>0</v>
      </c>
      <c r="EX154" s="62">
        <f t="shared" si="437"/>
        <v>0</v>
      </c>
      <c r="EY154" s="2">
        <f t="shared" si="481"/>
        <v>82</v>
      </c>
      <c r="EZ154" s="57">
        <f t="shared" si="442"/>
        <v>0</v>
      </c>
      <c r="FA154" s="62">
        <f t="shared" si="440"/>
        <v>0</v>
      </c>
      <c r="FB154" s="2">
        <f t="shared" si="484"/>
        <v>81</v>
      </c>
      <c r="FC154" s="57">
        <f t="shared" si="443"/>
        <v>0</v>
      </c>
      <c r="FD154" s="62">
        <f t="shared" si="444"/>
        <v>0</v>
      </c>
      <c r="FE154" s="2">
        <f t="shared" si="489"/>
        <v>80</v>
      </c>
      <c r="FF154" s="57">
        <f t="shared" si="449"/>
        <v>0</v>
      </c>
      <c r="FG154" s="62">
        <f t="shared" si="446"/>
        <v>0</v>
      </c>
      <c r="FH154" s="2">
        <f t="shared" si="492"/>
        <v>79</v>
      </c>
      <c r="FI154" s="57">
        <f t="shared" si="450"/>
        <v>0</v>
      </c>
      <c r="FJ154" s="62">
        <f t="shared" si="451"/>
        <v>0</v>
      </c>
      <c r="FK154" s="2">
        <f t="shared" si="498"/>
        <v>78</v>
      </c>
      <c r="FL154" s="57">
        <f t="shared" si="457"/>
        <v>0</v>
      </c>
      <c r="FM154" s="62">
        <f t="shared" si="454"/>
        <v>0</v>
      </c>
      <c r="FN154" s="2">
        <f t="shared" si="504"/>
        <v>77</v>
      </c>
      <c r="FO154" s="57">
        <f t="shared" si="461"/>
        <v>0</v>
      </c>
      <c r="FP154" s="62">
        <f t="shared" si="458"/>
        <v>0</v>
      </c>
      <c r="FQ154" s="2">
        <f t="shared" si="513"/>
        <v>76</v>
      </c>
      <c r="FR154" s="57">
        <f t="shared" si="465"/>
        <v>0</v>
      </c>
      <c r="FS154" s="62">
        <f t="shared" si="462"/>
        <v>0</v>
      </c>
      <c r="FT154" s="2">
        <f t="shared" ref="FT154:FT163" si="519">IF(FT153="","",(FT153+1))</f>
        <v>75</v>
      </c>
      <c r="FU154" s="57">
        <f t="shared" si="466"/>
        <v>0</v>
      </c>
      <c r="FV154" s="62">
        <f t="shared" si="467"/>
        <v>0</v>
      </c>
      <c r="FW154" s="2">
        <v>74</v>
      </c>
      <c r="FX154" s="57">
        <f t="shared" si="470"/>
        <v>0</v>
      </c>
      <c r="FY154" s="62">
        <f t="shared" si="471"/>
        <v>0</v>
      </c>
      <c r="FZ154" s="2">
        <v>73</v>
      </c>
      <c r="GA154" s="57">
        <f t="shared" si="477"/>
        <v>0</v>
      </c>
      <c r="GB154" s="62">
        <f t="shared" si="474"/>
        <v>0</v>
      </c>
      <c r="GC154" s="2">
        <v>72</v>
      </c>
      <c r="GD154" s="57">
        <f t="shared" si="478"/>
        <v>0</v>
      </c>
      <c r="GE154" s="62">
        <f t="shared" si="479"/>
        <v>0</v>
      </c>
      <c r="GF154" s="2">
        <v>71</v>
      </c>
      <c r="GG154" s="57">
        <f t="shared" si="485"/>
        <v>0</v>
      </c>
      <c r="GH154" s="62">
        <f t="shared" si="482"/>
        <v>0</v>
      </c>
      <c r="GI154" s="2">
        <v>70</v>
      </c>
      <c r="GJ154" s="57">
        <f t="shared" si="486"/>
        <v>0</v>
      </c>
      <c r="GK154" s="62">
        <f t="shared" si="487"/>
        <v>0</v>
      </c>
      <c r="GL154" s="2">
        <v>69</v>
      </c>
      <c r="GM154" s="57">
        <f t="shared" si="493"/>
        <v>0</v>
      </c>
      <c r="GN154" s="62">
        <f t="shared" si="490"/>
        <v>0</v>
      </c>
      <c r="GO154" s="2">
        <v>68</v>
      </c>
      <c r="GP154" s="57">
        <f t="shared" si="494"/>
        <v>0</v>
      </c>
      <c r="GQ154" s="62">
        <f t="shared" si="495"/>
        <v>0</v>
      </c>
      <c r="GR154" s="2">
        <v>67</v>
      </c>
      <c r="GS154" s="57">
        <f t="shared" si="505"/>
        <v>0</v>
      </c>
      <c r="GT154" s="62">
        <f t="shared" si="499"/>
        <v>0</v>
      </c>
      <c r="GU154" s="2">
        <v>66</v>
      </c>
      <c r="GV154" s="57">
        <f t="shared" si="506"/>
        <v>0</v>
      </c>
      <c r="GW154" s="62">
        <f t="shared" si="507"/>
        <v>0</v>
      </c>
      <c r="GX154" s="2">
        <v>65</v>
      </c>
      <c r="GY154" s="57">
        <f t="shared" ref="GY154:GY163" si="520">$E$88</f>
        <v>0</v>
      </c>
      <c r="GZ154" s="62">
        <f t="shared" si="514"/>
        <v>0</v>
      </c>
      <c r="HA154" s="2">
        <v>64</v>
      </c>
      <c r="HB154" s="57">
        <f t="shared" ref="HB154:HB162" si="521">$E$89</f>
        <v>0</v>
      </c>
      <c r="HC154" s="62">
        <f t="shared" ref="HC154:HC163" si="522">SUM($G$10*$G$11*HB154*(EXP(-($G$10*HA154))),$G$10*$G$11*HB154*(EXP(-($G$10*(HA154+0.1)))),$G$10*$G$11*HB154*(EXP(-($G$10*(HA154+0.2)))),$G$10*$G$11*HB154*(EXP(-($G$10*(HA154+0.3)))),$G$10*$G$11*HB154*(EXP(-($G$10*(HA154+0.4)))),$G$10*$G$11*HB154*(EXP(-($G$10*(HA154+0.5)))),$G$10*$G$11*HB154*(EXP(-($G$10*(HA154+0.6)))),$G$10*$G$11*HB154*(EXP(-($G$10*(HA154+0.7)))),$G$10*$G$11*HB154*(EXP(-($G$10*(HA154+0.8)))),$G$10*$G$11*HB154*(EXP(-($G$10*(HA154+0.9)))))/10</f>
        <v>0</v>
      </c>
      <c r="HD154" s="2">
        <v>63</v>
      </c>
      <c r="HE154" s="57">
        <f t="shared" si="229"/>
        <v>0</v>
      </c>
      <c r="HF154" s="62">
        <f t="shared" si="368"/>
        <v>0</v>
      </c>
      <c r="HG154" s="2">
        <v>62</v>
      </c>
      <c r="HH154" s="57">
        <f t="shared" si="230"/>
        <v>0</v>
      </c>
      <c r="HI154" s="62">
        <f t="shared" si="397"/>
        <v>0</v>
      </c>
      <c r="HJ154" s="2">
        <v>61</v>
      </c>
      <c r="HK154" s="57">
        <f t="shared" si="241"/>
        <v>0</v>
      </c>
      <c r="HL154" s="62">
        <f t="shared" si="400"/>
        <v>0</v>
      </c>
      <c r="HM154" s="2">
        <v>60</v>
      </c>
      <c r="HN154" s="57">
        <f t="shared" si="247"/>
        <v>0</v>
      </c>
      <c r="HO154" s="62">
        <f t="shared" si="403"/>
        <v>0</v>
      </c>
      <c r="HP154" s="2">
        <v>59</v>
      </c>
      <c r="HQ154" s="57">
        <f t="shared" si="248"/>
        <v>0</v>
      </c>
      <c r="HR154" s="62">
        <f t="shared" si="406"/>
        <v>0</v>
      </c>
      <c r="HS154" s="2">
        <v>58</v>
      </c>
      <c r="HT154" s="57">
        <f t="shared" si="257"/>
        <v>0</v>
      </c>
      <c r="HU154" s="62">
        <f t="shared" si="409"/>
        <v>0</v>
      </c>
      <c r="HV154" s="2">
        <v>57</v>
      </c>
      <c r="HW154" s="57">
        <f t="shared" si="258"/>
        <v>0</v>
      </c>
      <c r="HX154" s="62">
        <f t="shared" si="413"/>
        <v>0</v>
      </c>
      <c r="HY154" s="2">
        <v>56</v>
      </c>
      <c r="HZ154" s="57">
        <f t="shared" si="268"/>
        <v>0</v>
      </c>
      <c r="IA154" s="62">
        <f t="shared" si="417"/>
        <v>0</v>
      </c>
      <c r="IB154" s="2">
        <v>55</v>
      </c>
      <c r="IC154" s="57">
        <f t="shared" si="274"/>
        <v>0</v>
      </c>
      <c r="ID154" s="62">
        <f t="shared" si="421"/>
        <v>0</v>
      </c>
      <c r="IE154" s="2">
        <v>54</v>
      </c>
      <c r="IF154" s="57">
        <f t="shared" si="280"/>
        <v>0</v>
      </c>
      <c r="IG154" s="62">
        <f t="shared" si="425"/>
        <v>0</v>
      </c>
      <c r="IH154" s="2">
        <v>53</v>
      </c>
      <c r="II154" s="57">
        <f t="shared" si="281"/>
        <v>0</v>
      </c>
      <c r="IJ154" s="62">
        <f t="shared" si="429"/>
        <v>0</v>
      </c>
      <c r="IK154" s="2">
        <v>52</v>
      </c>
      <c r="IL154" s="57">
        <f t="shared" si="292"/>
        <v>0</v>
      </c>
      <c r="IM154" s="62">
        <f t="shared" si="434"/>
        <v>0</v>
      </c>
      <c r="IN154" s="2">
        <v>51</v>
      </c>
      <c r="IO154" s="57">
        <f t="shared" si="293"/>
        <v>0</v>
      </c>
      <c r="IP154" s="62">
        <f t="shared" si="438"/>
        <v>0</v>
      </c>
    </row>
    <row r="155" spans="7:250">
      <c r="I155" s="2">
        <f t="shared" si="369"/>
        <v>2150</v>
      </c>
      <c r="J155" s="379">
        <f t="shared" si="508"/>
        <v>596637.07547031867</v>
      </c>
      <c r="K155" s="2">
        <f t="shared" si="370"/>
        <v>131</v>
      </c>
      <c r="L155" s="57">
        <f t="shared" si="500"/>
        <v>189082</v>
      </c>
      <c r="M155" s="62">
        <f t="shared" si="501"/>
        <v>3937.4808617559988</v>
      </c>
      <c r="N155" s="2">
        <f t="shared" si="371"/>
        <v>130</v>
      </c>
      <c r="O155" s="57">
        <f t="shared" si="509"/>
        <v>293489</v>
      </c>
      <c r="P155" s="62">
        <f t="shared" si="510"/>
        <v>6361.0949220626462</v>
      </c>
      <c r="Q155" s="2">
        <f t="shared" si="372"/>
        <v>129</v>
      </c>
      <c r="R155" s="57">
        <f t="shared" si="515"/>
        <v>283523</v>
      </c>
      <c r="S155" s="62">
        <f t="shared" si="516"/>
        <v>6395.877286780853</v>
      </c>
      <c r="T155" s="2">
        <f t="shared" si="373"/>
        <v>128</v>
      </c>
      <c r="U155" s="57">
        <f t="shared" ref="U155:U163" si="523">$E$26</f>
        <v>143321</v>
      </c>
      <c r="V155" s="62">
        <f t="shared" ref="V155:V163" si="524">SUM($G$10*$G$11*U155*(EXP(-($G$10*T155))),$G$10*$G$11*U155*(EXP(-($G$10*(T155+0.1)))),$G$10*$G$11*U155*(EXP(-($G$10*(T155+0.2)))),$G$10*$G$11*U155*(EXP(-($G$10*(T155+0.3)))),$G$10*$G$11*U155*(EXP(-($G$10*(T155+0.4)))),$G$10*$G$11*U155*(EXP(-($G$10*(T155+0.5)))),$G$10*$G$11*U155*(EXP(-($G$10*(T155+0.6)))),$G$10*$G$11*U155*(EXP(-($G$10*(T155+0.7)))),$G$10*$G$11*U155*(EXP(-($G$10*(T155+0.8)))),$G$10*$G$11*U155*(EXP(-($G$10*(T155+0.9)))))/10</f>
        <v>3365.0648338779401</v>
      </c>
      <c r="W155" s="2">
        <f t="shared" si="374"/>
        <v>127</v>
      </c>
      <c r="X155" s="57">
        <f t="shared" si="225"/>
        <v>227851</v>
      </c>
      <c r="Y155" s="62">
        <f t="shared" si="375"/>
        <v>5568.0910027524042</v>
      </c>
      <c r="Z155" s="2">
        <f t="shared" si="376"/>
        <v>126</v>
      </c>
      <c r="AA155" s="57">
        <f t="shared" si="232"/>
        <v>238727</v>
      </c>
      <c r="AB155" s="62">
        <f t="shared" si="398"/>
        <v>6071.9572519320172</v>
      </c>
      <c r="AC155" s="2">
        <f t="shared" si="377"/>
        <v>125</v>
      </c>
      <c r="AD155" s="57">
        <f t="shared" si="237"/>
        <v>250122</v>
      </c>
      <c r="AE155" s="62">
        <f t="shared" si="401"/>
        <v>6621.4154352128489</v>
      </c>
      <c r="AF155" s="2">
        <f t="shared" si="378"/>
        <v>124</v>
      </c>
      <c r="AG155" s="57">
        <f t="shared" si="243"/>
        <v>262060</v>
      </c>
      <c r="AH155" s="62">
        <f t="shared" si="404"/>
        <v>7220.5696263396703</v>
      </c>
      <c r="AI155" s="2">
        <f t="shared" si="379"/>
        <v>123</v>
      </c>
      <c r="AJ155" s="57">
        <f t="shared" si="250"/>
        <v>274569</v>
      </c>
      <c r="AK155" s="62">
        <f t="shared" si="407"/>
        <v>7873.9745134166396</v>
      </c>
      <c r="AL155" s="2">
        <f t="shared" si="380"/>
        <v>122</v>
      </c>
      <c r="AM155" s="57">
        <f t="shared" si="254"/>
        <v>287675</v>
      </c>
      <c r="AN155" s="62">
        <f t="shared" si="410"/>
        <v>8586.5045379566254</v>
      </c>
      <c r="AO155" s="2">
        <f t="shared" si="381"/>
        <v>121</v>
      </c>
      <c r="AP155" s="57">
        <f t="shared" si="260"/>
        <v>301406</v>
      </c>
      <c r="AQ155" s="62">
        <f t="shared" si="414"/>
        <v>9363.4943922683615</v>
      </c>
      <c r="AR155" s="2">
        <f t="shared" si="382"/>
        <v>120</v>
      </c>
      <c r="AS155" s="57">
        <f t="shared" si="265"/>
        <v>315793</v>
      </c>
      <c r="AT155" s="62">
        <f t="shared" si="418"/>
        <v>10210.813398802402</v>
      </c>
      <c r="AU155" s="2">
        <f t="shared" si="383"/>
        <v>119</v>
      </c>
      <c r="AV155" s="57">
        <f t="shared" si="271"/>
        <v>330866</v>
      </c>
      <c r="AW155" s="62">
        <f t="shared" si="422"/>
        <v>11134.783082231774</v>
      </c>
      <c r="AX155" s="2">
        <f t="shared" si="384"/>
        <v>118</v>
      </c>
      <c r="AY155" s="57">
        <f t="shared" si="277"/>
        <v>346659</v>
      </c>
      <c r="AZ155" s="62">
        <f t="shared" si="426"/>
        <v>12142.381645583237</v>
      </c>
      <c r="BA155" s="2">
        <f t="shared" si="385"/>
        <v>117</v>
      </c>
      <c r="BB155" s="57">
        <f t="shared" si="284"/>
        <v>363206</v>
      </c>
      <c r="BC155" s="62">
        <f t="shared" si="430"/>
        <v>13241.164855289247</v>
      </c>
      <c r="BD155" s="2">
        <f t="shared" si="386"/>
        <v>116</v>
      </c>
      <c r="BE155" s="57">
        <f t="shared" si="289"/>
        <v>380542</v>
      </c>
      <c r="BF155" s="62">
        <f t="shared" si="435"/>
        <v>14439.347024306271</v>
      </c>
      <c r="BG155" s="2">
        <f t="shared" si="387"/>
        <v>115</v>
      </c>
      <c r="BH155" s="57">
        <f t="shared" si="296"/>
        <v>398706</v>
      </c>
      <c r="BI155" s="62">
        <f t="shared" si="439"/>
        <v>15745.973210595092</v>
      </c>
      <c r="BJ155" s="2">
        <f t="shared" si="388"/>
        <v>114</v>
      </c>
      <c r="BK155" s="57">
        <f t="shared" si="300"/>
        <v>417737</v>
      </c>
      <c r="BL155" s="62">
        <f t="shared" si="441"/>
        <v>17170.836769822119</v>
      </c>
      <c r="BM155" s="2">
        <f t="shared" si="389"/>
        <v>113</v>
      </c>
      <c r="BN155" s="57">
        <f t="shared" si="304"/>
        <v>437677</v>
      </c>
      <c r="BO155" s="62">
        <f t="shared" si="445"/>
        <v>18724.663444314603</v>
      </c>
      <c r="BP155" s="2">
        <f t="shared" si="390"/>
        <v>112</v>
      </c>
      <c r="BQ155" s="57">
        <f t="shared" si="308"/>
        <v>458568</v>
      </c>
      <c r="BR155" s="62">
        <f t="shared" si="447"/>
        <v>20419.063517390197</v>
      </c>
      <c r="BS155" s="2">
        <f t="shared" si="391"/>
        <v>111</v>
      </c>
      <c r="BT155" s="57">
        <f t="shared" si="312"/>
        <v>480456</v>
      </c>
      <c r="BU155" s="62">
        <f t="shared" si="452"/>
        <v>22266.782927786531</v>
      </c>
      <c r="BV155" s="2">
        <f t="shared" si="392"/>
        <v>110</v>
      </c>
      <c r="BW155" s="57">
        <f t="shared" si="316"/>
        <v>503389</v>
      </c>
      <c r="BX155" s="62">
        <f t="shared" si="455"/>
        <v>24281.714837785334</v>
      </c>
      <c r="BY155" s="2">
        <f t="shared" si="393"/>
        <v>109</v>
      </c>
      <c r="BZ155" s="57">
        <f t="shared" si="320"/>
        <v>527417</v>
      </c>
      <c r="CA155" s="62">
        <f t="shared" si="459"/>
        <v>26478.997384519207</v>
      </c>
      <c r="CB155" s="2">
        <f t="shared" si="394"/>
        <v>108</v>
      </c>
      <c r="CC155" s="57">
        <f t="shared" si="324"/>
        <v>552592</v>
      </c>
      <c r="CD155" s="62">
        <f t="shared" si="463"/>
        <v>28875.119160323764</v>
      </c>
      <c r="CE155" s="2">
        <f t="shared" si="395"/>
        <v>107</v>
      </c>
      <c r="CF155" s="57">
        <f t="shared" si="328"/>
        <v>578968</v>
      </c>
      <c r="CG155" s="62">
        <f t="shared" si="468"/>
        <v>31488.032990121261</v>
      </c>
      <c r="CH155" s="2">
        <v>106</v>
      </c>
      <c r="CI155" s="57">
        <f t="shared" si="332"/>
        <v>606603</v>
      </c>
      <c r="CJ155" s="62">
        <f t="shared" si="472"/>
        <v>34337.39182504065</v>
      </c>
      <c r="CK155" s="2">
        <v>105</v>
      </c>
      <c r="CL155" s="57">
        <f t="shared" si="336"/>
        <v>635558</v>
      </c>
      <c r="CM155" s="62">
        <f t="shared" si="475"/>
        <v>37444.64516214664</v>
      </c>
      <c r="CN155" s="2">
        <v>104</v>
      </c>
      <c r="CO155" s="57">
        <f t="shared" si="340"/>
        <v>665894</v>
      </c>
      <c r="CP155" s="62">
        <f t="shared" si="480"/>
        <v>40833.011471099264</v>
      </c>
      <c r="CQ155" s="2">
        <v>103</v>
      </c>
      <c r="CR155" s="57">
        <f t="shared" si="344"/>
        <v>697679</v>
      </c>
      <c r="CS155" s="62">
        <f t="shared" si="483"/>
        <v>44528.056418944892</v>
      </c>
      <c r="CT155" s="2">
        <v>102</v>
      </c>
      <c r="CU155" s="57">
        <f t="shared" si="348"/>
        <v>730980</v>
      </c>
      <c r="CV155" s="62">
        <f t="shared" si="488"/>
        <v>48557.39303286581</v>
      </c>
      <c r="CW155" s="2">
        <v>101</v>
      </c>
      <c r="CX155" s="57">
        <f t="shared" si="352"/>
        <v>765871</v>
      </c>
      <c r="CY155" s="62">
        <f t="shared" si="491"/>
        <v>52951.378646994337</v>
      </c>
      <c r="CZ155" s="2">
        <v>100</v>
      </c>
      <c r="DA155" s="57">
        <f t="shared" si="496"/>
        <v>0</v>
      </c>
      <c r="DB155" s="62">
        <f t="shared" si="497"/>
        <v>0</v>
      </c>
      <c r="DC155" s="2">
        <v>99</v>
      </c>
      <c r="DD155" s="57">
        <f t="shared" si="502"/>
        <v>0</v>
      </c>
      <c r="DE155" s="62">
        <f t="shared" si="503"/>
        <v>0</v>
      </c>
      <c r="DF155" s="2">
        <v>98</v>
      </c>
      <c r="DG155" s="57">
        <f t="shared" si="511"/>
        <v>0</v>
      </c>
      <c r="DH155" s="62">
        <f t="shared" si="512"/>
        <v>0</v>
      </c>
      <c r="DI155" s="2">
        <v>97</v>
      </c>
      <c r="DJ155" s="57">
        <f t="shared" si="517"/>
        <v>0</v>
      </c>
      <c r="DK155" s="62">
        <f t="shared" si="518"/>
        <v>0</v>
      </c>
      <c r="DL155" s="2">
        <v>96</v>
      </c>
      <c r="DM155" s="57">
        <f t="shared" ref="DM155:DM163" si="525">$E$58</f>
        <v>0</v>
      </c>
      <c r="DN155" s="62">
        <f t="shared" ref="DN155:DN163" si="526">SUM($G$10*$G$11*DM155*(EXP(-($G$10*DL155))),$G$10*$G$11*DM155*(EXP(-($G$10*(DL155+0.1)))),$G$10*$G$11*DM155*(EXP(-($G$10*(DL155+0.2)))),$G$10*$G$11*DM155*(EXP(-($G$10*(DL155+0.3)))),$G$10*$G$11*DM155*(EXP(-($G$10*(DL155+0.4)))),$G$10*$G$11*DM155*(EXP(-($G$10*(DL155+0.5)))),$G$10*$G$11*DM155*(EXP(-($G$10*(DL155+0.6)))),$G$10*$G$11*DM155*(EXP(-($G$10*(DL155+0.7)))),$G$10*$G$11*DM155*(EXP(-($G$10*(DL155+0.8)))),$G$10*$G$11*DM155*(EXP(-($G$10*(DL155+0.9)))))/10</f>
        <v>0</v>
      </c>
      <c r="DO155" s="2">
        <v>95</v>
      </c>
      <c r="DP155" s="57">
        <f t="shared" si="227"/>
        <v>0</v>
      </c>
      <c r="DQ155" s="62">
        <f t="shared" si="396"/>
        <v>0</v>
      </c>
      <c r="DR155" s="2">
        <v>94</v>
      </c>
      <c r="DS155" s="57">
        <f t="shared" si="234"/>
        <v>0</v>
      </c>
      <c r="DT155" s="62">
        <f t="shared" si="399"/>
        <v>0</v>
      </c>
      <c r="DU155" s="2">
        <v>93</v>
      </c>
      <c r="DV155" s="57">
        <f t="shared" si="239"/>
        <v>0</v>
      </c>
      <c r="DW155" s="62">
        <f t="shared" si="402"/>
        <v>0</v>
      </c>
      <c r="DX155" s="2">
        <v>92</v>
      </c>
      <c r="DY155" s="57">
        <f t="shared" si="245"/>
        <v>0</v>
      </c>
      <c r="DZ155" s="62">
        <f t="shared" si="405"/>
        <v>0</v>
      </c>
      <c r="EA155" s="2">
        <f t="shared" si="448"/>
        <v>91</v>
      </c>
      <c r="EB155" s="57">
        <f t="shared" si="411"/>
        <v>0</v>
      </c>
      <c r="EC155" s="62">
        <f t="shared" si="408"/>
        <v>0</v>
      </c>
      <c r="ED155" s="2">
        <f t="shared" si="453"/>
        <v>90</v>
      </c>
      <c r="EE155" s="57">
        <f t="shared" si="415"/>
        <v>0</v>
      </c>
      <c r="EF155" s="62">
        <f t="shared" si="412"/>
        <v>0</v>
      </c>
      <c r="EG155" s="2">
        <f t="shared" si="456"/>
        <v>89</v>
      </c>
      <c r="EH155" s="57">
        <f t="shared" si="419"/>
        <v>0</v>
      </c>
      <c r="EI155" s="62">
        <f t="shared" si="416"/>
        <v>0</v>
      </c>
      <c r="EJ155" s="2">
        <f t="shared" si="460"/>
        <v>88</v>
      </c>
      <c r="EK155" s="57">
        <f t="shared" si="423"/>
        <v>0</v>
      </c>
      <c r="EL155" s="62">
        <f t="shared" si="420"/>
        <v>0</v>
      </c>
      <c r="EM155" s="2">
        <f t="shared" si="464"/>
        <v>87</v>
      </c>
      <c r="EN155" s="57">
        <f t="shared" si="427"/>
        <v>0</v>
      </c>
      <c r="EO155" s="62">
        <f t="shared" si="424"/>
        <v>0</v>
      </c>
      <c r="EP155" s="2">
        <f t="shared" si="469"/>
        <v>86</v>
      </c>
      <c r="EQ155" s="57">
        <f t="shared" si="431"/>
        <v>0</v>
      </c>
      <c r="ER155" s="62">
        <f t="shared" si="428"/>
        <v>0</v>
      </c>
      <c r="ES155" s="2">
        <f t="shared" si="473"/>
        <v>85</v>
      </c>
      <c r="ET155" s="57">
        <f t="shared" si="432"/>
        <v>0</v>
      </c>
      <c r="EU155" s="62">
        <f t="shared" si="433"/>
        <v>0</v>
      </c>
      <c r="EV155" s="2">
        <f t="shared" si="476"/>
        <v>84</v>
      </c>
      <c r="EW155" s="57">
        <f t="shared" si="436"/>
        <v>0</v>
      </c>
      <c r="EX155" s="62">
        <f t="shared" si="437"/>
        <v>0</v>
      </c>
      <c r="EY155" s="2">
        <f t="shared" si="481"/>
        <v>83</v>
      </c>
      <c r="EZ155" s="57">
        <f t="shared" si="442"/>
        <v>0</v>
      </c>
      <c r="FA155" s="62">
        <f t="shared" si="440"/>
        <v>0</v>
      </c>
      <c r="FB155" s="2">
        <f t="shared" si="484"/>
        <v>82</v>
      </c>
      <c r="FC155" s="57">
        <f t="shared" si="443"/>
        <v>0</v>
      </c>
      <c r="FD155" s="62">
        <f t="shared" si="444"/>
        <v>0</v>
      </c>
      <c r="FE155" s="2">
        <f t="shared" si="489"/>
        <v>81</v>
      </c>
      <c r="FF155" s="57">
        <f t="shared" si="449"/>
        <v>0</v>
      </c>
      <c r="FG155" s="62">
        <f t="shared" si="446"/>
        <v>0</v>
      </c>
      <c r="FH155" s="2">
        <f t="shared" si="492"/>
        <v>80</v>
      </c>
      <c r="FI155" s="57">
        <f t="shared" si="450"/>
        <v>0</v>
      </c>
      <c r="FJ155" s="62">
        <f t="shared" si="451"/>
        <v>0</v>
      </c>
      <c r="FK155" s="2">
        <f t="shared" si="498"/>
        <v>79</v>
      </c>
      <c r="FL155" s="57">
        <f t="shared" si="457"/>
        <v>0</v>
      </c>
      <c r="FM155" s="62">
        <f t="shared" si="454"/>
        <v>0</v>
      </c>
      <c r="FN155" s="2">
        <f t="shared" si="504"/>
        <v>78</v>
      </c>
      <c r="FO155" s="57">
        <f t="shared" si="461"/>
        <v>0</v>
      </c>
      <c r="FP155" s="62">
        <f t="shared" si="458"/>
        <v>0</v>
      </c>
      <c r="FQ155" s="2">
        <f t="shared" si="513"/>
        <v>77</v>
      </c>
      <c r="FR155" s="57">
        <f t="shared" si="465"/>
        <v>0</v>
      </c>
      <c r="FS155" s="62">
        <f t="shared" si="462"/>
        <v>0</v>
      </c>
      <c r="FT155" s="2">
        <f t="shared" si="519"/>
        <v>76</v>
      </c>
      <c r="FU155" s="57">
        <f t="shared" si="466"/>
        <v>0</v>
      </c>
      <c r="FV155" s="62">
        <f t="shared" si="467"/>
        <v>0</v>
      </c>
      <c r="FW155" s="2">
        <f t="shared" ref="FW155:FW163" si="527">IF(FW154="","",(FW154+1))</f>
        <v>75</v>
      </c>
      <c r="FX155" s="57">
        <f t="shared" si="470"/>
        <v>0</v>
      </c>
      <c r="FY155" s="62">
        <f t="shared" si="471"/>
        <v>0</v>
      </c>
      <c r="FZ155" s="2">
        <v>74</v>
      </c>
      <c r="GA155" s="57">
        <f t="shared" si="477"/>
        <v>0</v>
      </c>
      <c r="GB155" s="62">
        <f t="shared" si="474"/>
        <v>0</v>
      </c>
      <c r="GC155" s="2">
        <v>73</v>
      </c>
      <c r="GD155" s="57">
        <f t="shared" si="478"/>
        <v>0</v>
      </c>
      <c r="GE155" s="62">
        <f t="shared" si="479"/>
        <v>0</v>
      </c>
      <c r="GF155" s="2">
        <v>72</v>
      </c>
      <c r="GG155" s="57">
        <f t="shared" si="485"/>
        <v>0</v>
      </c>
      <c r="GH155" s="62">
        <f t="shared" si="482"/>
        <v>0</v>
      </c>
      <c r="GI155" s="2">
        <v>71</v>
      </c>
      <c r="GJ155" s="57">
        <f t="shared" si="486"/>
        <v>0</v>
      </c>
      <c r="GK155" s="62">
        <f t="shared" si="487"/>
        <v>0</v>
      </c>
      <c r="GL155" s="2">
        <v>70</v>
      </c>
      <c r="GM155" s="57">
        <f t="shared" si="493"/>
        <v>0</v>
      </c>
      <c r="GN155" s="62">
        <f t="shared" si="490"/>
        <v>0</v>
      </c>
      <c r="GO155" s="2">
        <v>69</v>
      </c>
      <c r="GP155" s="57">
        <f t="shared" si="494"/>
        <v>0</v>
      </c>
      <c r="GQ155" s="62">
        <f t="shared" si="495"/>
        <v>0</v>
      </c>
      <c r="GR155" s="2">
        <v>68</v>
      </c>
      <c r="GS155" s="57">
        <f t="shared" si="505"/>
        <v>0</v>
      </c>
      <c r="GT155" s="62">
        <f t="shared" si="499"/>
        <v>0</v>
      </c>
      <c r="GU155" s="2">
        <v>67</v>
      </c>
      <c r="GV155" s="57">
        <f t="shared" si="506"/>
        <v>0</v>
      </c>
      <c r="GW155" s="62">
        <f t="shared" si="507"/>
        <v>0</v>
      </c>
      <c r="GX155" s="2">
        <v>66</v>
      </c>
      <c r="GY155" s="57">
        <f t="shared" si="520"/>
        <v>0</v>
      </c>
      <c r="GZ155" s="62">
        <f t="shared" si="514"/>
        <v>0</v>
      </c>
      <c r="HA155" s="2">
        <v>65</v>
      </c>
      <c r="HB155" s="57">
        <f t="shared" si="521"/>
        <v>0</v>
      </c>
      <c r="HC155" s="62">
        <f t="shared" si="522"/>
        <v>0</v>
      </c>
      <c r="HD155" s="2">
        <v>64</v>
      </c>
      <c r="HE155" s="57">
        <f t="shared" si="229"/>
        <v>0</v>
      </c>
      <c r="HF155" s="62">
        <f t="shared" ref="HF155:HF163" si="528">SUM($G$10*$G$11*HE155*(EXP(-($G$10*HD155))),$G$10*$G$11*HE155*(EXP(-($G$10*(HD155+0.1)))),$G$10*$G$11*HE155*(EXP(-($G$10*(HD155+0.2)))),$G$10*$G$11*HE155*(EXP(-($G$10*(HD155+0.3)))),$G$10*$G$11*HE155*(EXP(-($G$10*(HD155+0.4)))),$G$10*$G$11*HE155*(EXP(-($G$10*(HD155+0.5)))),$G$10*$G$11*HE155*(EXP(-($G$10*(HD155+0.6)))),$G$10*$G$11*HE155*(EXP(-($G$10*(HD155+0.7)))),$G$10*$G$11*HE155*(EXP(-($G$10*(HD155+0.8)))),$G$10*$G$11*HE155*(EXP(-($G$10*(HD155+0.9)))))/10</f>
        <v>0</v>
      </c>
      <c r="HG155" s="2">
        <v>63</v>
      </c>
      <c r="HH155" s="57">
        <f t="shared" si="230"/>
        <v>0</v>
      </c>
      <c r="HI155" s="62">
        <f t="shared" si="397"/>
        <v>0</v>
      </c>
      <c r="HJ155" s="2">
        <v>62</v>
      </c>
      <c r="HK155" s="57">
        <f t="shared" si="241"/>
        <v>0</v>
      </c>
      <c r="HL155" s="62">
        <f t="shared" si="400"/>
        <v>0</v>
      </c>
      <c r="HM155" s="2">
        <v>61</v>
      </c>
      <c r="HN155" s="57">
        <f t="shared" si="247"/>
        <v>0</v>
      </c>
      <c r="HO155" s="62">
        <f t="shared" si="403"/>
        <v>0</v>
      </c>
      <c r="HP155" s="2">
        <v>60</v>
      </c>
      <c r="HQ155" s="57">
        <f t="shared" si="248"/>
        <v>0</v>
      </c>
      <c r="HR155" s="62">
        <f t="shared" si="406"/>
        <v>0</v>
      </c>
      <c r="HS155" s="2">
        <v>59</v>
      </c>
      <c r="HT155" s="57">
        <f t="shared" si="257"/>
        <v>0</v>
      </c>
      <c r="HU155" s="62">
        <f t="shared" si="409"/>
        <v>0</v>
      </c>
      <c r="HV155" s="2">
        <v>58</v>
      </c>
      <c r="HW155" s="57">
        <f t="shared" si="258"/>
        <v>0</v>
      </c>
      <c r="HX155" s="62">
        <f t="shared" si="413"/>
        <v>0</v>
      </c>
      <c r="HY155" s="2">
        <v>57</v>
      </c>
      <c r="HZ155" s="57">
        <f t="shared" si="268"/>
        <v>0</v>
      </c>
      <c r="IA155" s="62">
        <f t="shared" si="417"/>
        <v>0</v>
      </c>
      <c r="IB155" s="2">
        <v>56</v>
      </c>
      <c r="IC155" s="57">
        <f t="shared" si="274"/>
        <v>0</v>
      </c>
      <c r="ID155" s="62">
        <f t="shared" si="421"/>
        <v>0</v>
      </c>
      <c r="IE155" s="2">
        <v>55</v>
      </c>
      <c r="IF155" s="57">
        <f t="shared" si="280"/>
        <v>0</v>
      </c>
      <c r="IG155" s="62">
        <f t="shared" si="425"/>
        <v>0</v>
      </c>
      <c r="IH155" s="2">
        <v>54</v>
      </c>
      <c r="II155" s="57">
        <f t="shared" si="281"/>
        <v>0</v>
      </c>
      <c r="IJ155" s="62">
        <f t="shared" si="429"/>
        <v>0</v>
      </c>
      <c r="IK155" s="2">
        <v>53</v>
      </c>
      <c r="IL155" s="57">
        <f t="shared" si="292"/>
        <v>0</v>
      </c>
      <c r="IM155" s="62">
        <f t="shared" si="434"/>
        <v>0</v>
      </c>
      <c r="IN155" s="2">
        <v>52</v>
      </c>
      <c r="IO155" s="57">
        <f t="shared" si="293"/>
        <v>0</v>
      </c>
      <c r="IP155" s="62">
        <f t="shared" si="438"/>
        <v>0</v>
      </c>
    </row>
    <row r="156" spans="7:250">
      <c r="I156" s="2">
        <f t="shared" si="369"/>
        <v>2151</v>
      </c>
      <c r="J156" s="379">
        <f t="shared" si="508"/>
        <v>573242.60111860977</v>
      </c>
      <c r="K156" s="2">
        <f t="shared" si="370"/>
        <v>132</v>
      </c>
      <c r="L156" s="57">
        <f t="shared" si="500"/>
        <v>189082</v>
      </c>
      <c r="M156" s="62">
        <f t="shared" si="501"/>
        <v>3783.0900288395524</v>
      </c>
      <c r="N156" s="2">
        <f t="shared" si="371"/>
        <v>131</v>
      </c>
      <c r="O156" s="57">
        <f t="shared" si="509"/>
        <v>293489</v>
      </c>
      <c r="P156" s="62">
        <f t="shared" si="510"/>
        <v>6111.6728225632605</v>
      </c>
      <c r="Q156" s="2">
        <f t="shared" si="372"/>
        <v>130</v>
      </c>
      <c r="R156" s="57">
        <f t="shared" si="515"/>
        <v>283523</v>
      </c>
      <c r="S156" s="62">
        <f t="shared" si="516"/>
        <v>6145.0913512532588</v>
      </c>
      <c r="T156" s="2">
        <f t="shared" si="373"/>
        <v>129</v>
      </c>
      <c r="U156" s="57">
        <f t="shared" si="523"/>
        <v>143321</v>
      </c>
      <c r="V156" s="62">
        <f t="shared" si="524"/>
        <v>3233.1187544527907</v>
      </c>
      <c r="W156" s="2">
        <f t="shared" si="374"/>
        <v>128</v>
      </c>
      <c r="X156" s="57">
        <f t="shared" ref="X156:X163" si="529">$E$27</f>
        <v>227851</v>
      </c>
      <c r="Y156" s="62">
        <f t="shared" ref="Y156:Y163" si="530">SUM($G$10*$G$11*X156*(EXP(-($G$10*W156))),$G$10*$G$11*X156*(EXP(-($G$10*(W156+0.1)))),$G$10*$G$11*X156*(EXP(-($G$10*(W156+0.2)))),$G$10*$G$11*X156*(EXP(-($G$10*(W156+0.3)))),$G$10*$G$11*X156*(EXP(-($G$10*(W156+0.4)))),$G$10*$G$11*X156*(EXP(-($G$10*(W156+0.5)))),$G$10*$G$11*X156*(EXP(-($G$10*(W156+0.6)))),$G$10*$G$11*X156*(EXP(-($G$10*(W156+0.7)))),$G$10*$G$11*X156*(EXP(-($G$10*(W156+0.8)))),$G$10*$G$11*X156*(EXP(-($G$10*(W156+0.9)))))/10</f>
        <v>5349.7630316835803</v>
      </c>
      <c r="Z156" s="2">
        <f t="shared" si="376"/>
        <v>127</v>
      </c>
      <c r="AA156" s="57">
        <f t="shared" si="232"/>
        <v>238727</v>
      </c>
      <c r="AB156" s="62">
        <f t="shared" si="398"/>
        <v>5833.8724026406435</v>
      </c>
      <c r="AC156" s="2">
        <f t="shared" si="377"/>
        <v>126</v>
      </c>
      <c r="AD156" s="57">
        <f t="shared" si="237"/>
        <v>250122</v>
      </c>
      <c r="AE156" s="62">
        <f t="shared" si="401"/>
        <v>6361.7860223926909</v>
      </c>
      <c r="AF156" s="2">
        <f t="shared" si="378"/>
        <v>125</v>
      </c>
      <c r="AG156" s="57">
        <f t="shared" si="243"/>
        <v>262060</v>
      </c>
      <c r="AH156" s="62">
        <f t="shared" si="404"/>
        <v>6937.4470416511922</v>
      </c>
      <c r="AI156" s="2">
        <f t="shared" si="379"/>
        <v>124</v>
      </c>
      <c r="AJ156" s="57">
        <f t="shared" si="250"/>
        <v>274569</v>
      </c>
      <c r="AK156" s="62">
        <f t="shared" si="407"/>
        <v>7565.2315566452617</v>
      </c>
      <c r="AL156" s="2">
        <f t="shared" si="380"/>
        <v>123</v>
      </c>
      <c r="AM156" s="57">
        <f t="shared" si="254"/>
        <v>287675</v>
      </c>
      <c r="AN156" s="62">
        <f t="shared" si="410"/>
        <v>8249.8228793022226</v>
      </c>
      <c r="AO156" s="2">
        <f t="shared" si="381"/>
        <v>122</v>
      </c>
      <c r="AP156" s="57">
        <f t="shared" si="260"/>
        <v>301406</v>
      </c>
      <c r="AQ156" s="62">
        <f t="shared" si="414"/>
        <v>8996.3465256534437</v>
      </c>
      <c r="AR156" s="2">
        <f t="shared" si="382"/>
        <v>121</v>
      </c>
      <c r="AS156" s="57">
        <f t="shared" si="265"/>
        <v>315793</v>
      </c>
      <c r="AT156" s="62">
        <f t="shared" si="418"/>
        <v>9810.4416787243863</v>
      </c>
      <c r="AU156" s="2">
        <f t="shared" si="383"/>
        <v>120</v>
      </c>
      <c r="AV156" s="57">
        <f t="shared" si="271"/>
        <v>330866</v>
      </c>
      <c r="AW156" s="62">
        <f t="shared" si="422"/>
        <v>10698.181992660242</v>
      </c>
      <c r="AX156" s="2">
        <f t="shared" si="384"/>
        <v>119</v>
      </c>
      <c r="AY156" s="57">
        <f t="shared" si="277"/>
        <v>346659</v>
      </c>
      <c r="AZ156" s="62">
        <f t="shared" si="426"/>
        <v>11666.272051233382</v>
      </c>
      <c r="BA156" s="2">
        <f t="shared" si="385"/>
        <v>118</v>
      </c>
      <c r="BB156" s="57">
        <f t="shared" si="284"/>
        <v>363206</v>
      </c>
      <c r="BC156" s="62">
        <f t="shared" si="430"/>
        <v>12721.971355036807</v>
      </c>
      <c r="BD156" s="2">
        <f t="shared" si="386"/>
        <v>117</v>
      </c>
      <c r="BE156" s="57">
        <f t="shared" si="289"/>
        <v>380542</v>
      </c>
      <c r="BF156" s="62">
        <f t="shared" si="435"/>
        <v>13873.17212920899</v>
      </c>
      <c r="BG156" s="2">
        <f t="shared" si="387"/>
        <v>116</v>
      </c>
      <c r="BH156" s="57">
        <f t="shared" si="296"/>
        <v>398706</v>
      </c>
      <c r="BI156" s="62">
        <f t="shared" si="439"/>
        <v>15128.564769915165</v>
      </c>
      <c r="BJ156" s="2">
        <f t="shared" si="388"/>
        <v>115</v>
      </c>
      <c r="BK156" s="57">
        <f t="shared" si="300"/>
        <v>417737</v>
      </c>
      <c r="BL156" s="62">
        <f t="shared" si="441"/>
        <v>16497.55862985348</v>
      </c>
      <c r="BM156" s="2">
        <f t="shared" si="389"/>
        <v>114</v>
      </c>
      <c r="BN156" s="57">
        <f t="shared" si="304"/>
        <v>437677</v>
      </c>
      <c r="BO156" s="62">
        <f t="shared" si="445"/>
        <v>17990.458888979036</v>
      </c>
      <c r="BP156" s="2">
        <f t="shared" si="390"/>
        <v>113</v>
      </c>
      <c r="BQ156" s="57">
        <f t="shared" si="308"/>
        <v>458568</v>
      </c>
      <c r="BR156" s="62">
        <f t="shared" si="447"/>
        <v>19618.420584888991</v>
      </c>
      <c r="BS156" s="2">
        <f t="shared" si="391"/>
        <v>112</v>
      </c>
      <c r="BT156" s="57">
        <f t="shared" si="312"/>
        <v>480456</v>
      </c>
      <c r="BU156" s="62">
        <f t="shared" si="452"/>
        <v>21393.68988091455</v>
      </c>
      <c r="BV156" s="2">
        <f t="shared" si="392"/>
        <v>111</v>
      </c>
      <c r="BW156" s="57">
        <f t="shared" si="316"/>
        <v>503389</v>
      </c>
      <c r="BX156" s="62">
        <f t="shared" si="455"/>
        <v>23329.615180652414</v>
      </c>
      <c r="BY156" s="2">
        <f t="shared" si="393"/>
        <v>110</v>
      </c>
      <c r="BZ156" s="57">
        <f t="shared" si="320"/>
        <v>527417</v>
      </c>
      <c r="CA156" s="62">
        <f t="shared" si="459"/>
        <v>25440.741046388037</v>
      </c>
      <c r="CB156" s="2">
        <f t="shared" si="394"/>
        <v>109</v>
      </c>
      <c r="CC156" s="57">
        <f t="shared" si="324"/>
        <v>552592</v>
      </c>
      <c r="CD156" s="62">
        <f t="shared" si="463"/>
        <v>27742.909543503971</v>
      </c>
      <c r="CE156" s="2">
        <f t="shared" si="395"/>
        <v>108</v>
      </c>
      <c r="CF156" s="57">
        <f t="shared" si="328"/>
        <v>578968</v>
      </c>
      <c r="CG156" s="62">
        <f t="shared" si="468"/>
        <v>30253.369556588452</v>
      </c>
      <c r="CH156" s="2">
        <v>107</v>
      </c>
      <c r="CI156" s="57">
        <f t="shared" si="332"/>
        <v>606603</v>
      </c>
      <c r="CJ156" s="62">
        <f t="shared" si="472"/>
        <v>32991.003433534366</v>
      </c>
      <c r="CK156" s="2">
        <v>106</v>
      </c>
      <c r="CL156" s="57">
        <f t="shared" si="336"/>
        <v>635558</v>
      </c>
      <c r="CM156" s="62">
        <f t="shared" si="475"/>
        <v>35976.419624596616</v>
      </c>
      <c r="CN156" s="2">
        <v>105</v>
      </c>
      <c r="CO156" s="57">
        <f t="shared" si="340"/>
        <v>665894</v>
      </c>
      <c r="CP156" s="62">
        <f t="shared" si="480"/>
        <v>39231.926190217848</v>
      </c>
      <c r="CQ156" s="2">
        <v>104</v>
      </c>
      <c r="CR156" s="57">
        <f t="shared" si="344"/>
        <v>697679</v>
      </c>
      <c r="CS156" s="62">
        <f t="shared" si="483"/>
        <v>42782.086353301071</v>
      </c>
      <c r="CT156" s="2">
        <v>103</v>
      </c>
      <c r="CU156" s="57">
        <f t="shared" si="348"/>
        <v>730980</v>
      </c>
      <c r="CV156" s="62">
        <f t="shared" si="488"/>
        <v>46653.43041874608</v>
      </c>
      <c r="CW156" s="2">
        <v>102</v>
      </c>
      <c r="CX156" s="57">
        <f t="shared" si="352"/>
        <v>765871</v>
      </c>
      <c r="CY156" s="62">
        <f t="shared" si="491"/>
        <v>50875.125392588001</v>
      </c>
      <c r="CZ156" s="2">
        <v>101</v>
      </c>
      <c r="DA156" s="57">
        <f t="shared" si="496"/>
        <v>0</v>
      </c>
      <c r="DB156" s="62">
        <f t="shared" si="497"/>
        <v>0</v>
      </c>
      <c r="DC156" s="2">
        <v>100</v>
      </c>
      <c r="DD156" s="57">
        <f t="shared" si="502"/>
        <v>0</v>
      </c>
      <c r="DE156" s="62">
        <f t="shared" si="503"/>
        <v>0</v>
      </c>
      <c r="DF156" s="2">
        <v>99</v>
      </c>
      <c r="DG156" s="57">
        <f t="shared" si="511"/>
        <v>0</v>
      </c>
      <c r="DH156" s="62">
        <f t="shared" si="512"/>
        <v>0</v>
      </c>
      <c r="DI156" s="2">
        <v>98</v>
      </c>
      <c r="DJ156" s="57">
        <f t="shared" si="517"/>
        <v>0</v>
      </c>
      <c r="DK156" s="62">
        <f t="shared" si="518"/>
        <v>0</v>
      </c>
      <c r="DL156" s="2">
        <v>97</v>
      </c>
      <c r="DM156" s="57">
        <f t="shared" si="525"/>
        <v>0</v>
      </c>
      <c r="DN156" s="62">
        <f t="shared" si="526"/>
        <v>0</v>
      </c>
      <c r="DO156" s="2">
        <v>96</v>
      </c>
      <c r="DP156" s="57">
        <f t="shared" ref="DP156:DP163" si="531">$E$59</f>
        <v>0</v>
      </c>
      <c r="DQ156" s="62">
        <f t="shared" ref="DQ156:DQ163" si="532">SUM($G$10*$G$11*DP156*(EXP(-($G$10*DO156))),$G$10*$G$11*DP156*(EXP(-($G$10*(DO156+0.1)))),$G$10*$G$11*DP156*(EXP(-($G$10*(DO156+0.2)))),$G$10*$G$11*DP156*(EXP(-($G$10*(DO156+0.3)))),$G$10*$G$11*DP156*(EXP(-($G$10*(DO156+0.4)))),$G$10*$G$11*DP156*(EXP(-($G$10*(DO156+0.5)))),$G$10*$G$11*DP156*(EXP(-($G$10*(DO156+0.6)))),$G$10*$G$11*DP156*(EXP(-($G$10*(DO156+0.7)))),$G$10*$G$11*DP156*(EXP(-($G$10*(DO156+0.8)))),$G$10*$G$11*DP156*(EXP(-($G$10*(DO156+0.9)))))/10</f>
        <v>0</v>
      </c>
      <c r="DR156" s="2">
        <v>95</v>
      </c>
      <c r="DS156" s="57">
        <f t="shared" si="234"/>
        <v>0</v>
      </c>
      <c r="DT156" s="62">
        <f t="shared" si="399"/>
        <v>0</v>
      </c>
      <c r="DU156" s="2">
        <v>94</v>
      </c>
      <c r="DV156" s="57">
        <f t="shared" si="239"/>
        <v>0</v>
      </c>
      <c r="DW156" s="62">
        <f t="shared" si="402"/>
        <v>0</v>
      </c>
      <c r="DX156" s="2">
        <v>93</v>
      </c>
      <c r="DY156" s="57">
        <f t="shared" si="245"/>
        <v>0</v>
      </c>
      <c r="DZ156" s="62">
        <f t="shared" si="405"/>
        <v>0</v>
      </c>
      <c r="EA156" s="2">
        <f t="shared" si="448"/>
        <v>92</v>
      </c>
      <c r="EB156" s="57">
        <f t="shared" si="411"/>
        <v>0</v>
      </c>
      <c r="EC156" s="62">
        <f t="shared" si="408"/>
        <v>0</v>
      </c>
      <c r="ED156" s="2">
        <f t="shared" si="453"/>
        <v>91</v>
      </c>
      <c r="EE156" s="57">
        <f t="shared" si="415"/>
        <v>0</v>
      </c>
      <c r="EF156" s="62">
        <f t="shared" si="412"/>
        <v>0</v>
      </c>
      <c r="EG156" s="2">
        <f t="shared" si="456"/>
        <v>90</v>
      </c>
      <c r="EH156" s="57">
        <f t="shared" si="419"/>
        <v>0</v>
      </c>
      <c r="EI156" s="62">
        <f t="shared" si="416"/>
        <v>0</v>
      </c>
      <c r="EJ156" s="2">
        <f t="shared" si="460"/>
        <v>89</v>
      </c>
      <c r="EK156" s="57">
        <f t="shared" si="423"/>
        <v>0</v>
      </c>
      <c r="EL156" s="62">
        <f t="shared" si="420"/>
        <v>0</v>
      </c>
      <c r="EM156" s="2">
        <f t="shared" si="464"/>
        <v>88</v>
      </c>
      <c r="EN156" s="57">
        <f t="shared" si="427"/>
        <v>0</v>
      </c>
      <c r="EO156" s="62">
        <f t="shared" si="424"/>
        <v>0</v>
      </c>
      <c r="EP156" s="2">
        <f t="shared" si="469"/>
        <v>87</v>
      </c>
      <c r="EQ156" s="57">
        <f t="shared" si="431"/>
        <v>0</v>
      </c>
      <c r="ER156" s="62">
        <f t="shared" si="428"/>
        <v>0</v>
      </c>
      <c r="ES156" s="2">
        <f t="shared" si="473"/>
        <v>86</v>
      </c>
      <c r="ET156" s="57">
        <f t="shared" si="432"/>
        <v>0</v>
      </c>
      <c r="EU156" s="62">
        <f t="shared" si="433"/>
        <v>0</v>
      </c>
      <c r="EV156" s="2">
        <f t="shared" si="476"/>
        <v>85</v>
      </c>
      <c r="EW156" s="57">
        <f t="shared" si="436"/>
        <v>0</v>
      </c>
      <c r="EX156" s="62">
        <f t="shared" si="437"/>
        <v>0</v>
      </c>
      <c r="EY156" s="2">
        <f t="shared" si="481"/>
        <v>84</v>
      </c>
      <c r="EZ156" s="57">
        <f t="shared" si="442"/>
        <v>0</v>
      </c>
      <c r="FA156" s="62">
        <f t="shared" si="440"/>
        <v>0</v>
      </c>
      <c r="FB156" s="2">
        <f t="shared" si="484"/>
        <v>83</v>
      </c>
      <c r="FC156" s="57">
        <f t="shared" si="443"/>
        <v>0</v>
      </c>
      <c r="FD156" s="62">
        <f t="shared" si="444"/>
        <v>0</v>
      </c>
      <c r="FE156" s="2">
        <f t="shared" si="489"/>
        <v>82</v>
      </c>
      <c r="FF156" s="57">
        <f t="shared" si="449"/>
        <v>0</v>
      </c>
      <c r="FG156" s="62">
        <f t="shared" si="446"/>
        <v>0</v>
      </c>
      <c r="FH156" s="2">
        <f t="shared" si="492"/>
        <v>81</v>
      </c>
      <c r="FI156" s="57">
        <f t="shared" si="450"/>
        <v>0</v>
      </c>
      <c r="FJ156" s="62">
        <f t="shared" si="451"/>
        <v>0</v>
      </c>
      <c r="FK156" s="2">
        <f t="shared" si="498"/>
        <v>80</v>
      </c>
      <c r="FL156" s="57">
        <f t="shared" si="457"/>
        <v>0</v>
      </c>
      <c r="FM156" s="62">
        <f t="shared" si="454"/>
        <v>0</v>
      </c>
      <c r="FN156" s="2">
        <f t="shared" si="504"/>
        <v>79</v>
      </c>
      <c r="FO156" s="57">
        <f t="shared" si="461"/>
        <v>0</v>
      </c>
      <c r="FP156" s="62">
        <f t="shared" si="458"/>
        <v>0</v>
      </c>
      <c r="FQ156" s="2">
        <f t="shared" si="513"/>
        <v>78</v>
      </c>
      <c r="FR156" s="57">
        <f t="shared" si="465"/>
        <v>0</v>
      </c>
      <c r="FS156" s="62">
        <f t="shared" si="462"/>
        <v>0</v>
      </c>
      <c r="FT156" s="2">
        <f t="shared" si="519"/>
        <v>77</v>
      </c>
      <c r="FU156" s="57">
        <f t="shared" si="466"/>
        <v>0</v>
      </c>
      <c r="FV156" s="62">
        <f t="shared" si="467"/>
        <v>0</v>
      </c>
      <c r="FW156" s="2">
        <f t="shared" si="527"/>
        <v>76</v>
      </c>
      <c r="FX156" s="57">
        <f t="shared" si="470"/>
        <v>0</v>
      </c>
      <c r="FY156" s="62">
        <f t="shared" si="471"/>
        <v>0</v>
      </c>
      <c r="FZ156" s="2">
        <f t="shared" ref="FZ156:FZ163" si="533">IF(FZ155="","",(FZ155+1))</f>
        <v>75</v>
      </c>
      <c r="GA156" s="57">
        <f t="shared" si="477"/>
        <v>0</v>
      </c>
      <c r="GB156" s="62">
        <f t="shared" si="474"/>
        <v>0</v>
      </c>
      <c r="GC156" s="2">
        <v>74</v>
      </c>
      <c r="GD156" s="57">
        <f t="shared" si="478"/>
        <v>0</v>
      </c>
      <c r="GE156" s="62">
        <f t="shared" si="479"/>
        <v>0</v>
      </c>
      <c r="GF156" s="2">
        <v>73</v>
      </c>
      <c r="GG156" s="57">
        <f t="shared" si="485"/>
        <v>0</v>
      </c>
      <c r="GH156" s="62">
        <f t="shared" si="482"/>
        <v>0</v>
      </c>
      <c r="GI156" s="2">
        <v>72</v>
      </c>
      <c r="GJ156" s="57">
        <f t="shared" si="486"/>
        <v>0</v>
      </c>
      <c r="GK156" s="62">
        <f t="shared" si="487"/>
        <v>0</v>
      </c>
      <c r="GL156" s="2">
        <v>71</v>
      </c>
      <c r="GM156" s="57">
        <f t="shared" si="493"/>
        <v>0</v>
      </c>
      <c r="GN156" s="62">
        <f t="shared" si="490"/>
        <v>0</v>
      </c>
      <c r="GO156" s="2">
        <v>70</v>
      </c>
      <c r="GP156" s="57">
        <f t="shared" si="494"/>
        <v>0</v>
      </c>
      <c r="GQ156" s="62">
        <f t="shared" si="495"/>
        <v>0</v>
      </c>
      <c r="GR156" s="2">
        <v>69</v>
      </c>
      <c r="GS156" s="57">
        <f t="shared" si="505"/>
        <v>0</v>
      </c>
      <c r="GT156" s="62">
        <f t="shared" si="499"/>
        <v>0</v>
      </c>
      <c r="GU156" s="2">
        <v>68</v>
      </c>
      <c r="GV156" s="57">
        <f t="shared" si="506"/>
        <v>0</v>
      </c>
      <c r="GW156" s="62">
        <f t="shared" si="507"/>
        <v>0</v>
      </c>
      <c r="GX156" s="2">
        <v>67</v>
      </c>
      <c r="GY156" s="57">
        <f t="shared" si="520"/>
        <v>0</v>
      </c>
      <c r="GZ156" s="62">
        <f t="shared" si="514"/>
        <v>0</v>
      </c>
      <c r="HA156" s="2">
        <v>66</v>
      </c>
      <c r="HB156" s="57">
        <f t="shared" si="521"/>
        <v>0</v>
      </c>
      <c r="HC156" s="62">
        <f t="shared" si="522"/>
        <v>0</v>
      </c>
      <c r="HD156" s="2">
        <v>65</v>
      </c>
      <c r="HE156" s="57">
        <f t="shared" ref="HE156:HE163" si="534">$E$90</f>
        <v>0</v>
      </c>
      <c r="HF156" s="62">
        <f t="shared" si="528"/>
        <v>0</v>
      </c>
      <c r="HG156" s="2">
        <v>64</v>
      </c>
      <c r="HH156" s="57">
        <f t="shared" ref="HH156:HH162" si="535">$E$91</f>
        <v>0</v>
      </c>
      <c r="HI156" s="62">
        <f t="shared" ref="HI156:HI163" si="536">SUM($G$10*$G$11*HH156*(EXP(-($G$10*HG156))),$G$10*$G$11*HH156*(EXP(-($G$10*(HG156+0.1)))),$G$10*$G$11*HH156*(EXP(-($G$10*(HG156+0.2)))),$G$10*$G$11*HH156*(EXP(-($G$10*(HG156+0.3)))),$G$10*$G$11*HH156*(EXP(-($G$10*(HG156+0.4)))),$G$10*$G$11*HH156*(EXP(-($G$10*(HG156+0.5)))),$G$10*$G$11*HH156*(EXP(-($G$10*(HG156+0.6)))),$G$10*$G$11*HH156*(EXP(-($G$10*(HG156+0.7)))),$G$10*$G$11*HH156*(EXP(-($G$10*(HG156+0.8)))),$G$10*$G$11*HH156*(EXP(-($G$10*(HG156+0.9)))))/10</f>
        <v>0</v>
      </c>
      <c r="HJ156" s="2">
        <v>63</v>
      </c>
      <c r="HK156" s="57">
        <f t="shared" si="241"/>
        <v>0</v>
      </c>
      <c r="HL156" s="62">
        <f t="shared" si="400"/>
        <v>0</v>
      </c>
      <c r="HM156" s="2">
        <v>62</v>
      </c>
      <c r="HN156" s="57">
        <f t="shared" si="247"/>
        <v>0</v>
      </c>
      <c r="HO156" s="62">
        <f t="shared" si="403"/>
        <v>0</v>
      </c>
      <c r="HP156" s="2">
        <v>61</v>
      </c>
      <c r="HQ156" s="57">
        <f t="shared" si="248"/>
        <v>0</v>
      </c>
      <c r="HR156" s="62">
        <f t="shared" si="406"/>
        <v>0</v>
      </c>
      <c r="HS156" s="2">
        <v>60</v>
      </c>
      <c r="HT156" s="57">
        <f t="shared" si="257"/>
        <v>0</v>
      </c>
      <c r="HU156" s="62">
        <f t="shared" si="409"/>
        <v>0</v>
      </c>
      <c r="HV156" s="2">
        <v>59</v>
      </c>
      <c r="HW156" s="57">
        <f t="shared" si="258"/>
        <v>0</v>
      </c>
      <c r="HX156" s="62">
        <f t="shared" si="413"/>
        <v>0</v>
      </c>
      <c r="HY156" s="2">
        <v>58</v>
      </c>
      <c r="HZ156" s="57">
        <f t="shared" si="268"/>
        <v>0</v>
      </c>
      <c r="IA156" s="62">
        <f t="shared" si="417"/>
        <v>0</v>
      </c>
      <c r="IB156" s="2">
        <v>57</v>
      </c>
      <c r="IC156" s="57">
        <f t="shared" si="274"/>
        <v>0</v>
      </c>
      <c r="ID156" s="62">
        <f t="shared" si="421"/>
        <v>0</v>
      </c>
      <c r="IE156" s="2">
        <v>56</v>
      </c>
      <c r="IF156" s="57">
        <f t="shared" si="280"/>
        <v>0</v>
      </c>
      <c r="IG156" s="62">
        <f t="shared" si="425"/>
        <v>0</v>
      </c>
      <c r="IH156" s="2">
        <v>55</v>
      </c>
      <c r="II156" s="57">
        <f t="shared" si="281"/>
        <v>0</v>
      </c>
      <c r="IJ156" s="62">
        <f t="shared" si="429"/>
        <v>0</v>
      </c>
      <c r="IK156" s="2">
        <v>54</v>
      </c>
      <c r="IL156" s="57">
        <f t="shared" si="292"/>
        <v>0</v>
      </c>
      <c r="IM156" s="62">
        <f t="shared" si="434"/>
        <v>0</v>
      </c>
      <c r="IN156" s="2">
        <v>53</v>
      </c>
      <c r="IO156" s="57">
        <f t="shared" si="293"/>
        <v>0</v>
      </c>
      <c r="IP156" s="62">
        <f t="shared" si="438"/>
        <v>0</v>
      </c>
    </row>
    <row r="157" spans="7:250">
      <c r="I157" s="2">
        <f t="shared" si="369"/>
        <v>2152</v>
      </c>
      <c r="J157" s="379">
        <f t="shared" si="508"/>
        <v>550765.43722696812</v>
      </c>
      <c r="K157" s="2">
        <f t="shared" si="370"/>
        <v>133</v>
      </c>
      <c r="L157" s="57">
        <f t="shared" si="500"/>
        <v>189082</v>
      </c>
      <c r="M157" s="62">
        <f t="shared" si="501"/>
        <v>3634.7529470714994</v>
      </c>
      <c r="N157" s="2">
        <f t="shared" si="371"/>
        <v>132</v>
      </c>
      <c r="O157" s="57">
        <f t="shared" si="509"/>
        <v>293489</v>
      </c>
      <c r="P157" s="62">
        <f t="shared" si="510"/>
        <v>5872.0307034730513</v>
      </c>
      <c r="Q157" s="2">
        <f t="shared" si="372"/>
        <v>131</v>
      </c>
      <c r="R157" s="57">
        <f t="shared" si="515"/>
        <v>283523</v>
      </c>
      <c r="S157" s="62">
        <f t="shared" si="516"/>
        <v>5904.1388729104101</v>
      </c>
      <c r="T157" s="2">
        <f t="shared" si="373"/>
        <v>130</v>
      </c>
      <c r="U157" s="57">
        <f t="shared" si="523"/>
        <v>143321</v>
      </c>
      <c r="V157" s="62">
        <f t="shared" si="524"/>
        <v>3106.3463548035543</v>
      </c>
      <c r="W157" s="2">
        <f t="shared" si="374"/>
        <v>129</v>
      </c>
      <c r="X157" s="57">
        <f t="shared" si="529"/>
        <v>227851</v>
      </c>
      <c r="Y157" s="62">
        <f t="shared" si="530"/>
        <v>5139.9958228090982</v>
      </c>
      <c r="Z157" s="2">
        <f t="shared" si="376"/>
        <v>128</v>
      </c>
      <c r="AA157" s="57">
        <f t="shared" ref="AA157:AA163" si="537">$E$28</f>
        <v>238727</v>
      </c>
      <c r="AB157" s="62">
        <f t="shared" ref="AB157:AB163" si="538">SUM($G$10*$G$11*AA157*(EXP(-($G$10*Z157))),$G$10*$G$11*AA157*(EXP(-($G$10*(Z157+0.1)))),$G$10*$G$11*AA157*(EXP(-($G$10*(Z157+0.2)))),$G$10*$G$11*AA157*(EXP(-($G$10*(Z157+0.3)))),$G$10*$G$11*AA157*(EXP(-($G$10*(Z157+0.4)))),$G$10*$G$11*AA157*(EXP(-($G$10*(Z157+0.5)))),$G$10*$G$11*AA157*(EXP(-($G$10*(Z157+0.6)))),$G$10*$G$11*AA157*(EXP(-($G$10*(Z157+0.7)))),$G$10*$G$11*AA157*(EXP(-($G$10*(Z157+0.8)))),$G$10*$G$11*AA157*(EXP(-($G$10*(Z157+0.9)))))/10</f>
        <v>5605.1229938193219</v>
      </c>
      <c r="AC157" s="2">
        <f t="shared" si="377"/>
        <v>127</v>
      </c>
      <c r="AD157" s="57">
        <f t="shared" si="237"/>
        <v>250122</v>
      </c>
      <c r="AE157" s="62">
        <f t="shared" si="401"/>
        <v>6112.3368244617614</v>
      </c>
      <c r="AF157" s="2">
        <f t="shared" si="378"/>
        <v>126</v>
      </c>
      <c r="AG157" s="57">
        <f t="shared" si="243"/>
        <v>262060</v>
      </c>
      <c r="AH157" s="62">
        <f t="shared" si="404"/>
        <v>6665.4258522969922</v>
      </c>
      <c r="AI157" s="2">
        <f t="shared" si="379"/>
        <v>125</v>
      </c>
      <c r="AJ157" s="57">
        <f t="shared" si="250"/>
        <v>274569</v>
      </c>
      <c r="AK157" s="62">
        <f t="shared" si="407"/>
        <v>7268.5945843666577</v>
      </c>
      <c r="AL157" s="2">
        <f t="shared" si="380"/>
        <v>124</v>
      </c>
      <c r="AM157" s="57">
        <f t="shared" si="254"/>
        <v>287675</v>
      </c>
      <c r="AN157" s="62">
        <f t="shared" si="410"/>
        <v>7926.3426973107871</v>
      </c>
      <c r="AO157" s="2">
        <f t="shared" si="381"/>
        <v>123</v>
      </c>
      <c r="AP157" s="57">
        <f t="shared" si="260"/>
        <v>301406</v>
      </c>
      <c r="AQ157" s="62">
        <f t="shared" si="414"/>
        <v>8643.5947328025231</v>
      </c>
      <c r="AR157" s="2">
        <f t="shared" si="382"/>
        <v>122</v>
      </c>
      <c r="AS157" s="57">
        <f t="shared" si="265"/>
        <v>315793</v>
      </c>
      <c r="AT157" s="62">
        <f t="shared" si="418"/>
        <v>9425.7687583381794</v>
      </c>
      <c r="AU157" s="2">
        <f t="shared" si="383"/>
        <v>121</v>
      </c>
      <c r="AV157" s="57">
        <f t="shared" si="271"/>
        <v>330866</v>
      </c>
      <c r="AW157" s="62">
        <f t="shared" si="422"/>
        <v>10278.700276677517</v>
      </c>
      <c r="AX157" s="2">
        <f t="shared" si="384"/>
        <v>120</v>
      </c>
      <c r="AY157" s="57">
        <f t="shared" si="277"/>
        <v>346659</v>
      </c>
      <c r="AZ157" s="62">
        <f t="shared" si="426"/>
        <v>11208.830981102943</v>
      </c>
      <c r="BA157" s="2">
        <f t="shared" si="385"/>
        <v>119</v>
      </c>
      <c r="BB157" s="57">
        <f t="shared" si="284"/>
        <v>363206</v>
      </c>
      <c r="BC157" s="62">
        <f t="shared" si="430"/>
        <v>12223.135723117739</v>
      </c>
      <c r="BD157" s="2">
        <f t="shared" si="386"/>
        <v>118</v>
      </c>
      <c r="BE157" s="57">
        <f t="shared" si="289"/>
        <v>380542</v>
      </c>
      <c r="BF157" s="62">
        <f t="shared" si="435"/>
        <v>13329.197269286349</v>
      </c>
      <c r="BG157" s="2">
        <f t="shared" si="387"/>
        <v>117</v>
      </c>
      <c r="BH157" s="57">
        <f t="shared" si="296"/>
        <v>398706</v>
      </c>
      <c r="BI157" s="62">
        <f t="shared" si="439"/>
        <v>14535.365260466386</v>
      </c>
      <c r="BJ157" s="2">
        <f t="shared" si="388"/>
        <v>116</v>
      </c>
      <c r="BK157" s="57">
        <f t="shared" si="300"/>
        <v>417737</v>
      </c>
      <c r="BL157" s="62">
        <f t="shared" si="441"/>
        <v>15850.680103359497</v>
      </c>
      <c r="BM157" s="2">
        <f t="shared" si="389"/>
        <v>115</v>
      </c>
      <c r="BN157" s="57">
        <f t="shared" si="304"/>
        <v>437677</v>
      </c>
      <c r="BO157" s="62">
        <f t="shared" si="445"/>
        <v>17285.042906035094</v>
      </c>
      <c r="BP157" s="2">
        <f t="shared" si="390"/>
        <v>114</v>
      </c>
      <c r="BQ157" s="57">
        <f t="shared" si="308"/>
        <v>458568</v>
      </c>
      <c r="BR157" s="62">
        <f t="shared" si="447"/>
        <v>18849.171310809881</v>
      </c>
      <c r="BS157" s="2">
        <f t="shared" si="391"/>
        <v>113</v>
      </c>
      <c r="BT157" s="57">
        <f t="shared" si="312"/>
        <v>480456</v>
      </c>
      <c r="BU157" s="62">
        <f t="shared" si="452"/>
        <v>20554.831302082624</v>
      </c>
      <c r="BV157" s="2">
        <f t="shared" si="392"/>
        <v>112</v>
      </c>
      <c r="BW157" s="57">
        <f t="shared" si="316"/>
        <v>503389</v>
      </c>
      <c r="BX157" s="62">
        <f t="shared" si="455"/>
        <v>22414.847885058563</v>
      </c>
      <c r="BY157" s="2">
        <f t="shared" si="393"/>
        <v>111</v>
      </c>
      <c r="BZ157" s="57">
        <f t="shared" si="320"/>
        <v>527417</v>
      </c>
      <c r="CA157" s="62">
        <f t="shared" si="459"/>
        <v>24443.195321578645</v>
      </c>
      <c r="CB157" s="2">
        <f t="shared" si="394"/>
        <v>110</v>
      </c>
      <c r="CC157" s="57">
        <f t="shared" si="324"/>
        <v>552592</v>
      </c>
      <c r="CD157" s="62">
        <f t="shared" si="463"/>
        <v>26655.094500756815</v>
      </c>
      <c r="CE157" s="2">
        <f t="shared" si="395"/>
        <v>109</v>
      </c>
      <c r="CF157" s="57">
        <f t="shared" si="328"/>
        <v>578968</v>
      </c>
      <c r="CG157" s="62">
        <f t="shared" si="468"/>
        <v>29067.117968742597</v>
      </c>
      <c r="CH157" s="2">
        <v>108</v>
      </c>
      <c r="CI157" s="57">
        <f t="shared" si="332"/>
        <v>606603</v>
      </c>
      <c r="CJ157" s="62">
        <f t="shared" si="472"/>
        <v>31697.407685977854</v>
      </c>
      <c r="CK157" s="2">
        <v>107</v>
      </c>
      <c r="CL157" s="57">
        <f t="shared" si="336"/>
        <v>635558</v>
      </c>
      <c r="CM157" s="62">
        <f t="shared" si="475"/>
        <v>34565.764033824824</v>
      </c>
      <c r="CN157" s="2">
        <v>106</v>
      </c>
      <c r="CO157" s="57">
        <f t="shared" si="340"/>
        <v>665894</v>
      </c>
      <c r="CP157" s="62">
        <f t="shared" si="480"/>
        <v>37693.620361164743</v>
      </c>
      <c r="CQ157" s="2">
        <v>105</v>
      </c>
      <c r="CR157" s="57">
        <f t="shared" si="344"/>
        <v>697679</v>
      </c>
      <c r="CS157" s="62">
        <f t="shared" si="483"/>
        <v>41104.576753154404</v>
      </c>
      <c r="CT157" s="2">
        <v>104</v>
      </c>
      <c r="CU157" s="57">
        <f t="shared" si="348"/>
        <v>730980</v>
      </c>
      <c r="CV157" s="62">
        <f t="shared" si="488"/>
        <v>44824.123246558978</v>
      </c>
      <c r="CW157" s="2">
        <v>103</v>
      </c>
      <c r="CX157" s="57">
        <f t="shared" si="352"/>
        <v>765871</v>
      </c>
      <c r="CY157" s="62">
        <f t="shared" si="491"/>
        <v>48880.283192748742</v>
      </c>
      <c r="CZ157" s="2">
        <v>102</v>
      </c>
      <c r="DA157" s="57">
        <f t="shared" si="496"/>
        <v>0</v>
      </c>
      <c r="DB157" s="62">
        <f t="shared" si="497"/>
        <v>0</v>
      </c>
      <c r="DC157" s="2">
        <v>101</v>
      </c>
      <c r="DD157" s="57">
        <f t="shared" si="502"/>
        <v>0</v>
      </c>
      <c r="DE157" s="62">
        <f t="shared" si="503"/>
        <v>0</v>
      </c>
      <c r="DF157" s="2">
        <v>100</v>
      </c>
      <c r="DG157" s="57">
        <f t="shared" si="511"/>
        <v>0</v>
      </c>
      <c r="DH157" s="62">
        <f t="shared" si="512"/>
        <v>0</v>
      </c>
      <c r="DI157" s="2">
        <v>99</v>
      </c>
      <c r="DJ157" s="57">
        <f t="shared" si="517"/>
        <v>0</v>
      </c>
      <c r="DK157" s="62">
        <f t="shared" si="518"/>
        <v>0</v>
      </c>
      <c r="DL157" s="2">
        <v>98</v>
      </c>
      <c r="DM157" s="57">
        <f t="shared" si="525"/>
        <v>0</v>
      </c>
      <c r="DN157" s="62">
        <f t="shared" si="526"/>
        <v>0</v>
      </c>
      <c r="DO157" s="2">
        <v>97</v>
      </c>
      <c r="DP157" s="57">
        <f t="shared" si="531"/>
        <v>0</v>
      </c>
      <c r="DQ157" s="62">
        <f t="shared" si="532"/>
        <v>0</v>
      </c>
      <c r="DR157" s="2">
        <v>96</v>
      </c>
      <c r="DS157" s="57">
        <f t="shared" ref="DS157:DS163" si="539">$E$60</f>
        <v>0</v>
      </c>
      <c r="DT157" s="62">
        <f t="shared" ref="DT157:DT163" si="540">SUM($G$10*$G$11*DS157*(EXP(-($G$10*DR157))),$G$10*$G$11*DS157*(EXP(-($G$10*(DR157+0.1)))),$G$10*$G$11*DS157*(EXP(-($G$10*(DR157+0.2)))),$G$10*$G$11*DS157*(EXP(-($G$10*(DR157+0.3)))),$G$10*$G$11*DS157*(EXP(-($G$10*(DR157+0.4)))),$G$10*$G$11*DS157*(EXP(-($G$10*(DR157+0.5)))),$G$10*$G$11*DS157*(EXP(-($G$10*(DR157+0.6)))),$G$10*$G$11*DS157*(EXP(-($G$10*(DR157+0.7)))),$G$10*$G$11*DS157*(EXP(-($G$10*(DR157+0.8)))),$G$10*$G$11*DS157*(EXP(-($G$10*(DR157+0.9)))))/10</f>
        <v>0</v>
      </c>
      <c r="DU157" s="2">
        <v>95</v>
      </c>
      <c r="DV157" s="57">
        <f t="shared" si="239"/>
        <v>0</v>
      </c>
      <c r="DW157" s="62">
        <f t="shared" si="402"/>
        <v>0</v>
      </c>
      <c r="DX157" s="2">
        <v>94</v>
      </c>
      <c r="DY157" s="57">
        <f t="shared" si="245"/>
        <v>0</v>
      </c>
      <c r="DZ157" s="62">
        <f t="shared" si="405"/>
        <v>0</v>
      </c>
      <c r="EA157" s="2">
        <f t="shared" si="448"/>
        <v>93</v>
      </c>
      <c r="EB157" s="57">
        <f t="shared" si="411"/>
        <v>0</v>
      </c>
      <c r="EC157" s="62">
        <f t="shared" si="408"/>
        <v>0</v>
      </c>
      <c r="ED157" s="2">
        <f t="shared" si="453"/>
        <v>92</v>
      </c>
      <c r="EE157" s="57">
        <f t="shared" si="415"/>
        <v>0</v>
      </c>
      <c r="EF157" s="62">
        <f t="shared" si="412"/>
        <v>0</v>
      </c>
      <c r="EG157" s="2">
        <f t="shared" si="456"/>
        <v>91</v>
      </c>
      <c r="EH157" s="57">
        <f t="shared" si="419"/>
        <v>0</v>
      </c>
      <c r="EI157" s="62">
        <f t="shared" si="416"/>
        <v>0</v>
      </c>
      <c r="EJ157" s="2">
        <f t="shared" si="460"/>
        <v>90</v>
      </c>
      <c r="EK157" s="57">
        <f t="shared" si="423"/>
        <v>0</v>
      </c>
      <c r="EL157" s="62">
        <f t="shared" si="420"/>
        <v>0</v>
      </c>
      <c r="EM157" s="2">
        <f t="shared" si="464"/>
        <v>89</v>
      </c>
      <c r="EN157" s="57">
        <f t="shared" si="427"/>
        <v>0</v>
      </c>
      <c r="EO157" s="62">
        <f t="shared" si="424"/>
        <v>0</v>
      </c>
      <c r="EP157" s="2">
        <f t="shared" si="469"/>
        <v>88</v>
      </c>
      <c r="EQ157" s="57">
        <f t="shared" si="431"/>
        <v>0</v>
      </c>
      <c r="ER157" s="62">
        <f t="shared" si="428"/>
        <v>0</v>
      </c>
      <c r="ES157" s="2">
        <f t="shared" si="473"/>
        <v>87</v>
      </c>
      <c r="ET157" s="57">
        <f t="shared" si="432"/>
        <v>0</v>
      </c>
      <c r="EU157" s="62">
        <f t="shared" si="433"/>
        <v>0</v>
      </c>
      <c r="EV157" s="2">
        <f t="shared" si="476"/>
        <v>86</v>
      </c>
      <c r="EW157" s="57">
        <f t="shared" si="436"/>
        <v>0</v>
      </c>
      <c r="EX157" s="62">
        <f t="shared" si="437"/>
        <v>0</v>
      </c>
      <c r="EY157" s="2">
        <f t="shared" si="481"/>
        <v>85</v>
      </c>
      <c r="EZ157" s="57">
        <f t="shared" si="442"/>
        <v>0</v>
      </c>
      <c r="FA157" s="62">
        <f t="shared" si="440"/>
        <v>0</v>
      </c>
      <c r="FB157" s="2">
        <f t="shared" si="484"/>
        <v>84</v>
      </c>
      <c r="FC157" s="57">
        <f t="shared" si="443"/>
        <v>0</v>
      </c>
      <c r="FD157" s="62">
        <f t="shared" si="444"/>
        <v>0</v>
      </c>
      <c r="FE157" s="2">
        <f t="shared" si="489"/>
        <v>83</v>
      </c>
      <c r="FF157" s="57">
        <f t="shared" si="449"/>
        <v>0</v>
      </c>
      <c r="FG157" s="62">
        <f t="shared" si="446"/>
        <v>0</v>
      </c>
      <c r="FH157" s="2">
        <f t="shared" si="492"/>
        <v>82</v>
      </c>
      <c r="FI157" s="57">
        <f t="shared" si="450"/>
        <v>0</v>
      </c>
      <c r="FJ157" s="62">
        <f t="shared" si="451"/>
        <v>0</v>
      </c>
      <c r="FK157" s="2">
        <f t="shared" si="498"/>
        <v>81</v>
      </c>
      <c r="FL157" s="57">
        <f t="shared" si="457"/>
        <v>0</v>
      </c>
      <c r="FM157" s="62">
        <f t="shared" si="454"/>
        <v>0</v>
      </c>
      <c r="FN157" s="2">
        <f t="shared" si="504"/>
        <v>80</v>
      </c>
      <c r="FO157" s="57">
        <f t="shared" si="461"/>
        <v>0</v>
      </c>
      <c r="FP157" s="62">
        <f t="shared" si="458"/>
        <v>0</v>
      </c>
      <c r="FQ157" s="2">
        <f t="shared" si="513"/>
        <v>79</v>
      </c>
      <c r="FR157" s="57">
        <f t="shared" si="465"/>
        <v>0</v>
      </c>
      <c r="FS157" s="62">
        <f t="shared" si="462"/>
        <v>0</v>
      </c>
      <c r="FT157" s="2">
        <f t="shared" si="519"/>
        <v>78</v>
      </c>
      <c r="FU157" s="57">
        <f t="shared" si="466"/>
        <v>0</v>
      </c>
      <c r="FV157" s="62">
        <f t="shared" si="467"/>
        <v>0</v>
      </c>
      <c r="FW157" s="2">
        <f t="shared" si="527"/>
        <v>77</v>
      </c>
      <c r="FX157" s="57">
        <f t="shared" si="470"/>
        <v>0</v>
      </c>
      <c r="FY157" s="62">
        <f t="shared" si="471"/>
        <v>0</v>
      </c>
      <c r="FZ157" s="2">
        <f t="shared" si="533"/>
        <v>76</v>
      </c>
      <c r="GA157" s="57">
        <f t="shared" si="477"/>
        <v>0</v>
      </c>
      <c r="GB157" s="62">
        <f t="shared" si="474"/>
        <v>0</v>
      </c>
      <c r="GC157" s="2">
        <f t="shared" ref="GC157:GC163" si="541">IF(GC156="","",(GC156+1))</f>
        <v>75</v>
      </c>
      <c r="GD157" s="57">
        <f t="shared" si="478"/>
        <v>0</v>
      </c>
      <c r="GE157" s="62">
        <f t="shared" si="479"/>
        <v>0</v>
      </c>
      <c r="GF157" s="2">
        <v>74</v>
      </c>
      <c r="GG157" s="57">
        <f t="shared" si="485"/>
        <v>0</v>
      </c>
      <c r="GH157" s="62">
        <f t="shared" si="482"/>
        <v>0</v>
      </c>
      <c r="GI157" s="2">
        <v>73</v>
      </c>
      <c r="GJ157" s="57">
        <f t="shared" si="486"/>
        <v>0</v>
      </c>
      <c r="GK157" s="62">
        <f t="shared" si="487"/>
        <v>0</v>
      </c>
      <c r="GL157" s="2">
        <v>72</v>
      </c>
      <c r="GM157" s="57">
        <f t="shared" si="493"/>
        <v>0</v>
      </c>
      <c r="GN157" s="62">
        <f t="shared" si="490"/>
        <v>0</v>
      </c>
      <c r="GO157" s="2">
        <v>71</v>
      </c>
      <c r="GP157" s="57">
        <f t="shared" si="494"/>
        <v>0</v>
      </c>
      <c r="GQ157" s="62">
        <f t="shared" si="495"/>
        <v>0</v>
      </c>
      <c r="GR157" s="2">
        <v>70</v>
      </c>
      <c r="GS157" s="57">
        <f t="shared" si="505"/>
        <v>0</v>
      </c>
      <c r="GT157" s="62">
        <f t="shared" si="499"/>
        <v>0</v>
      </c>
      <c r="GU157" s="2">
        <v>69</v>
      </c>
      <c r="GV157" s="57">
        <f t="shared" si="506"/>
        <v>0</v>
      </c>
      <c r="GW157" s="62">
        <f t="shared" si="507"/>
        <v>0</v>
      </c>
      <c r="GX157" s="2">
        <v>68</v>
      </c>
      <c r="GY157" s="57">
        <f t="shared" si="520"/>
        <v>0</v>
      </c>
      <c r="GZ157" s="62">
        <f t="shared" si="514"/>
        <v>0</v>
      </c>
      <c r="HA157" s="2">
        <v>67</v>
      </c>
      <c r="HB157" s="57">
        <f t="shared" si="521"/>
        <v>0</v>
      </c>
      <c r="HC157" s="62">
        <f t="shared" si="522"/>
        <v>0</v>
      </c>
      <c r="HD157" s="2">
        <v>66</v>
      </c>
      <c r="HE157" s="57">
        <f t="shared" si="534"/>
        <v>0</v>
      </c>
      <c r="HF157" s="62">
        <f t="shared" si="528"/>
        <v>0</v>
      </c>
      <c r="HG157" s="2">
        <v>65</v>
      </c>
      <c r="HH157" s="57">
        <f t="shared" si="535"/>
        <v>0</v>
      </c>
      <c r="HI157" s="62">
        <f t="shared" si="536"/>
        <v>0</v>
      </c>
      <c r="HJ157" s="2">
        <v>64</v>
      </c>
      <c r="HK157" s="57">
        <f t="shared" si="241"/>
        <v>0</v>
      </c>
      <c r="HL157" s="62">
        <f t="shared" ref="HL157:HL163" si="542">SUM($G$10*$G$11*HK157*(EXP(-($G$10*HJ157))),$G$10*$G$11*HK157*(EXP(-($G$10*(HJ157+0.1)))),$G$10*$G$11*HK157*(EXP(-($G$10*(HJ157+0.2)))),$G$10*$G$11*HK157*(EXP(-($G$10*(HJ157+0.3)))),$G$10*$G$11*HK157*(EXP(-($G$10*(HJ157+0.4)))),$G$10*$G$11*HK157*(EXP(-($G$10*(HJ157+0.5)))),$G$10*$G$11*HK157*(EXP(-($G$10*(HJ157+0.6)))),$G$10*$G$11*HK157*(EXP(-($G$10*(HJ157+0.7)))),$G$10*$G$11*HK157*(EXP(-($G$10*(HJ157+0.8)))),$G$10*$G$11*HK157*(EXP(-($G$10*(HJ157+0.9)))))/10</f>
        <v>0</v>
      </c>
      <c r="HM157" s="2">
        <v>63</v>
      </c>
      <c r="HN157" s="57">
        <f t="shared" si="247"/>
        <v>0</v>
      </c>
      <c r="HO157" s="62">
        <f t="shared" si="403"/>
        <v>0</v>
      </c>
      <c r="HP157" s="2">
        <v>62</v>
      </c>
      <c r="HQ157" s="57">
        <f t="shared" si="248"/>
        <v>0</v>
      </c>
      <c r="HR157" s="62">
        <f t="shared" si="406"/>
        <v>0</v>
      </c>
      <c r="HS157" s="2">
        <v>61</v>
      </c>
      <c r="HT157" s="57">
        <f t="shared" si="257"/>
        <v>0</v>
      </c>
      <c r="HU157" s="62">
        <f t="shared" si="409"/>
        <v>0</v>
      </c>
      <c r="HV157" s="2">
        <v>60</v>
      </c>
      <c r="HW157" s="57">
        <f t="shared" si="258"/>
        <v>0</v>
      </c>
      <c r="HX157" s="62">
        <f t="shared" si="413"/>
        <v>0</v>
      </c>
      <c r="HY157" s="2">
        <v>59</v>
      </c>
      <c r="HZ157" s="57">
        <f t="shared" si="268"/>
        <v>0</v>
      </c>
      <c r="IA157" s="62">
        <f t="shared" si="417"/>
        <v>0</v>
      </c>
      <c r="IB157" s="2">
        <v>58</v>
      </c>
      <c r="IC157" s="57">
        <f t="shared" si="274"/>
        <v>0</v>
      </c>
      <c r="ID157" s="62">
        <f t="shared" si="421"/>
        <v>0</v>
      </c>
      <c r="IE157" s="2">
        <v>57</v>
      </c>
      <c r="IF157" s="57">
        <f t="shared" si="280"/>
        <v>0</v>
      </c>
      <c r="IG157" s="62">
        <f t="shared" si="425"/>
        <v>0</v>
      </c>
      <c r="IH157" s="2">
        <v>56</v>
      </c>
      <c r="II157" s="57">
        <f t="shared" si="281"/>
        <v>0</v>
      </c>
      <c r="IJ157" s="62">
        <f t="shared" si="429"/>
        <v>0</v>
      </c>
      <c r="IK157" s="2">
        <v>55</v>
      </c>
      <c r="IL157" s="57">
        <f t="shared" si="292"/>
        <v>0</v>
      </c>
      <c r="IM157" s="62">
        <f t="shared" si="434"/>
        <v>0</v>
      </c>
      <c r="IN157" s="2">
        <v>54</v>
      </c>
      <c r="IO157" s="57">
        <f t="shared" si="293"/>
        <v>0</v>
      </c>
      <c r="IP157" s="62">
        <f t="shared" si="438"/>
        <v>0</v>
      </c>
    </row>
    <row r="158" spans="7:250">
      <c r="I158" s="2">
        <f t="shared" si="369"/>
        <v>2153</v>
      </c>
      <c r="J158" s="379">
        <f t="shared" si="508"/>
        <v>529169.61553778267</v>
      </c>
      <c r="K158" s="2">
        <f t="shared" si="370"/>
        <v>134</v>
      </c>
      <c r="L158" s="57">
        <f t="shared" si="500"/>
        <v>189082</v>
      </c>
      <c r="M158" s="62">
        <f t="shared" si="501"/>
        <v>3492.2322454740802</v>
      </c>
      <c r="N158" s="2">
        <f t="shared" si="371"/>
        <v>133</v>
      </c>
      <c r="O158" s="57">
        <f t="shared" si="509"/>
        <v>293489</v>
      </c>
      <c r="P158" s="62">
        <f t="shared" si="510"/>
        <v>5641.7850862750947</v>
      </c>
      <c r="Q158" s="2">
        <f t="shared" si="372"/>
        <v>132</v>
      </c>
      <c r="R158" s="57">
        <f t="shared" si="515"/>
        <v>283523</v>
      </c>
      <c r="S158" s="62">
        <f t="shared" si="516"/>
        <v>5672.6342763810226</v>
      </c>
      <c r="T158" s="2">
        <f t="shared" si="373"/>
        <v>131</v>
      </c>
      <c r="U158" s="57">
        <f t="shared" si="523"/>
        <v>143321</v>
      </c>
      <c r="V158" s="62">
        <f t="shared" si="524"/>
        <v>2984.5447720445704</v>
      </c>
      <c r="W158" s="2">
        <f t="shared" si="374"/>
        <v>130</v>
      </c>
      <c r="X158" s="57">
        <f t="shared" si="529"/>
        <v>227851</v>
      </c>
      <c r="Y158" s="62">
        <f t="shared" si="530"/>
        <v>4938.4537038420385</v>
      </c>
      <c r="Z158" s="2">
        <f t="shared" si="376"/>
        <v>129</v>
      </c>
      <c r="AA158" s="57">
        <f t="shared" si="537"/>
        <v>238727</v>
      </c>
      <c r="AB158" s="62">
        <f t="shared" si="538"/>
        <v>5385.3429776114554</v>
      </c>
      <c r="AC158" s="2">
        <f t="shared" si="377"/>
        <v>128</v>
      </c>
      <c r="AD158" s="57">
        <f t="shared" ref="AD158:AD163" si="543">$E$29</f>
        <v>250122</v>
      </c>
      <c r="AE158" s="62">
        <f t="shared" ref="AE158:AE163" si="544">SUM($G$10*$G$11*AD158*(EXP(-($G$10*AC158))),$G$10*$G$11*AD158*(EXP(-($G$10*(AC158+0.1)))),$G$10*$G$11*AD158*(EXP(-($G$10*(AC158+0.2)))),$G$10*$G$11*AD158*(EXP(-($G$10*(AC158+0.3)))),$G$10*$G$11*AD158*(EXP(-($G$10*(AC158+0.4)))),$G$10*$G$11*AD158*(EXP(-($G$10*(AC158+0.5)))),$G$10*$G$11*AD158*(EXP(-($G$10*(AC158+0.6)))),$G$10*$G$11*AD158*(EXP(-($G$10*(AC158+0.7)))),$G$10*$G$11*AD158*(EXP(-($G$10*(AC158+0.8)))),$G$10*$G$11*AD158*(EXP(-($G$10*(AC158+0.9)))))/10</f>
        <v>5872.6686694847085</v>
      </c>
      <c r="AF158" s="2">
        <f t="shared" si="378"/>
        <v>127</v>
      </c>
      <c r="AG158" s="57">
        <f t="shared" si="243"/>
        <v>262060</v>
      </c>
      <c r="AH158" s="62">
        <f t="shared" si="404"/>
        <v>6404.0707663398225</v>
      </c>
      <c r="AI158" s="2">
        <f t="shared" si="379"/>
        <v>126</v>
      </c>
      <c r="AJ158" s="57">
        <f t="shared" si="250"/>
        <v>274569</v>
      </c>
      <c r="AK158" s="62">
        <f t="shared" si="407"/>
        <v>6983.5889141392545</v>
      </c>
      <c r="AL158" s="2">
        <f t="shared" si="380"/>
        <v>125</v>
      </c>
      <c r="AM158" s="57">
        <f t="shared" si="254"/>
        <v>287675</v>
      </c>
      <c r="AN158" s="62">
        <f t="shared" si="410"/>
        <v>7615.5463546783449</v>
      </c>
      <c r="AO158" s="2">
        <f t="shared" si="381"/>
        <v>124</v>
      </c>
      <c r="AP158" s="57">
        <f t="shared" si="260"/>
        <v>301406</v>
      </c>
      <c r="AQ158" s="62">
        <f t="shared" si="414"/>
        <v>8304.6745355893108</v>
      </c>
      <c r="AR158" s="2">
        <f t="shared" si="382"/>
        <v>123</v>
      </c>
      <c r="AS158" s="57">
        <f t="shared" si="265"/>
        <v>315793</v>
      </c>
      <c r="AT158" s="62">
        <f t="shared" si="418"/>
        <v>9056.1790789032311</v>
      </c>
      <c r="AU158" s="2">
        <f t="shared" si="383"/>
        <v>122</v>
      </c>
      <c r="AV158" s="57">
        <f t="shared" si="271"/>
        <v>330866</v>
      </c>
      <c r="AW158" s="62">
        <f t="shared" si="422"/>
        <v>9875.6666740438195</v>
      </c>
      <c r="AX158" s="2">
        <f t="shared" si="384"/>
        <v>121</v>
      </c>
      <c r="AY158" s="57">
        <f t="shared" si="277"/>
        <v>346659</v>
      </c>
      <c r="AZ158" s="62">
        <f t="shared" si="426"/>
        <v>10769.326431887081</v>
      </c>
      <c r="BA158" s="2">
        <f t="shared" si="385"/>
        <v>120</v>
      </c>
      <c r="BB158" s="57">
        <f t="shared" si="284"/>
        <v>363206</v>
      </c>
      <c r="BC158" s="62">
        <f t="shared" si="430"/>
        <v>11743.859716097018</v>
      </c>
      <c r="BD158" s="2">
        <f t="shared" si="386"/>
        <v>119</v>
      </c>
      <c r="BE158" s="57">
        <f t="shared" si="289"/>
        <v>380542</v>
      </c>
      <c r="BF158" s="62">
        <f t="shared" si="435"/>
        <v>12806.551968708311</v>
      </c>
      <c r="BG158" s="2">
        <f t="shared" si="387"/>
        <v>118</v>
      </c>
      <c r="BH158" s="57">
        <f t="shared" si="296"/>
        <v>398706</v>
      </c>
      <c r="BI158" s="62">
        <f t="shared" si="439"/>
        <v>13965.425436477663</v>
      </c>
      <c r="BJ158" s="2">
        <f t="shared" si="388"/>
        <v>117</v>
      </c>
      <c r="BK158" s="57">
        <f t="shared" si="300"/>
        <v>417737</v>
      </c>
      <c r="BL158" s="62">
        <f t="shared" si="441"/>
        <v>15229.166046689657</v>
      </c>
      <c r="BM158" s="2">
        <f t="shared" si="389"/>
        <v>116</v>
      </c>
      <c r="BN158" s="57">
        <f t="shared" si="304"/>
        <v>437677</v>
      </c>
      <c r="BO158" s="62">
        <f t="shared" si="445"/>
        <v>16607.286679413301</v>
      </c>
      <c r="BP158" s="2">
        <f t="shared" si="390"/>
        <v>115</v>
      </c>
      <c r="BQ158" s="57">
        <f t="shared" si="308"/>
        <v>458568</v>
      </c>
      <c r="BR158" s="62">
        <f t="shared" si="447"/>
        <v>18110.084732199091</v>
      </c>
      <c r="BS158" s="2">
        <f t="shared" si="391"/>
        <v>114</v>
      </c>
      <c r="BT158" s="57">
        <f t="shared" si="312"/>
        <v>480456</v>
      </c>
      <c r="BU158" s="62">
        <f t="shared" si="452"/>
        <v>19748.86483859858</v>
      </c>
      <c r="BV158" s="2">
        <f t="shared" si="392"/>
        <v>113</v>
      </c>
      <c r="BW158" s="57">
        <f t="shared" si="316"/>
        <v>503389</v>
      </c>
      <c r="BX158" s="62">
        <f t="shared" si="455"/>
        <v>21535.949128170054</v>
      </c>
      <c r="BY158" s="2">
        <f t="shared" si="393"/>
        <v>112</v>
      </c>
      <c r="BZ158" s="57">
        <f t="shared" si="320"/>
        <v>527417</v>
      </c>
      <c r="CA158" s="62">
        <f t="shared" si="459"/>
        <v>23484.763924110237</v>
      </c>
      <c r="CB158" s="2">
        <f t="shared" si="394"/>
        <v>111</v>
      </c>
      <c r="CC158" s="57">
        <f t="shared" si="324"/>
        <v>552592</v>
      </c>
      <c r="CD158" s="62">
        <f t="shared" si="463"/>
        <v>25609.933295934316</v>
      </c>
      <c r="CE158" s="2">
        <f t="shared" si="395"/>
        <v>110</v>
      </c>
      <c r="CF158" s="57">
        <f t="shared" si="328"/>
        <v>578968</v>
      </c>
      <c r="CG158" s="62">
        <f t="shared" si="468"/>
        <v>27927.379970962611</v>
      </c>
      <c r="CH158" s="2">
        <v>109</v>
      </c>
      <c r="CI158" s="57">
        <f t="shared" si="332"/>
        <v>606603</v>
      </c>
      <c r="CJ158" s="62">
        <f t="shared" si="472"/>
        <v>30454.534553193207</v>
      </c>
      <c r="CK158" s="2">
        <v>108</v>
      </c>
      <c r="CL158" s="57">
        <f t="shared" si="336"/>
        <v>635558</v>
      </c>
      <c r="CM158" s="62">
        <f t="shared" si="475"/>
        <v>33210.421039930094</v>
      </c>
      <c r="CN158" s="2">
        <v>107</v>
      </c>
      <c r="CO158" s="57">
        <f t="shared" si="340"/>
        <v>665894</v>
      </c>
      <c r="CP158" s="62">
        <f t="shared" si="480"/>
        <v>36215.632366424063</v>
      </c>
      <c r="CQ158" s="2">
        <v>106</v>
      </c>
      <c r="CR158" s="57">
        <f t="shared" si="344"/>
        <v>697679</v>
      </c>
      <c r="CS158" s="62">
        <f t="shared" si="483"/>
        <v>39492.843245256838</v>
      </c>
      <c r="CT158" s="2">
        <v>105</v>
      </c>
      <c r="CU158" s="57">
        <f t="shared" si="348"/>
        <v>730980</v>
      </c>
      <c r="CV158" s="62">
        <f t="shared" si="488"/>
        <v>43066.544234556015</v>
      </c>
      <c r="CW158" s="2">
        <v>104</v>
      </c>
      <c r="CX158" s="57">
        <f t="shared" si="352"/>
        <v>765871</v>
      </c>
      <c r="CY158" s="62">
        <f t="shared" si="491"/>
        <v>46963.659874367797</v>
      </c>
      <c r="CZ158" s="2">
        <v>103</v>
      </c>
      <c r="DA158" s="57">
        <f t="shared" si="496"/>
        <v>0</v>
      </c>
      <c r="DB158" s="62">
        <f t="shared" si="497"/>
        <v>0</v>
      </c>
      <c r="DC158" s="2">
        <v>102</v>
      </c>
      <c r="DD158" s="57">
        <f t="shared" si="502"/>
        <v>0</v>
      </c>
      <c r="DE158" s="62">
        <f t="shared" si="503"/>
        <v>0</v>
      </c>
      <c r="DF158" s="2">
        <v>101</v>
      </c>
      <c r="DG158" s="57">
        <f t="shared" si="511"/>
        <v>0</v>
      </c>
      <c r="DH158" s="62">
        <f t="shared" si="512"/>
        <v>0</v>
      </c>
      <c r="DI158" s="2">
        <v>100</v>
      </c>
      <c r="DJ158" s="57">
        <f t="shared" si="517"/>
        <v>0</v>
      </c>
      <c r="DK158" s="62">
        <f t="shared" si="518"/>
        <v>0</v>
      </c>
      <c r="DL158" s="2">
        <v>99</v>
      </c>
      <c r="DM158" s="57">
        <f t="shared" si="525"/>
        <v>0</v>
      </c>
      <c r="DN158" s="62">
        <f t="shared" si="526"/>
        <v>0</v>
      </c>
      <c r="DO158" s="2">
        <v>98</v>
      </c>
      <c r="DP158" s="57">
        <f t="shared" si="531"/>
        <v>0</v>
      </c>
      <c r="DQ158" s="62">
        <f t="shared" si="532"/>
        <v>0</v>
      </c>
      <c r="DR158" s="2">
        <v>97</v>
      </c>
      <c r="DS158" s="57">
        <f t="shared" si="539"/>
        <v>0</v>
      </c>
      <c r="DT158" s="62">
        <f t="shared" si="540"/>
        <v>0</v>
      </c>
      <c r="DU158" s="2">
        <v>96</v>
      </c>
      <c r="DV158" s="57">
        <f t="shared" ref="DV158:DV163" si="545">$E$61</f>
        <v>0</v>
      </c>
      <c r="DW158" s="62">
        <f t="shared" ref="DW158:DW163" si="546">SUM($G$10*$G$11*DV158*(EXP(-($G$10*DU158))),$G$10*$G$11*DV158*(EXP(-($G$10*(DU158+0.1)))),$G$10*$G$11*DV158*(EXP(-($G$10*(DU158+0.2)))),$G$10*$G$11*DV158*(EXP(-($G$10*(DU158+0.3)))),$G$10*$G$11*DV158*(EXP(-($G$10*(DU158+0.4)))),$G$10*$G$11*DV158*(EXP(-($G$10*(DU158+0.5)))),$G$10*$G$11*DV158*(EXP(-($G$10*(DU158+0.6)))),$G$10*$G$11*DV158*(EXP(-($G$10*(DU158+0.7)))),$G$10*$G$11*DV158*(EXP(-($G$10*(DU158+0.8)))),$G$10*$G$11*DV158*(EXP(-($G$10*(DU158+0.9)))))/10</f>
        <v>0</v>
      </c>
      <c r="DX158" s="2">
        <v>95</v>
      </c>
      <c r="DY158" s="57">
        <f t="shared" si="245"/>
        <v>0</v>
      </c>
      <c r="DZ158" s="62">
        <f t="shared" si="405"/>
        <v>0</v>
      </c>
      <c r="EA158" s="2">
        <f t="shared" si="448"/>
        <v>94</v>
      </c>
      <c r="EB158" s="57">
        <f t="shared" si="411"/>
        <v>0</v>
      </c>
      <c r="EC158" s="62">
        <f t="shared" si="408"/>
        <v>0</v>
      </c>
      <c r="ED158" s="2">
        <f t="shared" si="453"/>
        <v>93</v>
      </c>
      <c r="EE158" s="57">
        <f t="shared" si="415"/>
        <v>0</v>
      </c>
      <c r="EF158" s="62">
        <f t="shared" si="412"/>
        <v>0</v>
      </c>
      <c r="EG158" s="2">
        <f t="shared" si="456"/>
        <v>92</v>
      </c>
      <c r="EH158" s="57">
        <f t="shared" si="419"/>
        <v>0</v>
      </c>
      <c r="EI158" s="62">
        <f t="shared" si="416"/>
        <v>0</v>
      </c>
      <c r="EJ158" s="2">
        <f t="shared" si="460"/>
        <v>91</v>
      </c>
      <c r="EK158" s="57">
        <f t="shared" si="423"/>
        <v>0</v>
      </c>
      <c r="EL158" s="62">
        <f t="shared" si="420"/>
        <v>0</v>
      </c>
      <c r="EM158" s="2">
        <f t="shared" si="464"/>
        <v>90</v>
      </c>
      <c r="EN158" s="57">
        <f t="shared" si="427"/>
        <v>0</v>
      </c>
      <c r="EO158" s="62">
        <f t="shared" si="424"/>
        <v>0</v>
      </c>
      <c r="EP158" s="2">
        <f t="shared" si="469"/>
        <v>89</v>
      </c>
      <c r="EQ158" s="57">
        <f t="shared" si="431"/>
        <v>0</v>
      </c>
      <c r="ER158" s="62">
        <f t="shared" si="428"/>
        <v>0</v>
      </c>
      <c r="ES158" s="2">
        <f t="shared" si="473"/>
        <v>88</v>
      </c>
      <c r="ET158" s="57">
        <f t="shared" si="432"/>
        <v>0</v>
      </c>
      <c r="EU158" s="62">
        <f t="shared" si="433"/>
        <v>0</v>
      </c>
      <c r="EV158" s="2">
        <f t="shared" si="476"/>
        <v>87</v>
      </c>
      <c r="EW158" s="57">
        <f t="shared" si="436"/>
        <v>0</v>
      </c>
      <c r="EX158" s="62">
        <f t="shared" si="437"/>
        <v>0</v>
      </c>
      <c r="EY158" s="2">
        <f t="shared" si="481"/>
        <v>86</v>
      </c>
      <c r="EZ158" s="57">
        <f t="shared" si="442"/>
        <v>0</v>
      </c>
      <c r="FA158" s="62">
        <f t="shared" si="440"/>
        <v>0</v>
      </c>
      <c r="FB158" s="2">
        <f t="shared" si="484"/>
        <v>85</v>
      </c>
      <c r="FC158" s="57">
        <f t="shared" si="443"/>
        <v>0</v>
      </c>
      <c r="FD158" s="62">
        <f t="shared" si="444"/>
        <v>0</v>
      </c>
      <c r="FE158" s="2">
        <f t="shared" si="489"/>
        <v>84</v>
      </c>
      <c r="FF158" s="57">
        <f t="shared" si="449"/>
        <v>0</v>
      </c>
      <c r="FG158" s="62">
        <f t="shared" si="446"/>
        <v>0</v>
      </c>
      <c r="FH158" s="2">
        <f t="shared" si="492"/>
        <v>83</v>
      </c>
      <c r="FI158" s="57">
        <f t="shared" si="450"/>
        <v>0</v>
      </c>
      <c r="FJ158" s="62">
        <f t="shared" si="451"/>
        <v>0</v>
      </c>
      <c r="FK158" s="2">
        <f t="shared" si="498"/>
        <v>82</v>
      </c>
      <c r="FL158" s="57">
        <f t="shared" si="457"/>
        <v>0</v>
      </c>
      <c r="FM158" s="62">
        <f t="shared" si="454"/>
        <v>0</v>
      </c>
      <c r="FN158" s="2">
        <f t="shared" si="504"/>
        <v>81</v>
      </c>
      <c r="FO158" s="57">
        <f t="shared" si="461"/>
        <v>0</v>
      </c>
      <c r="FP158" s="62">
        <f t="shared" si="458"/>
        <v>0</v>
      </c>
      <c r="FQ158" s="2">
        <f t="shared" si="513"/>
        <v>80</v>
      </c>
      <c r="FR158" s="57">
        <f t="shared" si="465"/>
        <v>0</v>
      </c>
      <c r="FS158" s="62">
        <f t="shared" si="462"/>
        <v>0</v>
      </c>
      <c r="FT158" s="2">
        <f t="shared" si="519"/>
        <v>79</v>
      </c>
      <c r="FU158" s="57">
        <f t="shared" si="466"/>
        <v>0</v>
      </c>
      <c r="FV158" s="62">
        <f t="shared" si="467"/>
        <v>0</v>
      </c>
      <c r="FW158" s="2">
        <f t="shared" si="527"/>
        <v>78</v>
      </c>
      <c r="FX158" s="57">
        <f t="shared" si="470"/>
        <v>0</v>
      </c>
      <c r="FY158" s="62">
        <f t="shared" si="471"/>
        <v>0</v>
      </c>
      <c r="FZ158" s="2">
        <f t="shared" si="533"/>
        <v>77</v>
      </c>
      <c r="GA158" s="57">
        <f t="shared" si="477"/>
        <v>0</v>
      </c>
      <c r="GB158" s="62">
        <f t="shared" si="474"/>
        <v>0</v>
      </c>
      <c r="GC158" s="2">
        <f t="shared" si="541"/>
        <v>76</v>
      </c>
      <c r="GD158" s="57">
        <f t="shared" si="478"/>
        <v>0</v>
      </c>
      <c r="GE158" s="62">
        <f t="shared" si="479"/>
        <v>0</v>
      </c>
      <c r="GF158" s="2">
        <f t="shared" ref="GF158:GF163" si="547">IF(GF157="","",(GF157+1))</f>
        <v>75</v>
      </c>
      <c r="GG158" s="57">
        <f t="shared" si="485"/>
        <v>0</v>
      </c>
      <c r="GH158" s="62">
        <f t="shared" si="482"/>
        <v>0</v>
      </c>
      <c r="GI158" s="2">
        <v>74</v>
      </c>
      <c r="GJ158" s="57">
        <f t="shared" si="486"/>
        <v>0</v>
      </c>
      <c r="GK158" s="62">
        <f t="shared" si="487"/>
        <v>0</v>
      </c>
      <c r="GL158" s="2">
        <v>73</v>
      </c>
      <c r="GM158" s="57">
        <f t="shared" si="493"/>
        <v>0</v>
      </c>
      <c r="GN158" s="62">
        <f t="shared" si="490"/>
        <v>0</v>
      </c>
      <c r="GO158" s="2">
        <v>72</v>
      </c>
      <c r="GP158" s="57">
        <f t="shared" si="494"/>
        <v>0</v>
      </c>
      <c r="GQ158" s="62">
        <f t="shared" si="495"/>
        <v>0</v>
      </c>
      <c r="GR158" s="2">
        <v>71</v>
      </c>
      <c r="GS158" s="57">
        <f t="shared" si="505"/>
        <v>0</v>
      </c>
      <c r="GT158" s="62">
        <f t="shared" si="499"/>
        <v>0</v>
      </c>
      <c r="GU158" s="2">
        <v>70</v>
      </c>
      <c r="GV158" s="57">
        <f t="shared" si="506"/>
        <v>0</v>
      </c>
      <c r="GW158" s="62">
        <f t="shared" si="507"/>
        <v>0</v>
      </c>
      <c r="GX158" s="2">
        <v>69</v>
      </c>
      <c r="GY158" s="57">
        <f t="shared" si="520"/>
        <v>0</v>
      </c>
      <c r="GZ158" s="62">
        <f t="shared" si="514"/>
        <v>0</v>
      </c>
      <c r="HA158" s="2">
        <v>68</v>
      </c>
      <c r="HB158" s="57">
        <f t="shared" si="521"/>
        <v>0</v>
      </c>
      <c r="HC158" s="62">
        <f t="shared" si="522"/>
        <v>0</v>
      </c>
      <c r="HD158" s="2">
        <v>67</v>
      </c>
      <c r="HE158" s="57">
        <f t="shared" si="534"/>
        <v>0</v>
      </c>
      <c r="HF158" s="62">
        <f t="shared" si="528"/>
        <v>0</v>
      </c>
      <c r="HG158" s="2">
        <v>66</v>
      </c>
      <c r="HH158" s="57">
        <f t="shared" si="535"/>
        <v>0</v>
      </c>
      <c r="HI158" s="62">
        <f t="shared" si="536"/>
        <v>0</v>
      </c>
      <c r="HJ158" s="2">
        <v>65</v>
      </c>
      <c r="HK158" s="57">
        <f t="shared" ref="HK158:HK163" si="548">$E$92</f>
        <v>0</v>
      </c>
      <c r="HL158" s="62">
        <f t="shared" si="542"/>
        <v>0</v>
      </c>
      <c r="HM158" s="2">
        <v>64</v>
      </c>
      <c r="HN158" s="57">
        <f t="shared" si="247"/>
        <v>0</v>
      </c>
      <c r="HO158" s="62">
        <f t="shared" ref="HO158:HO163" si="549">SUM($G$10*$G$11*HN158*(EXP(-($G$10*HM158))),$G$10*$G$11*HN158*(EXP(-($G$10*(HM158+0.1)))),$G$10*$G$11*HN158*(EXP(-($G$10*(HM158+0.2)))),$G$10*$G$11*HN158*(EXP(-($G$10*(HM158+0.3)))),$G$10*$G$11*HN158*(EXP(-($G$10*(HM158+0.4)))),$G$10*$G$11*HN158*(EXP(-($G$10*(HM158+0.5)))),$G$10*$G$11*HN158*(EXP(-($G$10*(HM158+0.6)))),$G$10*$G$11*HN158*(EXP(-($G$10*(HM158+0.7)))),$G$10*$G$11*HN158*(EXP(-($G$10*(HM158+0.8)))),$G$10*$G$11*HN158*(EXP(-($G$10*(HM158+0.9)))))/10</f>
        <v>0</v>
      </c>
      <c r="HP158" s="2">
        <v>63</v>
      </c>
      <c r="HQ158" s="57">
        <f t="shared" si="248"/>
        <v>0</v>
      </c>
      <c r="HR158" s="62">
        <f t="shared" si="406"/>
        <v>0</v>
      </c>
      <c r="HS158" s="2">
        <v>62</v>
      </c>
      <c r="HT158" s="57">
        <f t="shared" si="257"/>
        <v>0</v>
      </c>
      <c r="HU158" s="62">
        <f t="shared" si="409"/>
        <v>0</v>
      </c>
      <c r="HV158" s="2">
        <v>61</v>
      </c>
      <c r="HW158" s="57">
        <f t="shared" si="258"/>
        <v>0</v>
      </c>
      <c r="HX158" s="62">
        <f t="shared" si="413"/>
        <v>0</v>
      </c>
      <c r="HY158" s="2">
        <v>60</v>
      </c>
      <c r="HZ158" s="57">
        <f t="shared" si="268"/>
        <v>0</v>
      </c>
      <c r="IA158" s="62">
        <f t="shared" si="417"/>
        <v>0</v>
      </c>
      <c r="IB158" s="2">
        <v>59</v>
      </c>
      <c r="IC158" s="57">
        <f t="shared" si="274"/>
        <v>0</v>
      </c>
      <c r="ID158" s="62">
        <f t="shared" si="421"/>
        <v>0</v>
      </c>
      <c r="IE158" s="2">
        <v>58</v>
      </c>
      <c r="IF158" s="57">
        <f t="shared" si="280"/>
        <v>0</v>
      </c>
      <c r="IG158" s="62">
        <f t="shared" si="425"/>
        <v>0</v>
      </c>
      <c r="IH158" s="2">
        <v>57</v>
      </c>
      <c r="II158" s="57">
        <f t="shared" si="281"/>
        <v>0</v>
      </c>
      <c r="IJ158" s="62">
        <f t="shared" si="429"/>
        <v>0</v>
      </c>
      <c r="IK158" s="2">
        <v>56</v>
      </c>
      <c r="IL158" s="57">
        <f t="shared" si="292"/>
        <v>0</v>
      </c>
      <c r="IM158" s="62">
        <f t="shared" si="434"/>
        <v>0</v>
      </c>
      <c r="IN158" s="2">
        <v>55</v>
      </c>
      <c r="IO158" s="57">
        <f t="shared" si="293"/>
        <v>0</v>
      </c>
      <c r="IP158" s="62">
        <f t="shared" si="438"/>
        <v>0</v>
      </c>
    </row>
    <row r="159" spans="7:250">
      <c r="I159" s="2">
        <f t="shared" si="369"/>
        <v>2154</v>
      </c>
      <c r="J159" s="379">
        <f t="shared" si="508"/>
        <v>508420.57812899677</v>
      </c>
      <c r="K159" s="2">
        <f t="shared" si="370"/>
        <v>135</v>
      </c>
      <c r="L159" s="57">
        <f t="shared" si="500"/>
        <v>189082</v>
      </c>
      <c r="M159" s="62">
        <f t="shared" si="501"/>
        <v>3355.2998605186999</v>
      </c>
      <c r="N159" s="2">
        <f t="shared" si="371"/>
        <v>134</v>
      </c>
      <c r="O159" s="57">
        <f t="shared" si="509"/>
        <v>293489</v>
      </c>
      <c r="P159" s="62">
        <f t="shared" si="510"/>
        <v>5420.5675288601906</v>
      </c>
      <c r="Q159" s="2">
        <f t="shared" si="372"/>
        <v>133</v>
      </c>
      <c r="R159" s="57">
        <f t="shared" si="515"/>
        <v>283523</v>
      </c>
      <c r="S159" s="62">
        <f t="shared" si="516"/>
        <v>5450.2071049203678</v>
      </c>
      <c r="T159" s="2">
        <f t="shared" si="373"/>
        <v>132</v>
      </c>
      <c r="U159" s="57">
        <f t="shared" si="523"/>
        <v>143321</v>
      </c>
      <c r="V159" s="62">
        <f t="shared" si="524"/>
        <v>2867.5190976577014</v>
      </c>
      <c r="W159" s="2">
        <f t="shared" si="374"/>
        <v>131</v>
      </c>
      <c r="X159" s="57">
        <f t="shared" si="529"/>
        <v>227851</v>
      </c>
      <c r="Y159" s="62">
        <f t="shared" si="530"/>
        <v>4744.8141643941053</v>
      </c>
      <c r="Z159" s="2">
        <f t="shared" si="376"/>
        <v>130</v>
      </c>
      <c r="AA159" s="57">
        <f t="shared" si="537"/>
        <v>238727</v>
      </c>
      <c r="AB159" s="62">
        <f t="shared" si="538"/>
        <v>5174.1806591022132</v>
      </c>
      <c r="AC159" s="2">
        <f t="shared" si="377"/>
        <v>129</v>
      </c>
      <c r="AD159" s="57">
        <f t="shared" si="543"/>
        <v>250122</v>
      </c>
      <c r="AE159" s="62">
        <f t="shared" si="544"/>
        <v>5642.3980372816341</v>
      </c>
      <c r="AF159" s="2">
        <f t="shared" si="378"/>
        <v>128</v>
      </c>
      <c r="AG159" s="57">
        <f>$E$30</f>
        <v>262060</v>
      </c>
      <c r="AH159" s="62">
        <f>SUM($G$10*$G$11*AG159*(EXP(-($G$10*AF159))),$G$10*$G$11*AG159*(EXP(-($G$10*(AF159+0.1)))),$G$10*$G$11*AG159*(EXP(-($G$10*(AF159+0.2)))),$G$10*$G$11*AG159*(EXP(-($G$10*(AF159+0.3)))),$G$10*$G$11*AG159*(EXP(-($G$10*(AF159+0.4)))),$G$10*$G$11*AG159*(EXP(-($G$10*(AF159+0.5)))),$G$10*$G$11*AG159*(EXP(-($G$10*(AF159+0.6)))),$G$10*$G$11*AG159*(EXP(-($G$10*(AF159+0.7)))),$G$10*$G$11*AG159*(EXP(-($G$10*(AF159+0.8)))),$G$10*$G$11*AG159*(EXP(-($G$10*(AF159+0.9)))))/10</f>
        <v>6152.9635598834284</v>
      </c>
      <c r="AI159" s="2">
        <f t="shared" si="379"/>
        <v>127</v>
      </c>
      <c r="AJ159" s="57">
        <f t="shared" si="250"/>
        <v>274569</v>
      </c>
      <c r="AK159" s="62">
        <f t="shared" si="407"/>
        <v>6709.7584760862355</v>
      </c>
      <c r="AL159" s="2">
        <f t="shared" si="380"/>
        <v>126</v>
      </c>
      <c r="AM159" s="57">
        <f t="shared" si="254"/>
        <v>287675</v>
      </c>
      <c r="AN159" s="62">
        <f t="shared" si="410"/>
        <v>7316.9365109499249</v>
      </c>
      <c r="AO159" s="2">
        <f t="shared" si="381"/>
        <v>125</v>
      </c>
      <c r="AP159" s="57">
        <f t="shared" si="260"/>
        <v>301406</v>
      </c>
      <c r="AQ159" s="62">
        <f t="shared" si="414"/>
        <v>7979.0435893914346</v>
      </c>
      <c r="AR159" s="2">
        <f t="shared" si="382"/>
        <v>124</v>
      </c>
      <c r="AS159" s="57">
        <f t="shared" si="265"/>
        <v>315793</v>
      </c>
      <c r="AT159" s="62">
        <f t="shared" si="418"/>
        <v>8701.081218082436</v>
      </c>
      <c r="AU159" s="2">
        <f t="shared" si="383"/>
        <v>123</v>
      </c>
      <c r="AV159" s="57">
        <f t="shared" si="271"/>
        <v>330866</v>
      </c>
      <c r="AW159" s="62">
        <f t="shared" si="422"/>
        <v>9488.4362450098524</v>
      </c>
      <c r="AX159" s="2">
        <f t="shared" si="384"/>
        <v>122</v>
      </c>
      <c r="AY159" s="57">
        <f t="shared" si="277"/>
        <v>346659</v>
      </c>
      <c r="AZ159" s="62">
        <f t="shared" si="426"/>
        <v>10347.05510254108</v>
      </c>
      <c r="BA159" s="2">
        <f t="shared" si="385"/>
        <v>121</v>
      </c>
      <c r="BB159" s="57">
        <f t="shared" si="284"/>
        <v>363206</v>
      </c>
      <c r="BC159" s="62">
        <f t="shared" si="430"/>
        <v>11283.376390112413</v>
      </c>
      <c r="BD159" s="2">
        <f t="shared" si="386"/>
        <v>120</v>
      </c>
      <c r="BE159" s="57">
        <f t="shared" si="289"/>
        <v>380542</v>
      </c>
      <c r="BF159" s="62">
        <f t="shared" si="435"/>
        <v>12304.399883490336</v>
      </c>
      <c r="BG159" s="2">
        <f t="shared" si="387"/>
        <v>119</v>
      </c>
      <c r="BH159" s="57">
        <f t="shared" si="296"/>
        <v>398706</v>
      </c>
      <c r="BI159" s="62">
        <f t="shared" si="439"/>
        <v>13417.833272636961</v>
      </c>
      <c r="BJ159" s="2">
        <f t="shared" si="388"/>
        <v>118</v>
      </c>
      <c r="BK159" s="57">
        <f t="shared" si="300"/>
        <v>417737</v>
      </c>
      <c r="BL159" s="62">
        <f t="shared" si="441"/>
        <v>14632.021904756559</v>
      </c>
      <c r="BM159" s="2">
        <f t="shared" si="389"/>
        <v>117</v>
      </c>
      <c r="BN159" s="57">
        <f t="shared" si="304"/>
        <v>437677</v>
      </c>
      <c r="BO159" s="62">
        <f t="shared" si="445"/>
        <v>15956.105654555353</v>
      </c>
      <c r="BP159" s="2">
        <f t="shared" si="390"/>
        <v>116</v>
      </c>
      <c r="BQ159" s="57">
        <f t="shared" si="308"/>
        <v>458568</v>
      </c>
      <c r="BR159" s="62">
        <f t="shared" si="447"/>
        <v>17399.978152850614</v>
      </c>
      <c r="BS159" s="2">
        <f t="shared" si="391"/>
        <v>115</v>
      </c>
      <c r="BT159" s="57">
        <f t="shared" si="312"/>
        <v>480456</v>
      </c>
      <c r="BU159" s="62">
        <f t="shared" si="452"/>
        <v>18974.500772172167</v>
      </c>
      <c r="BV159" s="2">
        <f t="shared" si="392"/>
        <v>114</v>
      </c>
      <c r="BW159" s="57">
        <f t="shared" si="316"/>
        <v>503389</v>
      </c>
      <c r="BX159" s="62">
        <f t="shared" si="455"/>
        <v>20691.512484467468</v>
      </c>
      <c r="BY159" s="2">
        <f t="shared" si="393"/>
        <v>113</v>
      </c>
      <c r="BZ159" s="57">
        <f t="shared" si="320"/>
        <v>527417</v>
      </c>
      <c r="CA159" s="62">
        <f t="shared" si="459"/>
        <v>22563.913159270589</v>
      </c>
      <c r="CB159" s="2">
        <f t="shared" si="394"/>
        <v>112</v>
      </c>
      <c r="CC159" s="57">
        <f t="shared" si="324"/>
        <v>552592</v>
      </c>
      <c r="CD159" s="62">
        <f t="shared" si="463"/>
        <v>24605.75344812914</v>
      </c>
      <c r="CE159" s="2">
        <f t="shared" si="395"/>
        <v>111</v>
      </c>
      <c r="CF159" s="57">
        <f t="shared" si="328"/>
        <v>578968</v>
      </c>
      <c r="CG159" s="62">
        <f t="shared" si="468"/>
        <v>26832.33173929499</v>
      </c>
      <c r="CH159" s="2">
        <v>110</v>
      </c>
      <c r="CI159" s="57">
        <f t="shared" si="332"/>
        <v>606603</v>
      </c>
      <c r="CJ159" s="62">
        <f t="shared" si="472"/>
        <v>29260.395173007546</v>
      </c>
      <c r="CK159" s="2">
        <v>109</v>
      </c>
      <c r="CL159" s="57">
        <f t="shared" si="336"/>
        <v>635558</v>
      </c>
      <c r="CM159" s="62">
        <f t="shared" si="475"/>
        <v>31908.221804966954</v>
      </c>
      <c r="CN159" s="2">
        <v>108</v>
      </c>
      <c r="CO159" s="57">
        <f t="shared" si="340"/>
        <v>665894</v>
      </c>
      <c r="CP159" s="62">
        <f t="shared" si="480"/>
        <v>34795.597109883303</v>
      </c>
      <c r="CQ159" s="2">
        <v>107</v>
      </c>
      <c r="CR159" s="57">
        <f t="shared" si="344"/>
        <v>697679</v>
      </c>
      <c r="CS159" s="62">
        <f t="shared" si="483"/>
        <v>37944.306712140926</v>
      </c>
      <c r="CT159" s="2">
        <v>106</v>
      </c>
      <c r="CU159" s="57">
        <f t="shared" si="348"/>
        <v>730980</v>
      </c>
      <c r="CV159" s="62">
        <f t="shared" si="488"/>
        <v>41377.880881347795</v>
      </c>
      <c r="CW159" s="2">
        <v>105</v>
      </c>
      <c r="CX159" s="57">
        <f t="shared" si="352"/>
        <v>765871</v>
      </c>
      <c r="CY159" s="62">
        <f t="shared" si="491"/>
        <v>45122.188431234288</v>
      </c>
      <c r="CZ159" s="2">
        <v>104</v>
      </c>
      <c r="DA159" s="57">
        <f t="shared" si="496"/>
        <v>0</v>
      </c>
      <c r="DB159" s="62">
        <f t="shared" si="497"/>
        <v>0</v>
      </c>
      <c r="DC159" s="2">
        <v>103</v>
      </c>
      <c r="DD159" s="57">
        <f t="shared" si="502"/>
        <v>0</v>
      </c>
      <c r="DE159" s="62">
        <f t="shared" si="503"/>
        <v>0</v>
      </c>
      <c r="DF159" s="2">
        <v>102</v>
      </c>
      <c r="DG159" s="57">
        <f t="shared" si="511"/>
        <v>0</v>
      </c>
      <c r="DH159" s="62">
        <f t="shared" si="512"/>
        <v>0</v>
      </c>
      <c r="DI159" s="2">
        <v>101</v>
      </c>
      <c r="DJ159" s="57">
        <f t="shared" si="517"/>
        <v>0</v>
      </c>
      <c r="DK159" s="62">
        <f t="shared" si="518"/>
        <v>0</v>
      </c>
      <c r="DL159" s="2">
        <v>100</v>
      </c>
      <c r="DM159" s="57">
        <f t="shared" si="525"/>
        <v>0</v>
      </c>
      <c r="DN159" s="62">
        <f t="shared" si="526"/>
        <v>0</v>
      </c>
      <c r="DO159" s="2">
        <v>99</v>
      </c>
      <c r="DP159" s="57">
        <f t="shared" si="531"/>
        <v>0</v>
      </c>
      <c r="DQ159" s="62">
        <f t="shared" si="532"/>
        <v>0</v>
      </c>
      <c r="DR159" s="2">
        <v>98</v>
      </c>
      <c r="DS159" s="57">
        <f t="shared" si="539"/>
        <v>0</v>
      </c>
      <c r="DT159" s="62">
        <f t="shared" si="540"/>
        <v>0</v>
      </c>
      <c r="DU159" s="2">
        <v>97</v>
      </c>
      <c r="DV159" s="57">
        <f t="shared" si="545"/>
        <v>0</v>
      </c>
      <c r="DW159" s="62">
        <f t="shared" si="546"/>
        <v>0</v>
      </c>
      <c r="DX159" s="2">
        <v>96</v>
      </c>
      <c r="DY159" s="57">
        <f>$E$62</f>
        <v>0</v>
      </c>
      <c r="DZ159" s="62">
        <f>SUM($G$10*$G$11*DY159*(EXP(-($G$10*DX159))),$G$10*$G$11*DY159*(EXP(-($G$10*(DX159+0.1)))),$G$10*$G$11*DY159*(EXP(-($G$10*(DX159+0.2)))),$G$10*$G$11*DY159*(EXP(-($G$10*(DX159+0.3)))),$G$10*$G$11*DY159*(EXP(-($G$10*(DX159+0.4)))),$G$10*$G$11*DY159*(EXP(-($G$10*(DX159+0.5)))),$G$10*$G$11*DY159*(EXP(-($G$10*(DX159+0.6)))),$G$10*$G$11*DY159*(EXP(-($G$10*(DX159+0.7)))),$G$10*$G$11*DY159*(EXP(-($G$10*(DX159+0.8)))),$G$10*$G$11*DY159*(EXP(-($G$10*(DX159+0.9)))))/10</f>
        <v>0</v>
      </c>
      <c r="EA159" s="2">
        <f t="shared" si="448"/>
        <v>95</v>
      </c>
      <c r="EB159" s="57">
        <f t="shared" si="411"/>
        <v>0</v>
      </c>
      <c r="EC159" s="62">
        <f t="shared" si="408"/>
        <v>0</v>
      </c>
      <c r="ED159" s="2">
        <f t="shared" si="453"/>
        <v>94</v>
      </c>
      <c r="EE159" s="57">
        <f t="shared" si="415"/>
        <v>0</v>
      </c>
      <c r="EF159" s="62">
        <f t="shared" si="412"/>
        <v>0</v>
      </c>
      <c r="EG159" s="2">
        <f t="shared" si="456"/>
        <v>93</v>
      </c>
      <c r="EH159" s="57">
        <f t="shared" si="419"/>
        <v>0</v>
      </c>
      <c r="EI159" s="62">
        <f t="shared" si="416"/>
        <v>0</v>
      </c>
      <c r="EJ159" s="2">
        <f t="shared" si="460"/>
        <v>92</v>
      </c>
      <c r="EK159" s="57">
        <f t="shared" si="423"/>
        <v>0</v>
      </c>
      <c r="EL159" s="62">
        <f t="shared" si="420"/>
        <v>0</v>
      </c>
      <c r="EM159" s="2">
        <f t="shared" si="464"/>
        <v>91</v>
      </c>
      <c r="EN159" s="57">
        <f t="shared" si="427"/>
        <v>0</v>
      </c>
      <c r="EO159" s="62">
        <f t="shared" si="424"/>
        <v>0</v>
      </c>
      <c r="EP159" s="2">
        <f t="shared" si="469"/>
        <v>90</v>
      </c>
      <c r="EQ159" s="57">
        <f t="shared" si="431"/>
        <v>0</v>
      </c>
      <c r="ER159" s="62">
        <f t="shared" si="428"/>
        <v>0</v>
      </c>
      <c r="ES159" s="2">
        <f t="shared" si="473"/>
        <v>89</v>
      </c>
      <c r="ET159" s="57">
        <f t="shared" si="432"/>
        <v>0</v>
      </c>
      <c r="EU159" s="62">
        <f t="shared" si="433"/>
        <v>0</v>
      </c>
      <c r="EV159" s="2">
        <f t="shared" si="476"/>
        <v>88</v>
      </c>
      <c r="EW159" s="57">
        <f t="shared" si="436"/>
        <v>0</v>
      </c>
      <c r="EX159" s="62">
        <f t="shared" si="437"/>
        <v>0</v>
      </c>
      <c r="EY159" s="2">
        <f t="shared" si="481"/>
        <v>87</v>
      </c>
      <c r="EZ159" s="57">
        <f t="shared" si="442"/>
        <v>0</v>
      </c>
      <c r="FA159" s="62">
        <f t="shared" si="440"/>
        <v>0</v>
      </c>
      <c r="FB159" s="2">
        <f t="shared" si="484"/>
        <v>86</v>
      </c>
      <c r="FC159" s="57">
        <f t="shared" si="443"/>
        <v>0</v>
      </c>
      <c r="FD159" s="62">
        <f t="shared" si="444"/>
        <v>0</v>
      </c>
      <c r="FE159" s="2">
        <f t="shared" si="489"/>
        <v>85</v>
      </c>
      <c r="FF159" s="57">
        <f t="shared" si="449"/>
        <v>0</v>
      </c>
      <c r="FG159" s="62">
        <f t="shared" si="446"/>
        <v>0</v>
      </c>
      <c r="FH159" s="2">
        <f t="shared" si="492"/>
        <v>84</v>
      </c>
      <c r="FI159" s="57">
        <f t="shared" si="450"/>
        <v>0</v>
      </c>
      <c r="FJ159" s="62">
        <f t="shared" si="451"/>
        <v>0</v>
      </c>
      <c r="FK159" s="2">
        <f t="shared" si="498"/>
        <v>83</v>
      </c>
      <c r="FL159" s="57">
        <f t="shared" si="457"/>
        <v>0</v>
      </c>
      <c r="FM159" s="62">
        <f t="shared" si="454"/>
        <v>0</v>
      </c>
      <c r="FN159" s="2">
        <f t="shared" si="504"/>
        <v>82</v>
      </c>
      <c r="FO159" s="57">
        <f t="shared" si="461"/>
        <v>0</v>
      </c>
      <c r="FP159" s="62">
        <f t="shared" si="458"/>
        <v>0</v>
      </c>
      <c r="FQ159" s="2">
        <f t="shared" si="513"/>
        <v>81</v>
      </c>
      <c r="FR159" s="57">
        <f t="shared" si="465"/>
        <v>0</v>
      </c>
      <c r="FS159" s="62">
        <f t="shared" si="462"/>
        <v>0</v>
      </c>
      <c r="FT159" s="2">
        <f t="shared" si="519"/>
        <v>80</v>
      </c>
      <c r="FU159" s="57">
        <f t="shared" si="466"/>
        <v>0</v>
      </c>
      <c r="FV159" s="62">
        <f t="shared" si="467"/>
        <v>0</v>
      </c>
      <c r="FW159" s="2">
        <f t="shared" si="527"/>
        <v>79</v>
      </c>
      <c r="FX159" s="57">
        <f t="shared" si="470"/>
        <v>0</v>
      </c>
      <c r="FY159" s="62">
        <f t="shared" si="471"/>
        <v>0</v>
      </c>
      <c r="FZ159" s="2">
        <f t="shared" si="533"/>
        <v>78</v>
      </c>
      <c r="GA159" s="57">
        <f t="shared" si="477"/>
        <v>0</v>
      </c>
      <c r="GB159" s="62">
        <f t="shared" si="474"/>
        <v>0</v>
      </c>
      <c r="GC159" s="2">
        <f t="shared" si="541"/>
        <v>77</v>
      </c>
      <c r="GD159" s="57">
        <f t="shared" si="478"/>
        <v>0</v>
      </c>
      <c r="GE159" s="62">
        <f t="shared" si="479"/>
        <v>0</v>
      </c>
      <c r="GF159" s="2">
        <f t="shared" si="547"/>
        <v>76</v>
      </c>
      <c r="GG159" s="57">
        <f t="shared" si="485"/>
        <v>0</v>
      </c>
      <c r="GH159" s="62">
        <f t="shared" si="482"/>
        <v>0</v>
      </c>
      <c r="GI159" s="2">
        <f>IF(GI158="","",(GI158+1))</f>
        <v>75</v>
      </c>
      <c r="GJ159" s="57">
        <f t="shared" si="486"/>
        <v>0</v>
      </c>
      <c r="GK159" s="62">
        <f t="shared" si="487"/>
        <v>0</v>
      </c>
      <c r="GL159" s="2">
        <v>74</v>
      </c>
      <c r="GM159" s="57">
        <f t="shared" si="493"/>
        <v>0</v>
      </c>
      <c r="GN159" s="62">
        <f t="shared" si="490"/>
        <v>0</v>
      </c>
      <c r="GO159" s="2">
        <v>73</v>
      </c>
      <c r="GP159" s="57">
        <f t="shared" si="494"/>
        <v>0</v>
      </c>
      <c r="GQ159" s="62">
        <f t="shared" si="495"/>
        <v>0</v>
      </c>
      <c r="GR159" s="2">
        <v>72</v>
      </c>
      <c r="GS159" s="57">
        <f t="shared" si="505"/>
        <v>0</v>
      </c>
      <c r="GT159" s="62">
        <f t="shared" si="499"/>
        <v>0</v>
      </c>
      <c r="GU159" s="2">
        <v>71</v>
      </c>
      <c r="GV159" s="57">
        <f t="shared" si="506"/>
        <v>0</v>
      </c>
      <c r="GW159" s="62">
        <f t="shared" si="507"/>
        <v>0</v>
      </c>
      <c r="GX159" s="2">
        <v>70</v>
      </c>
      <c r="GY159" s="57">
        <f t="shared" si="520"/>
        <v>0</v>
      </c>
      <c r="GZ159" s="62">
        <f t="shared" si="514"/>
        <v>0</v>
      </c>
      <c r="HA159" s="2">
        <v>69</v>
      </c>
      <c r="HB159" s="57">
        <f t="shared" si="521"/>
        <v>0</v>
      </c>
      <c r="HC159" s="62">
        <f t="shared" si="522"/>
        <v>0</v>
      </c>
      <c r="HD159" s="2">
        <v>68</v>
      </c>
      <c r="HE159" s="57">
        <f t="shared" si="534"/>
        <v>0</v>
      </c>
      <c r="HF159" s="62">
        <f t="shared" si="528"/>
        <v>0</v>
      </c>
      <c r="HG159" s="2">
        <v>67</v>
      </c>
      <c r="HH159" s="57">
        <f t="shared" si="535"/>
        <v>0</v>
      </c>
      <c r="HI159" s="62">
        <f t="shared" si="536"/>
        <v>0</v>
      </c>
      <c r="HJ159" s="2">
        <v>66</v>
      </c>
      <c r="HK159" s="57">
        <f t="shared" si="548"/>
        <v>0</v>
      </c>
      <c r="HL159" s="62">
        <f t="shared" si="542"/>
        <v>0</v>
      </c>
      <c r="HM159" s="2">
        <v>65</v>
      </c>
      <c r="HN159" s="57">
        <f>$E$93</f>
        <v>0</v>
      </c>
      <c r="HO159" s="62">
        <f t="shared" si="549"/>
        <v>0</v>
      </c>
      <c r="HP159" s="2">
        <v>64</v>
      </c>
      <c r="HQ159" s="57">
        <f>$E$94</f>
        <v>0</v>
      </c>
      <c r="HR159" s="62">
        <f>SUM($G$10*$G$11*HQ159*(EXP(-($G$10*HP159))),$G$10*$G$11*HQ159*(EXP(-($G$10*(HP159+0.1)))),$G$10*$G$11*HQ159*(EXP(-($G$10*(HP159+0.2)))),$G$10*$G$11*HQ159*(EXP(-($G$10*(HP159+0.3)))),$G$10*$G$11*HQ159*(EXP(-($G$10*(HP159+0.4)))),$G$10*$G$11*HQ159*(EXP(-($G$10*(HP159+0.5)))),$G$10*$G$11*HQ159*(EXP(-($G$10*(HP159+0.6)))),$G$10*$G$11*HQ159*(EXP(-($G$10*(HP159+0.7)))),$G$10*$G$11*HQ159*(EXP(-($G$10*(HP159+0.8)))),$G$10*$G$11*HQ159*(EXP(-($G$10*(HP159+0.9)))))/10</f>
        <v>0</v>
      </c>
      <c r="HS159" s="2">
        <v>63</v>
      </c>
      <c r="HT159" s="57">
        <f t="shared" si="257"/>
        <v>0</v>
      </c>
      <c r="HU159" s="62">
        <f t="shared" si="409"/>
        <v>0</v>
      </c>
      <c r="HV159" s="2">
        <v>62</v>
      </c>
      <c r="HW159" s="57">
        <f t="shared" si="258"/>
        <v>0</v>
      </c>
      <c r="HX159" s="62">
        <f t="shared" si="413"/>
        <v>0</v>
      </c>
      <c r="HY159" s="2">
        <v>61</v>
      </c>
      <c r="HZ159" s="57">
        <f t="shared" si="268"/>
        <v>0</v>
      </c>
      <c r="IA159" s="62">
        <f t="shared" si="417"/>
        <v>0</v>
      </c>
      <c r="IB159" s="2">
        <v>60</v>
      </c>
      <c r="IC159" s="57">
        <f t="shared" si="274"/>
        <v>0</v>
      </c>
      <c r="ID159" s="62">
        <f t="shared" si="421"/>
        <v>0</v>
      </c>
      <c r="IE159" s="2">
        <v>59</v>
      </c>
      <c r="IF159" s="57">
        <f t="shared" si="280"/>
        <v>0</v>
      </c>
      <c r="IG159" s="62">
        <f t="shared" si="425"/>
        <v>0</v>
      </c>
      <c r="IH159" s="2">
        <v>58</v>
      </c>
      <c r="II159" s="57">
        <f t="shared" si="281"/>
        <v>0</v>
      </c>
      <c r="IJ159" s="62">
        <f t="shared" si="429"/>
        <v>0</v>
      </c>
      <c r="IK159" s="2">
        <v>57</v>
      </c>
      <c r="IL159" s="57">
        <f t="shared" si="292"/>
        <v>0</v>
      </c>
      <c r="IM159" s="62">
        <f t="shared" si="434"/>
        <v>0</v>
      </c>
      <c r="IN159" s="2">
        <v>56</v>
      </c>
      <c r="IO159" s="57">
        <f t="shared" si="293"/>
        <v>0</v>
      </c>
      <c r="IP159" s="62">
        <f t="shared" si="438"/>
        <v>0</v>
      </c>
    </row>
    <row r="160" spans="7:250">
      <c r="I160" s="2">
        <f t="shared" si="369"/>
        <v>2155</v>
      </c>
      <c r="J160" s="379">
        <f t="shared" si="508"/>
        <v>488485.12211405864</v>
      </c>
      <c r="K160" s="2">
        <f t="shared" si="370"/>
        <v>136</v>
      </c>
      <c r="L160" s="57">
        <f t="shared" si="500"/>
        <v>189082</v>
      </c>
      <c r="M160" s="62">
        <f t="shared" si="501"/>
        <v>3223.7366711756304</v>
      </c>
      <c r="N160" s="2">
        <f t="shared" si="371"/>
        <v>135</v>
      </c>
      <c r="O160" s="57">
        <f t="shared" si="509"/>
        <v>293489</v>
      </c>
      <c r="P160" s="62">
        <f t="shared" si="510"/>
        <v>5208.0240359408763</v>
      </c>
      <c r="Q160" s="2">
        <f t="shared" si="372"/>
        <v>134</v>
      </c>
      <c r="R160" s="57">
        <f t="shared" si="515"/>
        <v>283523</v>
      </c>
      <c r="S160" s="62">
        <f t="shared" si="516"/>
        <v>5236.5014276004476</v>
      </c>
      <c r="T160" s="2">
        <f t="shared" si="373"/>
        <v>133</v>
      </c>
      <c r="U160" s="57">
        <f t="shared" si="523"/>
        <v>143321</v>
      </c>
      <c r="V160" s="62">
        <f t="shared" si="524"/>
        <v>2755.0820655971188</v>
      </c>
      <c r="W160" s="2">
        <f t="shared" si="374"/>
        <v>132</v>
      </c>
      <c r="X160" s="57">
        <f t="shared" si="529"/>
        <v>227851</v>
      </c>
      <c r="Y160" s="62">
        <f t="shared" si="530"/>
        <v>4558.7673398902107</v>
      </c>
      <c r="Z160" s="2">
        <f t="shared" si="376"/>
        <v>131</v>
      </c>
      <c r="AA160" s="57">
        <f t="shared" si="537"/>
        <v>238727</v>
      </c>
      <c r="AB160" s="62">
        <f t="shared" si="538"/>
        <v>4971.2981335316135</v>
      </c>
      <c r="AC160" s="2">
        <f t="shared" si="377"/>
        <v>130</v>
      </c>
      <c r="AD160" s="57">
        <f t="shared" si="543"/>
        <v>250122</v>
      </c>
      <c r="AE160" s="62">
        <f t="shared" si="544"/>
        <v>5421.1564457139893</v>
      </c>
      <c r="AF160" s="2">
        <f t="shared" si="378"/>
        <v>129</v>
      </c>
      <c r="AG160" s="57">
        <f>$E$30</f>
        <v>262060</v>
      </c>
      <c r="AH160" s="62">
        <f>SUM($G$10*$G$11*AG160*(EXP(-($G$10*AF160))),$G$10*$G$11*AG160*(EXP(-($G$10*(AF160+0.1)))),$G$10*$G$11*AG160*(EXP(-($G$10*(AF160+0.2)))),$G$10*$G$11*AG160*(EXP(-($G$10*(AF160+0.3)))),$G$10*$G$11*AG160*(EXP(-($G$10*(AF160+0.4)))),$G$10*$G$11*AG160*(EXP(-($G$10*(AF160+0.5)))),$G$10*$G$11*AG160*(EXP(-($G$10*(AF160+0.6)))),$G$10*$G$11*AG160*(EXP(-($G$10*(AF160+0.7)))),$G$10*$G$11*AG160*(EXP(-($G$10*(AF160+0.8)))),$G$10*$G$11*AG160*(EXP(-($G$10*(AF160+0.9)))))/10</f>
        <v>5911.7024078250806</v>
      </c>
      <c r="AI160" s="2">
        <f t="shared" si="379"/>
        <v>128</v>
      </c>
      <c r="AJ160" s="57">
        <f>$E$31</f>
        <v>274569</v>
      </c>
      <c r="AK160" s="62">
        <f>SUM($G$10*$G$11*AJ160*(EXP(-($G$10*AI160))),$G$10*$G$11*AJ160*(EXP(-($G$10*(AI160+0.1)))),$G$10*$G$11*AJ160*(EXP(-($G$10*(AI160+0.2)))),$G$10*$G$11*AJ160*(EXP(-($G$10*(AI160+0.3)))),$G$10*$G$11*AJ160*(EXP(-($G$10*(AI160+0.4)))),$G$10*$G$11*AJ160*(EXP(-($G$10*(AI160+0.5)))),$G$10*$G$11*AJ160*(EXP(-($G$10*(AI160+0.6)))),$G$10*$G$11*AJ160*(EXP(-($G$10*(AI160+0.7)))),$G$10*$G$11*AJ160*(EXP(-($G$10*(AI160+0.8)))),$G$10*$G$11*AJ160*(EXP(-($G$10*(AI160+0.9)))))/10</f>
        <v>6446.6650830864419</v>
      </c>
      <c r="AL160" s="2">
        <f t="shared" si="380"/>
        <v>127</v>
      </c>
      <c r="AM160" s="57">
        <f t="shared" si="254"/>
        <v>287675</v>
      </c>
      <c r="AN160" s="62">
        <f t="shared" si="410"/>
        <v>7030.0353266687353</v>
      </c>
      <c r="AO160" s="2">
        <f t="shared" si="381"/>
        <v>126</v>
      </c>
      <c r="AP160" s="57">
        <f t="shared" si="260"/>
        <v>301406</v>
      </c>
      <c r="AQ160" s="62">
        <f t="shared" si="414"/>
        <v>7666.180815223337</v>
      </c>
      <c r="AR160" s="2">
        <f t="shared" si="382"/>
        <v>125</v>
      </c>
      <c r="AS160" s="57">
        <f t="shared" si="265"/>
        <v>315793</v>
      </c>
      <c r="AT160" s="62">
        <f t="shared" si="418"/>
        <v>8359.906943540238</v>
      </c>
      <c r="AU160" s="2">
        <f t="shared" si="383"/>
        <v>124</v>
      </c>
      <c r="AV160" s="57">
        <f t="shared" si="271"/>
        <v>330866</v>
      </c>
      <c r="AW160" s="62">
        <f t="shared" si="422"/>
        <v>9116.3893382755905</v>
      </c>
      <c r="AX160" s="2">
        <f t="shared" si="384"/>
        <v>123</v>
      </c>
      <c r="AY160" s="57">
        <f t="shared" si="277"/>
        <v>346659</v>
      </c>
      <c r="AZ160" s="62">
        <f t="shared" si="426"/>
        <v>9941.3412688486296</v>
      </c>
      <c r="BA160" s="2">
        <f t="shared" si="385"/>
        <v>122</v>
      </c>
      <c r="BB160" s="57">
        <f t="shared" si="284"/>
        <v>363206</v>
      </c>
      <c r="BC160" s="62">
        <f t="shared" si="430"/>
        <v>10840.948873600673</v>
      </c>
      <c r="BD160" s="2">
        <f t="shared" si="386"/>
        <v>121</v>
      </c>
      <c r="BE160" s="57">
        <f t="shared" si="289"/>
        <v>380542</v>
      </c>
      <c r="BF160" s="62">
        <f t="shared" si="435"/>
        <v>11821.937463164588</v>
      </c>
      <c r="BG160" s="2">
        <f t="shared" si="387"/>
        <v>120</v>
      </c>
      <c r="BH160" s="57">
        <f t="shared" si="296"/>
        <v>398706</v>
      </c>
      <c r="BI160" s="62">
        <f t="shared" si="439"/>
        <v>12891.712504656247</v>
      </c>
      <c r="BJ160" s="2">
        <f t="shared" si="388"/>
        <v>119</v>
      </c>
      <c r="BK160" s="57">
        <f t="shared" si="300"/>
        <v>417737</v>
      </c>
      <c r="BL160" s="62">
        <f t="shared" si="441"/>
        <v>14058.292119535565</v>
      </c>
      <c r="BM160" s="2">
        <f t="shared" si="389"/>
        <v>118</v>
      </c>
      <c r="BN160" s="57">
        <f t="shared" si="304"/>
        <v>437677</v>
      </c>
      <c r="BO160" s="62">
        <f t="shared" si="445"/>
        <v>15330.457802895451</v>
      </c>
      <c r="BP160" s="2">
        <f t="shared" si="390"/>
        <v>117</v>
      </c>
      <c r="BQ160" s="57">
        <f t="shared" si="308"/>
        <v>458568</v>
      </c>
      <c r="BR160" s="62">
        <f t="shared" si="447"/>
        <v>16717.715250740021</v>
      </c>
      <c r="BS160" s="2">
        <f t="shared" si="391"/>
        <v>116</v>
      </c>
      <c r="BT160" s="57">
        <f t="shared" si="312"/>
        <v>480456</v>
      </c>
      <c r="BU160" s="62">
        <f t="shared" si="452"/>
        <v>18230.499955090621</v>
      </c>
      <c r="BV160" s="2">
        <f t="shared" si="392"/>
        <v>115</v>
      </c>
      <c r="BW160" s="57">
        <f t="shared" si="316"/>
        <v>503389</v>
      </c>
      <c r="BX160" s="62">
        <f t="shared" si="455"/>
        <v>19880.186675164787</v>
      </c>
      <c r="BY160" s="2">
        <f t="shared" si="393"/>
        <v>114</v>
      </c>
      <c r="BZ160" s="57">
        <f t="shared" si="320"/>
        <v>527417</v>
      </c>
      <c r="CA160" s="62">
        <f t="shared" si="459"/>
        <v>21679.169469377313</v>
      </c>
      <c r="CB160" s="2">
        <f t="shared" si="394"/>
        <v>113</v>
      </c>
      <c r="CC160" s="57">
        <f t="shared" si="324"/>
        <v>552592</v>
      </c>
      <c r="CD160" s="62">
        <f t="shared" si="463"/>
        <v>23640.948055348341</v>
      </c>
      <c r="CE160" s="2">
        <f t="shared" si="395"/>
        <v>112</v>
      </c>
      <c r="CF160" s="57">
        <f t="shared" si="328"/>
        <v>578968</v>
      </c>
      <c r="CG160" s="62">
        <f t="shared" si="468"/>
        <v>25780.220962946318</v>
      </c>
      <c r="CH160" s="2">
        <v>111</v>
      </c>
      <c r="CI160" s="57">
        <f t="shared" si="332"/>
        <v>606603</v>
      </c>
      <c r="CJ160" s="62">
        <f t="shared" si="472"/>
        <v>28113.078667649264</v>
      </c>
      <c r="CK160" s="2">
        <v>110</v>
      </c>
      <c r="CL160" s="57">
        <f t="shared" si="336"/>
        <v>635558</v>
      </c>
      <c r="CM160" s="62">
        <f t="shared" si="475"/>
        <v>30657.082532342127</v>
      </c>
      <c r="CN160" s="2">
        <v>109</v>
      </c>
      <c r="CO160" s="57">
        <f t="shared" si="340"/>
        <v>665894</v>
      </c>
      <c r="CP160" s="62">
        <f t="shared" si="480"/>
        <v>33431.242232174976</v>
      </c>
      <c r="CQ160" s="2">
        <v>108</v>
      </c>
      <c r="CR160" s="57">
        <f t="shared" si="344"/>
        <v>697679</v>
      </c>
      <c r="CS160" s="62">
        <f t="shared" si="483"/>
        <v>36456.48916498162</v>
      </c>
      <c r="CT160" s="2">
        <v>107</v>
      </c>
      <c r="CU160" s="57">
        <f t="shared" si="348"/>
        <v>730980</v>
      </c>
      <c r="CV160" s="62">
        <f t="shared" si="488"/>
        <v>39755.430965301777</v>
      </c>
      <c r="CW160" s="2">
        <v>106</v>
      </c>
      <c r="CX160" s="57">
        <f t="shared" si="352"/>
        <v>765871</v>
      </c>
      <c r="CY160" s="62">
        <f t="shared" si="491"/>
        <v>43352.922116171037</v>
      </c>
      <c r="CZ160" s="2">
        <v>105</v>
      </c>
      <c r="DA160" s="57">
        <f t="shared" si="496"/>
        <v>0</v>
      </c>
      <c r="DB160" s="62">
        <f t="shared" si="497"/>
        <v>0</v>
      </c>
      <c r="DC160" s="2">
        <v>104</v>
      </c>
      <c r="DD160" s="57">
        <f t="shared" si="502"/>
        <v>0</v>
      </c>
      <c r="DE160" s="62">
        <f t="shared" si="503"/>
        <v>0</v>
      </c>
      <c r="DF160" s="2">
        <v>103</v>
      </c>
      <c r="DG160" s="57">
        <f t="shared" si="511"/>
        <v>0</v>
      </c>
      <c r="DH160" s="62">
        <f t="shared" si="512"/>
        <v>0</v>
      </c>
      <c r="DI160" s="2">
        <v>102</v>
      </c>
      <c r="DJ160" s="57">
        <f t="shared" si="517"/>
        <v>0</v>
      </c>
      <c r="DK160" s="62">
        <f t="shared" si="518"/>
        <v>0</v>
      </c>
      <c r="DL160" s="2">
        <v>101</v>
      </c>
      <c r="DM160" s="57">
        <f t="shared" si="525"/>
        <v>0</v>
      </c>
      <c r="DN160" s="62">
        <f t="shared" si="526"/>
        <v>0</v>
      </c>
      <c r="DO160" s="2">
        <v>100</v>
      </c>
      <c r="DP160" s="57">
        <f t="shared" si="531"/>
        <v>0</v>
      </c>
      <c r="DQ160" s="62">
        <f t="shared" si="532"/>
        <v>0</v>
      </c>
      <c r="DR160" s="2">
        <v>99</v>
      </c>
      <c r="DS160" s="57">
        <f t="shared" si="539"/>
        <v>0</v>
      </c>
      <c r="DT160" s="62">
        <f t="shared" si="540"/>
        <v>0</v>
      </c>
      <c r="DU160" s="2">
        <v>98</v>
      </c>
      <c r="DV160" s="57">
        <f t="shared" si="545"/>
        <v>0</v>
      </c>
      <c r="DW160" s="62">
        <f t="shared" si="546"/>
        <v>0</v>
      </c>
      <c r="DX160" s="2">
        <v>97</v>
      </c>
      <c r="DY160" s="57">
        <f>$E$62</f>
        <v>0</v>
      </c>
      <c r="DZ160" s="62">
        <f>SUM($G$10*$G$11*DY160*(EXP(-($G$10*DX160))),$G$10*$G$11*DY160*(EXP(-($G$10*(DX160+0.1)))),$G$10*$G$11*DY160*(EXP(-($G$10*(DX160+0.2)))),$G$10*$G$11*DY160*(EXP(-($G$10*(DX160+0.3)))),$G$10*$G$11*DY160*(EXP(-($G$10*(DX160+0.4)))),$G$10*$G$11*DY160*(EXP(-($G$10*(DX160+0.5)))),$G$10*$G$11*DY160*(EXP(-($G$10*(DX160+0.6)))),$G$10*$G$11*DY160*(EXP(-($G$10*(DX160+0.7)))),$G$10*$G$11*DY160*(EXP(-($G$10*(DX160+0.8)))),$G$10*$G$11*DY160*(EXP(-($G$10*(DX160+0.9)))))/10</f>
        <v>0</v>
      </c>
      <c r="EA160" s="2">
        <f t="shared" si="448"/>
        <v>96</v>
      </c>
      <c r="EB160" s="57">
        <f t="shared" si="411"/>
        <v>0</v>
      </c>
      <c r="EC160" s="62">
        <f>SUM($G$10*$G$11*EB160*(EXP(-($G$10*EA160))),$G$10*$G$11*EB160*(EXP(-($G$10*(EA160+0.1)))),$G$10*$G$11*EB160*(EXP(-($G$10*(EA160+0.2)))),$G$10*$G$11*EB160*(EXP(-($G$10*(EA160+0.3)))),$G$10*$G$11*EB160*(EXP(-($G$10*(EA160+0.4)))),$G$10*$G$11*EB160*(EXP(-($G$10*(EA160+0.5)))),$G$10*$G$11*EB160*(EXP(-($G$10*(EA160+0.6)))),$G$10*$G$11*EB160*(EXP(-($G$10*(EA160+0.7)))),$G$10*$G$11*EB160*(EXP(-($G$10*(EA160+0.8)))),$G$10*$G$11*EB160*(EXP(-($G$10*(EA160+0.9)))))/10</f>
        <v>0</v>
      </c>
      <c r="ED160" s="2">
        <f t="shared" si="453"/>
        <v>95</v>
      </c>
      <c r="EE160" s="57">
        <f t="shared" si="415"/>
        <v>0</v>
      </c>
      <c r="EF160" s="62">
        <f t="shared" si="412"/>
        <v>0</v>
      </c>
      <c r="EG160" s="2">
        <f t="shared" si="456"/>
        <v>94</v>
      </c>
      <c r="EH160" s="57">
        <f t="shared" si="419"/>
        <v>0</v>
      </c>
      <c r="EI160" s="62">
        <f t="shared" si="416"/>
        <v>0</v>
      </c>
      <c r="EJ160" s="2">
        <f t="shared" si="460"/>
        <v>93</v>
      </c>
      <c r="EK160" s="57">
        <f t="shared" si="423"/>
        <v>0</v>
      </c>
      <c r="EL160" s="62">
        <f t="shared" si="420"/>
        <v>0</v>
      </c>
      <c r="EM160" s="2">
        <f t="shared" si="464"/>
        <v>92</v>
      </c>
      <c r="EN160" s="57">
        <f t="shared" si="427"/>
        <v>0</v>
      </c>
      <c r="EO160" s="62">
        <f t="shared" si="424"/>
        <v>0</v>
      </c>
      <c r="EP160" s="2">
        <f t="shared" si="469"/>
        <v>91</v>
      </c>
      <c r="EQ160" s="57">
        <f t="shared" si="431"/>
        <v>0</v>
      </c>
      <c r="ER160" s="62">
        <f t="shared" si="428"/>
        <v>0</v>
      </c>
      <c r="ES160" s="2">
        <f t="shared" si="473"/>
        <v>90</v>
      </c>
      <c r="ET160" s="57">
        <f t="shared" si="432"/>
        <v>0</v>
      </c>
      <c r="EU160" s="62">
        <f t="shared" si="433"/>
        <v>0</v>
      </c>
      <c r="EV160" s="2">
        <f t="shared" si="476"/>
        <v>89</v>
      </c>
      <c r="EW160" s="57">
        <f t="shared" si="436"/>
        <v>0</v>
      </c>
      <c r="EX160" s="62">
        <f t="shared" si="437"/>
        <v>0</v>
      </c>
      <c r="EY160" s="2">
        <f t="shared" si="481"/>
        <v>88</v>
      </c>
      <c r="EZ160" s="57">
        <f t="shared" si="442"/>
        <v>0</v>
      </c>
      <c r="FA160" s="62">
        <f t="shared" si="440"/>
        <v>0</v>
      </c>
      <c r="FB160" s="2">
        <f t="shared" si="484"/>
        <v>87</v>
      </c>
      <c r="FC160" s="57">
        <f t="shared" si="443"/>
        <v>0</v>
      </c>
      <c r="FD160" s="62">
        <f t="shared" si="444"/>
        <v>0</v>
      </c>
      <c r="FE160" s="2">
        <f t="shared" si="489"/>
        <v>86</v>
      </c>
      <c r="FF160" s="57">
        <f t="shared" si="449"/>
        <v>0</v>
      </c>
      <c r="FG160" s="62">
        <f t="shared" si="446"/>
        <v>0</v>
      </c>
      <c r="FH160" s="2">
        <f t="shared" si="492"/>
        <v>85</v>
      </c>
      <c r="FI160" s="57">
        <f t="shared" si="450"/>
        <v>0</v>
      </c>
      <c r="FJ160" s="62">
        <f t="shared" si="451"/>
        <v>0</v>
      </c>
      <c r="FK160" s="2">
        <f t="shared" si="498"/>
        <v>84</v>
      </c>
      <c r="FL160" s="57">
        <f t="shared" si="457"/>
        <v>0</v>
      </c>
      <c r="FM160" s="62">
        <f t="shared" si="454"/>
        <v>0</v>
      </c>
      <c r="FN160" s="2">
        <f t="shared" si="504"/>
        <v>83</v>
      </c>
      <c r="FO160" s="57">
        <f t="shared" si="461"/>
        <v>0</v>
      </c>
      <c r="FP160" s="62">
        <f t="shared" si="458"/>
        <v>0</v>
      </c>
      <c r="FQ160" s="2">
        <f t="shared" si="513"/>
        <v>82</v>
      </c>
      <c r="FR160" s="57">
        <f t="shared" si="465"/>
        <v>0</v>
      </c>
      <c r="FS160" s="62">
        <f t="shared" si="462"/>
        <v>0</v>
      </c>
      <c r="FT160" s="2">
        <f t="shared" si="519"/>
        <v>81</v>
      </c>
      <c r="FU160" s="57">
        <f t="shared" si="466"/>
        <v>0</v>
      </c>
      <c r="FV160" s="62">
        <f t="shared" si="467"/>
        <v>0</v>
      </c>
      <c r="FW160" s="2">
        <f t="shared" si="527"/>
        <v>80</v>
      </c>
      <c r="FX160" s="57">
        <f t="shared" si="470"/>
        <v>0</v>
      </c>
      <c r="FY160" s="62">
        <f t="shared" si="471"/>
        <v>0</v>
      </c>
      <c r="FZ160" s="2">
        <f t="shared" si="533"/>
        <v>79</v>
      </c>
      <c r="GA160" s="57">
        <f t="shared" si="477"/>
        <v>0</v>
      </c>
      <c r="GB160" s="62">
        <f t="shared" si="474"/>
        <v>0</v>
      </c>
      <c r="GC160" s="2">
        <f t="shared" si="541"/>
        <v>78</v>
      </c>
      <c r="GD160" s="57">
        <f t="shared" si="478"/>
        <v>0</v>
      </c>
      <c r="GE160" s="62">
        <f t="shared" si="479"/>
        <v>0</v>
      </c>
      <c r="GF160" s="2">
        <f t="shared" si="547"/>
        <v>77</v>
      </c>
      <c r="GG160" s="57">
        <f t="shared" si="485"/>
        <v>0</v>
      </c>
      <c r="GH160" s="62">
        <f t="shared" si="482"/>
        <v>0</v>
      </c>
      <c r="GI160" s="2">
        <f>IF(GI159="","",(GI159+1))</f>
        <v>76</v>
      </c>
      <c r="GJ160" s="57">
        <f t="shared" si="486"/>
        <v>0</v>
      </c>
      <c r="GK160" s="62">
        <f t="shared" si="487"/>
        <v>0</v>
      </c>
      <c r="GL160" s="2">
        <f>IF(GL159="","",(GL159+1))</f>
        <v>75</v>
      </c>
      <c r="GM160" s="57">
        <f t="shared" si="493"/>
        <v>0</v>
      </c>
      <c r="GN160" s="62">
        <f t="shared" si="490"/>
        <v>0</v>
      </c>
      <c r="GO160" s="2">
        <v>74</v>
      </c>
      <c r="GP160" s="57">
        <f t="shared" si="494"/>
        <v>0</v>
      </c>
      <c r="GQ160" s="62">
        <f t="shared" si="495"/>
        <v>0</v>
      </c>
      <c r="GR160" s="2">
        <v>73</v>
      </c>
      <c r="GS160" s="57">
        <f t="shared" si="505"/>
        <v>0</v>
      </c>
      <c r="GT160" s="62">
        <f t="shared" si="499"/>
        <v>0</v>
      </c>
      <c r="GU160" s="2">
        <v>72</v>
      </c>
      <c r="GV160" s="57">
        <f t="shared" si="506"/>
        <v>0</v>
      </c>
      <c r="GW160" s="62">
        <f t="shared" si="507"/>
        <v>0</v>
      </c>
      <c r="GX160" s="2">
        <v>71</v>
      </c>
      <c r="GY160" s="57">
        <f t="shared" si="520"/>
        <v>0</v>
      </c>
      <c r="GZ160" s="62">
        <f t="shared" si="514"/>
        <v>0</v>
      </c>
      <c r="HA160" s="2">
        <v>70</v>
      </c>
      <c r="HB160" s="57">
        <f t="shared" si="521"/>
        <v>0</v>
      </c>
      <c r="HC160" s="62">
        <f t="shared" si="522"/>
        <v>0</v>
      </c>
      <c r="HD160" s="2">
        <v>69</v>
      </c>
      <c r="HE160" s="57">
        <f t="shared" si="534"/>
        <v>0</v>
      </c>
      <c r="HF160" s="62">
        <f t="shared" si="528"/>
        <v>0</v>
      </c>
      <c r="HG160" s="2">
        <v>68</v>
      </c>
      <c r="HH160" s="57">
        <f t="shared" si="535"/>
        <v>0</v>
      </c>
      <c r="HI160" s="62">
        <f t="shared" si="536"/>
        <v>0</v>
      </c>
      <c r="HJ160" s="2">
        <v>67</v>
      </c>
      <c r="HK160" s="57">
        <f t="shared" si="548"/>
        <v>0</v>
      </c>
      <c r="HL160" s="62">
        <f t="shared" si="542"/>
        <v>0</v>
      </c>
      <c r="HM160" s="2">
        <v>66</v>
      </c>
      <c r="HN160" s="57">
        <f>$E$93</f>
        <v>0</v>
      </c>
      <c r="HO160" s="62">
        <f t="shared" si="549"/>
        <v>0</v>
      </c>
      <c r="HP160" s="2">
        <v>65</v>
      </c>
      <c r="HQ160" s="57">
        <f>$E$94</f>
        <v>0</v>
      </c>
      <c r="HR160" s="62">
        <f>SUM($G$10*$G$11*HQ160*(EXP(-($G$10*HP160))),$G$10*$G$11*HQ160*(EXP(-($G$10*(HP160+0.1)))),$G$10*$G$11*HQ160*(EXP(-($G$10*(HP160+0.2)))),$G$10*$G$11*HQ160*(EXP(-($G$10*(HP160+0.3)))),$G$10*$G$11*HQ160*(EXP(-($G$10*(HP160+0.4)))),$G$10*$G$11*HQ160*(EXP(-($G$10*(HP160+0.5)))),$G$10*$G$11*HQ160*(EXP(-($G$10*(HP160+0.6)))),$G$10*$G$11*HQ160*(EXP(-($G$10*(HP160+0.7)))),$G$10*$G$11*HQ160*(EXP(-($G$10*(HP160+0.8)))),$G$10*$G$11*HQ160*(EXP(-($G$10*(HP160+0.9)))))/10</f>
        <v>0</v>
      </c>
      <c r="HS160" s="2">
        <v>64</v>
      </c>
      <c r="HT160" s="57">
        <f t="shared" si="257"/>
        <v>0</v>
      </c>
      <c r="HU160" s="62">
        <f>SUM($G$10*$G$11*HT160*(EXP(-($G$10*HS160))),$G$10*$G$11*HT160*(EXP(-($G$10*(HS160+0.1)))),$G$10*$G$11*HT160*(EXP(-($G$10*(HS160+0.2)))),$G$10*$G$11*HT160*(EXP(-($G$10*(HS160+0.3)))),$G$10*$G$11*HT160*(EXP(-($G$10*(HS160+0.4)))),$G$10*$G$11*HT160*(EXP(-($G$10*(HS160+0.5)))),$G$10*$G$11*HT160*(EXP(-($G$10*(HS160+0.6)))),$G$10*$G$11*HT160*(EXP(-($G$10*(HS160+0.7)))),$G$10*$G$11*HT160*(EXP(-($G$10*(HS160+0.8)))),$G$10*$G$11*HT160*(EXP(-($G$10*(HS160+0.9)))))/10</f>
        <v>0</v>
      </c>
      <c r="HV160" s="2">
        <v>63</v>
      </c>
      <c r="HW160" s="57">
        <f t="shared" si="258"/>
        <v>0</v>
      </c>
      <c r="HX160" s="62">
        <f t="shared" si="413"/>
        <v>0</v>
      </c>
      <c r="HY160" s="2">
        <v>62</v>
      </c>
      <c r="HZ160" s="57">
        <f t="shared" si="268"/>
        <v>0</v>
      </c>
      <c r="IA160" s="62">
        <f t="shared" si="417"/>
        <v>0</v>
      </c>
      <c r="IB160" s="2">
        <v>61</v>
      </c>
      <c r="IC160" s="57">
        <f t="shared" si="274"/>
        <v>0</v>
      </c>
      <c r="ID160" s="62">
        <f t="shared" si="421"/>
        <v>0</v>
      </c>
      <c r="IE160" s="2">
        <v>60</v>
      </c>
      <c r="IF160" s="57">
        <f t="shared" si="280"/>
        <v>0</v>
      </c>
      <c r="IG160" s="62">
        <f t="shared" si="425"/>
        <v>0</v>
      </c>
      <c r="IH160" s="2">
        <v>59</v>
      </c>
      <c r="II160" s="57">
        <f t="shared" si="281"/>
        <v>0</v>
      </c>
      <c r="IJ160" s="62">
        <f t="shared" si="429"/>
        <v>0</v>
      </c>
      <c r="IK160" s="2">
        <v>58</v>
      </c>
      <c r="IL160" s="57">
        <f t="shared" si="292"/>
        <v>0</v>
      </c>
      <c r="IM160" s="62">
        <f t="shared" si="434"/>
        <v>0</v>
      </c>
      <c r="IN160" s="2">
        <v>57</v>
      </c>
      <c r="IO160" s="57">
        <f t="shared" si="293"/>
        <v>0</v>
      </c>
      <c r="IP160" s="62">
        <f t="shared" si="438"/>
        <v>0</v>
      </c>
    </row>
    <row r="161" spans="9:250">
      <c r="I161" s="2">
        <f t="shared" si="369"/>
        <v>2156</v>
      </c>
      <c r="J161" s="379">
        <f t="shared" si="508"/>
        <v>469331.34651022061</v>
      </c>
      <c r="K161" s="2">
        <f t="shared" si="370"/>
        <v>137</v>
      </c>
      <c r="L161" s="57">
        <f t="shared" si="500"/>
        <v>189082</v>
      </c>
      <c r="M161" s="62">
        <f t="shared" si="501"/>
        <v>3097.332148273611</v>
      </c>
      <c r="N161" s="2">
        <f t="shared" si="371"/>
        <v>136</v>
      </c>
      <c r="O161" s="57">
        <f t="shared" si="509"/>
        <v>293489</v>
      </c>
      <c r="P161" s="62">
        <f t="shared" si="510"/>
        <v>5003.814492583454</v>
      </c>
      <c r="Q161" s="2">
        <f t="shared" si="372"/>
        <v>135</v>
      </c>
      <c r="R161" s="57">
        <f t="shared" si="515"/>
        <v>283523</v>
      </c>
      <c r="S161" s="62">
        <f t="shared" si="516"/>
        <v>5031.1752697445736</v>
      </c>
      <c r="T161" s="2">
        <f t="shared" si="373"/>
        <v>134</v>
      </c>
      <c r="U161" s="57">
        <f t="shared" si="523"/>
        <v>143321</v>
      </c>
      <c r="V161" s="62">
        <f t="shared" si="524"/>
        <v>2647.0537526236803</v>
      </c>
      <c r="W161" s="2">
        <f t="shared" si="374"/>
        <v>133</v>
      </c>
      <c r="X161" s="57">
        <f t="shared" si="529"/>
        <v>227851</v>
      </c>
      <c r="Y161" s="62">
        <f t="shared" si="530"/>
        <v>4380.0155157190438</v>
      </c>
      <c r="Z161" s="2">
        <f t="shared" si="376"/>
        <v>132</v>
      </c>
      <c r="AA161" s="57">
        <f t="shared" si="537"/>
        <v>238727</v>
      </c>
      <c r="AB161" s="62">
        <f t="shared" si="538"/>
        <v>4776.370745574829</v>
      </c>
      <c r="AC161" s="2">
        <f t="shared" si="377"/>
        <v>131</v>
      </c>
      <c r="AD161" s="57">
        <f t="shared" si="543"/>
        <v>250122</v>
      </c>
      <c r="AE161" s="62">
        <f t="shared" si="544"/>
        <v>5208.5898610345457</v>
      </c>
      <c r="AF161" s="2">
        <f t="shared" si="378"/>
        <v>130</v>
      </c>
      <c r="AG161" s="57">
        <f>$E$30</f>
        <v>262060</v>
      </c>
      <c r="AH161" s="62">
        <f>SUM($G$10*$G$11*AG161*(EXP(-($G$10*AF161))),$G$10*$G$11*AG161*(EXP(-($G$10*(AF161+0.1)))),$G$10*$G$11*AG161*(EXP(-($G$10*(AF161+0.2)))),$G$10*$G$11*AG161*(EXP(-($G$10*(AF161+0.3)))),$G$10*$G$11*AG161*(EXP(-($G$10*(AF161+0.4)))),$G$10*$G$11*AG161*(EXP(-($G$10*(AF161+0.5)))),$G$10*$G$11*AG161*(EXP(-($G$10*(AF161+0.6)))),$G$10*$G$11*AG161*(EXP(-($G$10*(AF161+0.7)))),$G$10*$G$11*AG161*(EXP(-($G$10*(AF161+0.8)))),$G$10*$G$11*AG161*(EXP(-($G$10*(AF161+0.9)))))/10</f>
        <v>5679.9012408496974</v>
      </c>
      <c r="AI161" s="2">
        <f t="shared" si="379"/>
        <v>129</v>
      </c>
      <c r="AJ161" s="57">
        <f>$E$31</f>
        <v>274569</v>
      </c>
      <c r="AK161" s="62">
        <f>SUM($G$10*$G$11*AJ161*(EXP(-($G$10*AI161))),$G$10*$G$11*AJ161*(EXP(-($G$10*(AI161+0.1)))),$G$10*$G$11*AJ161*(EXP(-($G$10*(AI161+0.2)))),$G$10*$G$11*AJ161*(EXP(-($G$10*(AI161+0.3)))),$G$10*$G$11*AJ161*(EXP(-($G$10*(AI161+0.4)))),$G$10*$G$11*AJ161*(EXP(-($G$10*(AI161+0.5)))),$G$10*$G$11*AJ161*(EXP(-($G$10*(AI161+0.6)))),$G$10*$G$11*AJ161*(EXP(-($G$10*(AI161+0.7)))),$G$10*$G$11*AJ161*(EXP(-($G$10*(AI161+0.8)))),$G$10*$G$11*AJ161*(EXP(-($G$10*(AI161+0.9)))))/10</f>
        <v>6193.8877295814882</v>
      </c>
      <c r="AL161" s="2">
        <f t="shared" si="380"/>
        <v>128</v>
      </c>
      <c r="AM161" s="57">
        <f>$E$32</f>
        <v>287675</v>
      </c>
      <c r="AN161" s="62">
        <f>SUM($G$10*$G$11*AM161*(EXP(-($G$10*AL161))),$G$10*$G$11*AM161*(EXP(-($G$10*(AL161+0.1)))),$G$10*$G$11*AM161*(EXP(-($G$10*(AL161+0.2)))),$G$10*$G$11*AM161*(EXP(-($G$10*(AL161+0.3)))),$G$10*$G$11*AM161*(EXP(-($G$10*(AL161+0.4)))),$G$10*$G$11*AM161*(EXP(-($G$10*(AL161+0.5)))),$G$10*$G$11*AM161*(EXP(-($G$10*(AL161+0.6)))),$G$10*$G$11*AM161*(EXP(-($G$10*(AL161+0.7)))),$G$10*$G$11*AM161*(EXP(-($G$10*(AL161+0.8)))),$G$10*$G$11*AM161*(EXP(-($G$10*(AL161+0.9)))))/10</f>
        <v>6754.3836987310742</v>
      </c>
      <c r="AO161" s="2">
        <f t="shared" si="381"/>
        <v>127</v>
      </c>
      <c r="AP161" s="57">
        <f t="shared" si="260"/>
        <v>301406</v>
      </c>
      <c r="AQ161" s="62">
        <f t="shared" si="414"/>
        <v>7365.5855658987275</v>
      </c>
      <c r="AR161" s="2">
        <f t="shared" si="382"/>
        <v>126</v>
      </c>
      <c r="AS161" s="57">
        <f t="shared" si="265"/>
        <v>315793</v>
      </c>
      <c r="AT161" s="62">
        <f t="shared" si="418"/>
        <v>8032.1103036496379</v>
      </c>
      <c r="AU161" s="2">
        <f t="shared" si="383"/>
        <v>125</v>
      </c>
      <c r="AV161" s="57">
        <f t="shared" si="271"/>
        <v>330866</v>
      </c>
      <c r="AW161" s="62">
        <f t="shared" si="422"/>
        <v>8758.9305994160241</v>
      </c>
      <c r="AX161" s="2">
        <f t="shared" si="384"/>
        <v>124</v>
      </c>
      <c r="AY161" s="57">
        <f t="shared" si="277"/>
        <v>346659</v>
      </c>
      <c r="AZ161" s="62">
        <f t="shared" si="426"/>
        <v>9551.5357021189175</v>
      </c>
      <c r="BA161" s="2">
        <f t="shared" si="385"/>
        <v>123</v>
      </c>
      <c r="BB161" s="57">
        <f t="shared" si="284"/>
        <v>363206</v>
      </c>
      <c r="BC161" s="62">
        <f t="shared" si="430"/>
        <v>10415.869188145802</v>
      </c>
      <c r="BD161" s="2">
        <f t="shared" si="386"/>
        <v>122</v>
      </c>
      <c r="BE161" s="57">
        <f t="shared" si="289"/>
        <v>380542</v>
      </c>
      <c r="BF161" s="62">
        <f t="shared" si="435"/>
        <v>11358.392664927747</v>
      </c>
      <c r="BG161" s="2">
        <f t="shared" si="387"/>
        <v>121</v>
      </c>
      <c r="BH161" s="57">
        <f t="shared" si="296"/>
        <v>398706</v>
      </c>
      <c r="BI161" s="62">
        <f t="shared" si="439"/>
        <v>12386.221227061667</v>
      </c>
      <c r="BJ161" s="2">
        <f t="shared" si="388"/>
        <v>120</v>
      </c>
      <c r="BK161" s="57">
        <f t="shared" si="300"/>
        <v>417737</v>
      </c>
      <c r="BL161" s="62">
        <f t="shared" si="441"/>
        <v>13507.058600968099</v>
      </c>
      <c r="BM161" s="2">
        <f t="shared" si="389"/>
        <v>119</v>
      </c>
      <c r="BN161" s="57">
        <f t="shared" si="304"/>
        <v>437677</v>
      </c>
      <c r="BO161" s="62">
        <f t="shared" si="445"/>
        <v>14729.341954392279</v>
      </c>
      <c r="BP161" s="2">
        <f t="shared" si="390"/>
        <v>118</v>
      </c>
      <c r="BQ161" s="57">
        <f t="shared" si="308"/>
        <v>458568</v>
      </c>
      <c r="BR161" s="62">
        <f t="shared" si="447"/>
        <v>16062.204259666745</v>
      </c>
      <c r="BS161" s="2">
        <f t="shared" si="391"/>
        <v>117</v>
      </c>
      <c r="BT161" s="57">
        <f t="shared" si="312"/>
        <v>480456</v>
      </c>
      <c r="BU161" s="62">
        <f t="shared" si="452"/>
        <v>17515.671827317972</v>
      </c>
      <c r="BV161" s="2">
        <f t="shared" si="392"/>
        <v>116</v>
      </c>
      <c r="BW161" s="57">
        <f t="shared" si="316"/>
        <v>503389</v>
      </c>
      <c r="BX161" s="62">
        <f t="shared" si="455"/>
        <v>19100.67340587507</v>
      </c>
      <c r="BY161" s="2">
        <f t="shared" si="393"/>
        <v>115</v>
      </c>
      <c r="BZ161" s="57">
        <f t="shared" si="320"/>
        <v>527417</v>
      </c>
      <c r="CA161" s="62">
        <f t="shared" si="459"/>
        <v>20829.117075771199</v>
      </c>
      <c r="CB161" s="2">
        <f t="shared" si="394"/>
        <v>114</v>
      </c>
      <c r="CC161" s="57">
        <f t="shared" si="324"/>
        <v>552592</v>
      </c>
      <c r="CD161" s="62">
        <f t="shared" si="463"/>
        <v>22713.973223127334</v>
      </c>
      <c r="CE161" s="2">
        <f t="shared" si="395"/>
        <v>113</v>
      </c>
      <c r="CF161" s="57">
        <f t="shared" si="328"/>
        <v>578968</v>
      </c>
      <c r="CG161" s="62">
        <f t="shared" si="468"/>
        <v>24769.364040212156</v>
      </c>
      <c r="CH161" s="2">
        <v>112</v>
      </c>
      <c r="CI161" s="57">
        <f t="shared" si="332"/>
        <v>606603</v>
      </c>
      <c r="CJ161" s="62">
        <f t="shared" si="472"/>
        <v>27010.74908593588</v>
      </c>
      <c r="CK161" s="2">
        <v>111</v>
      </c>
      <c r="CL161" s="57">
        <f t="shared" si="336"/>
        <v>635558</v>
      </c>
      <c r="CM161" s="62">
        <f t="shared" si="475"/>
        <v>29455.001132295478</v>
      </c>
      <c r="CN161" s="2">
        <v>110</v>
      </c>
      <c r="CO161" s="57">
        <f t="shared" si="340"/>
        <v>665894</v>
      </c>
      <c r="CP161" s="62">
        <f t="shared" si="480"/>
        <v>32120.384474416856</v>
      </c>
      <c r="CQ161" s="2">
        <v>109</v>
      </c>
      <c r="CR161" s="57">
        <f t="shared" si="344"/>
        <v>697679</v>
      </c>
      <c r="CS161" s="62">
        <f t="shared" si="483"/>
        <v>35027.009778285443</v>
      </c>
      <c r="CT161" s="2">
        <v>108</v>
      </c>
      <c r="CU161" s="57">
        <f t="shared" si="348"/>
        <v>730980</v>
      </c>
      <c r="CV161" s="62">
        <f t="shared" si="488"/>
        <v>38196.598220411201</v>
      </c>
      <c r="CW161" s="2">
        <v>107</v>
      </c>
      <c r="CX161" s="57">
        <f t="shared" si="352"/>
        <v>765871</v>
      </c>
      <c r="CY161" s="62">
        <f t="shared" si="491"/>
        <v>41653.029725610329</v>
      </c>
      <c r="CZ161" s="2">
        <v>106</v>
      </c>
      <c r="DA161" s="57">
        <f t="shared" si="496"/>
        <v>0</v>
      </c>
      <c r="DB161" s="62">
        <f t="shared" si="497"/>
        <v>0</v>
      </c>
      <c r="DC161" s="2">
        <v>105</v>
      </c>
      <c r="DD161" s="57">
        <f t="shared" si="502"/>
        <v>0</v>
      </c>
      <c r="DE161" s="62">
        <f t="shared" si="503"/>
        <v>0</v>
      </c>
      <c r="DF161" s="2">
        <v>104</v>
      </c>
      <c r="DG161" s="57">
        <f t="shared" si="511"/>
        <v>0</v>
      </c>
      <c r="DH161" s="62">
        <f t="shared" si="512"/>
        <v>0</v>
      </c>
      <c r="DI161" s="2">
        <v>103</v>
      </c>
      <c r="DJ161" s="57">
        <f t="shared" si="517"/>
        <v>0</v>
      </c>
      <c r="DK161" s="62">
        <f t="shared" si="518"/>
        <v>0</v>
      </c>
      <c r="DL161" s="2">
        <v>102</v>
      </c>
      <c r="DM161" s="57">
        <f t="shared" si="525"/>
        <v>0</v>
      </c>
      <c r="DN161" s="62">
        <f t="shared" si="526"/>
        <v>0</v>
      </c>
      <c r="DO161" s="2">
        <v>101</v>
      </c>
      <c r="DP161" s="57">
        <f t="shared" si="531"/>
        <v>0</v>
      </c>
      <c r="DQ161" s="62">
        <f t="shared" si="532"/>
        <v>0</v>
      </c>
      <c r="DR161" s="2">
        <v>100</v>
      </c>
      <c r="DS161" s="57">
        <f t="shared" si="539"/>
        <v>0</v>
      </c>
      <c r="DT161" s="62">
        <f t="shared" si="540"/>
        <v>0</v>
      </c>
      <c r="DU161" s="2">
        <v>99</v>
      </c>
      <c r="DV161" s="57">
        <f t="shared" si="545"/>
        <v>0</v>
      </c>
      <c r="DW161" s="62">
        <f t="shared" si="546"/>
        <v>0</v>
      </c>
      <c r="DX161" s="2">
        <v>98</v>
      </c>
      <c r="DY161" s="57">
        <f>$E$62</f>
        <v>0</v>
      </c>
      <c r="DZ161" s="62">
        <f>SUM($G$10*$G$11*DY161*(EXP(-($G$10*DX161))),$G$10*$G$11*DY161*(EXP(-($G$10*(DX161+0.1)))),$G$10*$G$11*DY161*(EXP(-($G$10*(DX161+0.2)))),$G$10*$G$11*DY161*(EXP(-($G$10*(DX161+0.3)))),$G$10*$G$11*DY161*(EXP(-($G$10*(DX161+0.4)))),$G$10*$G$11*DY161*(EXP(-($G$10*(DX161+0.5)))),$G$10*$G$11*DY161*(EXP(-($G$10*(DX161+0.6)))),$G$10*$G$11*DY161*(EXP(-($G$10*(DX161+0.7)))),$G$10*$G$11*DY161*(EXP(-($G$10*(DX161+0.8)))),$G$10*$G$11*DY161*(EXP(-($G$10*(DX161+0.9)))))/10</f>
        <v>0</v>
      </c>
      <c r="EA161" s="2">
        <f t="shared" si="448"/>
        <v>97</v>
      </c>
      <c r="EB161" s="57">
        <f t="shared" si="411"/>
        <v>0</v>
      </c>
      <c r="EC161" s="62">
        <f>SUM($G$10*$G$11*EB161*(EXP(-($G$10*EA161))),$G$10*$G$11*EB161*(EXP(-($G$10*(EA161+0.1)))),$G$10*$G$11*EB161*(EXP(-($G$10*(EA161+0.2)))),$G$10*$G$11*EB161*(EXP(-($G$10*(EA161+0.3)))),$G$10*$G$11*EB161*(EXP(-($G$10*(EA161+0.4)))),$G$10*$G$11*EB161*(EXP(-($G$10*(EA161+0.5)))),$G$10*$G$11*EB161*(EXP(-($G$10*(EA161+0.6)))),$G$10*$G$11*EB161*(EXP(-($G$10*(EA161+0.7)))),$G$10*$G$11*EB161*(EXP(-($G$10*(EA161+0.8)))),$G$10*$G$11*EB161*(EXP(-($G$10*(EA161+0.9)))))/10</f>
        <v>0</v>
      </c>
      <c r="ED161" s="2">
        <f t="shared" si="453"/>
        <v>96</v>
      </c>
      <c r="EE161" s="57">
        <f t="shared" si="415"/>
        <v>0</v>
      </c>
      <c r="EF161" s="62">
        <f>SUM($G$10*$G$11*EE161*(EXP(-($G$10*ED161))),$G$10*$G$11*EE161*(EXP(-($G$10*(ED161+0.1)))),$G$10*$G$11*EE161*(EXP(-($G$10*(ED161+0.2)))),$G$10*$G$11*EE161*(EXP(-($G$10*(ED161+0.3)))),$G$10*$G$11*EE161*(EXP(-($G$10*(ED161+0.4)))),$G$10*$G$11*EE161*(EXP(-($G$10*(ED161+0.5)))),$G$10*$G$11*EE161*(EXP(-($G$10*(ED161+0.6)))),$G$10*$G$11*EE161*(EXP(-($G$10*(ED161+0.7)))),$G$10*$G$11*EE161*(EXP(-($G$10*(ED161+0.8)))),$G$10*$G$11*EE161*(EXP(-($G$10*(ED161+0.9)))))/10</f>
        <v>0</v>
      </c>
      <c r="EG161" s="2">
        <f t="shared" si="456"/>
        <v>95</v>
      </c>
      <c r="EH161" s="57">
        <f t="shared" si="419"/>
        <v>0</v>
      </c>
      <c r="EI161" s="62">
        <f t="shared" si="416"/>
        <v>0</v>
      </c>
      <c r="EJ161" s="2">
        <f t="shared" si="460"/>
        <v>94</v>
      </c>
      <c r="EK161" s="57">
        <f t="shared" si="423"/>
        <v>0</v>
      </c>
      <c r="EL161" s="62">
        <f t="shared" si="420"/>
        <v>0</v>
      </c>
      <c r="EM161" s="2">
        <f t="shared" si="464"/>
        <v>93</v>
      </c>
      <c r="EN161" s="57">
        <f t="shared" si="427"/>
        <v>0</v>
      </c>
      <c r="EO161" s="62">
        <f t="shared" si="424"/>
        <v>0</v>
      </c>
      <c r="EP161" s="2">
        <f t="shared" si="469"/>
        <v>92</v>
      </c>
      <c r="EQ161" s="57">
        <f t="shared" si="431"/>
        <v>0</v>
      </c>
      <c r="ER161" s="62">
        <f t="shared" si="428"/>
        <v>0</v>
      </c>
      <c r="ES161" s="2">
        <f t="shared" si="473"/>
        <v>91</v>
      </c>
      <c r="ET161" s="57">
        <f t="shared" si="432"/>
        <v>0</v>
      </c>
      <c r="EU161" s="62">
        <f t="shared" si="433"/>
        <v>0</v>
      </c>
      <c r="EV161" s="2">
        <f t="shared" si="476"/>
        <v>90</v>
      </c>
      <c r="EW161" s="57">
        <f t="shared" si="436"/>
        <v>0</v>
      </c>
      <c r="EX161" s="62">
        <f t="shared" si="437"/>
        <v>0</v>
      </c>
      <c r="EY161" s="2">
        <f t="shared" si="481"/>
        <v>89</v>
      </c>
      <c r="EZ161" s="57">
        <f t="shared" si="442"/>
        <v>0</v>
      </c>
      <c r="FA161" s="62">
        <f t="shared" si="440"/>
        <v>0</v>
      </c>
      <c r="FB161" s="2">
        <f t="shared" si="484"/>
        <v>88</v>
      </c>
      <c r="FC161" s="57">
        <f t="shared" si="443"/>
        <v>0</v>
      </c>
      <c r="FD161" s="62">
        <f t="shared" si="444"/>
        <v>0</v>
      </c>
      <c r="FE161" s="2">
        <f t="shared" si="489"/>
        <v>87</v>
      </c>
      <c r="FF161" s="57">
        <f t="shared" si="449"/>
        <v>0</v>
      </c>
      <c r="FG161" s="62">
        <f t="shared" si="446"/>
        <v>0</v>
      </c>
      <c r="FH161" s="2">
        <f t="shared" si="492"/>
        <v>86</v>
      </c>
      <c r="FI161" s="57">
        <f t="shared" si="450"/>
        <v>0</v>
      </c>
      <c r="FJ161" s="62">
        <f t="shared" si="451"/>
        <v>0</v>
      </c>
      <c r="FK161" s="2">
        <f t="shared" si="498"/>
        <v>85</v>
      </c>
      <c r="FL161" s="57">
        <f t="shared" si="457"/>
        <v>0</v>
      </c>
      <c r="FM161" s="62">
        <f t="shared" si="454"/>
        <v>0</v>
      </c>
      <c r="FN161" s="2">
        <f t="shared" si="504"/>
        <v>84</v>
      </c>
      <c r="FO161" s="57">
        <f t="shared" si="461"/>
        <v>0</v>
      </c>
      <c r="FP161" s="62">
        <f t="shared" si="458"/>
        <v>0</v>
      </c>
      <c r="FQ161" s="2">
        <f t="shared" si="513"/>
        <v>83</v>
      </c>
      <c r="FR161" s="57">
        <f t="shared" si="465"/>
        <v>0</v>
      </c>
      <c r="FS161" s="62">
        <f t="shared" si="462"/>
        <v>0</v>
      </c>
      <c r="FT161" s="2">
        <f t="shared" si="519"/>
        <v>82</v>
      </c>
      <c r="FU161" s="57">
        <f t="shared" si="466"/>
        <v>0</v>
      </c>
      <c r="FV161" s="62">
        <f t="shared" si="467"/>
        <v>0</v>
      </c>
      <c r="FW161" s="2">
        <f t="shared" si="527"/>
        <v>81</v>
      </c>
      <c r="FX161" s="57">
        <f t="shared" si="470"/>
        <v>0</v>
      </c>
      <c r="FY161" s="62">
        <f t="shared" si="471"/>
        <v>0</v>
      </c>
      <c r="FZ161" s="2">
        <f t="shared" si="533"/>
        <v>80</v>
      </c>
      <c r="GA161" s="57">
        <f t="shared" si="477"/>
        <v>0</v>
      </c>
      <c r="GB161" s="62">
        <f t="shared" si="474"/>
        <v>0</v>
      </c>
      <c r="GC161" s="2">
        <f t="shared" si="541"/>
        <v>79</v>
      </c>
      <c r="GD161" s="57">
        <f t="shared" si="478"/>
        <v>0</v>
      </c>
      <c r="GE161" s="62">
        <f t="shared" si="479"/>
        <v>0</v>
      </c>
      <c r="GF161" s="2">
        <f t="shared" si="547"/>
        <v>78</v>
      </c>
      <c r="GG161" s="57">
        <f t="shared" si="485"/>
        <v>0</v>
      </c>
      <c r="GH161" s="62">
        <f t="shared" si="482"/>
        <v>0</v>
      </c>
      <c r="GI161" s="2">
        <f>IF(GI160="","",(GI160+1))</f>
        <v>77</v>
      </c>
      <c r="GJ161" s="57">
        <f t="shared" si="486"/>
        <v>0</v>
      </c>
      <c r="GK161" s="62">
        <f t="shared" si="487"/>
        <v>0</v>
      </c>
      <c r="GL161" s="2">
        <f>IF(GL160="","",(GL160+1))</f>
        <v>76</v>
      </c>
      <c r="GM161" s="57">
        <f t="shared" si="493"/>
        <v>0</v>
      </c>
      <c r="GN161" s="62">
        <f t="shared" si="490"/>
        <v>0</v>
      </c>
      <c r="GO161" s="2">
        <f>IF(GO160="","",(GO160+1))</f>
        <v>75</v>
      </c>
      <c r="GP161" s="57">
        <f t="shared" si="494"/>
        <v>0</v>
      </c>
      <c r="GQ161" s="62">
        <f t="shared" si="495"/>
        <v>0</v>
      </c>
      <c r="GR161" s="2">
        <v>74</v>
      </c>
      <c r="GS161" s="57">
        <f t="shared" si="505"/>
        <v>0</v>
      </c>
      <c r="GT161" s="62">
        <f t="shared" si="499"/>
        <v>0</v>
      </c>
      <c r="GU161" s="2">
        <v>73</v>
      </c>
      <c r="GV161" s="57">
        <f t="shared" si="506"/>
        <v>0</v>
      </c>
      <c r="GW161" s="62">
        <f t="shared" si="507"/>
        <v>0</v>
      </c>
      <c r="GX161" s="2">
        <v>72</v>
      </c>
      <c r="GY161" s="57">
        <f t="shared" si="520"/>
        <v>0</v>
      </c>
      <c r="GZ161" s="62">
        <f t="shared" si="514"/>
        <v>0</v>
      </c>
      <c r="HA161" s="2">
        <v>71</v>
      </c>
      <c r="HB161" s="57">
        <f t="shared" si="521"/>
        <v>0</v>
      </c>
      <c r="HC161" s="62">
        <f t="shared" si="522"/>
        <v>0</v>
      </c>
      <c r="HD161" s="2">
        <v>70</v>
      </c>
      <c r="HE161" s="57">
        <f t="shared" si="534"/>
        <v>0</v>
      </c>
      <c r="HF161" s="62">
        <f t="shared" si="528"/>
        <v>0</v>
      </c>
      <c r="HG161" s="2">
        <v>69</v>
      </c>
      <c r="HH161" s="57">
        <f t="shared" si="535"/>
        <v>0</v>
      </c>
      <c r="HI161" s="62">
        <f t="shared" si="536"/>
        <v>0</v>
      </c>
      <c r="HJ161" s="2">
        <v>68</v>
      </c>
      <c r="HK161" s="57">
        <f t="shared" si="548"/>
        <v>0</v>
      </c>
      <c r="HL161" s="62">
        <f t="shared" si="542"/>
        <v>0</v>
      </c>
      <c r="HM161" s="2">
        <v>67</v>
      </c>
      <c r="HN161" s="57">
        <f>$E$93</f>
        <v>0</v>
      </c>
      <c r="HO161" s="62">
        <f t="shared" si="549"/>
        <v>0</v>
      </c>
      <c r="HP161" s="2">
        <v>66</v>
      </c>
      <c r="HQ161" s="57">
        <f>$E$94</f>
        <v>0</v>
      </c>
      <c r="HR161" s="62">
        <f>SUM($G$10*$G$11*HQ161*(EXP(-($G$10*HP161))),$G$10*$G$11*HQ161*(EXP(-($G$10*(HP161+0.1)))),$G$10*$G$11*HQ161*(EXP(-($G$10*(HP161+0.2)))),$G$10*$G$11*HQ161*(EXP(-($G$10*(HP161+0.3)))),$G$10*$G$11*HQ161*(EXP(-($G$10*(HP161+0.4)))),$G$10*$G$11*HQ161*(EXP(-($G$10*(HP161+0.5)))),$G$10*$G$11*HQ161*(EXP(-($G$10*(HP161+0.6)))),$G$10*$G$11*HQ161*(EXP(-($G$10*(HP161+0.7)))),$G$10*$G$11*HQ161*(EXP(-($G$10*(HP161+0.8)))),$G$10*$G$11*HQ161*(EXP(-($G$10*(HP161+0.9)))))/10</f>
        <v>0</v>
      </c>
      <c r="HS161" s="2">
        <v>65</v>
      </c>
      <c r="HT161" s="57">
        <f>$E$95</f>
        <v>0</v>
      </c>
      <c r="HU161" s="62">
        <f>SUM($G$10*$G$11*HT161*(EXP(-($G$10*HS161))),$G$10*$G$11*HT161*(EXP(-($G$10*(HS161+0.1)))),$G$10*$G$11*HT161*(EXP(-($G$10*(HS161+0.2)))),$G$10*$G$11*HT161*(EXP(-($G$10*(HS161+0.3)))),$G$10*$G$11*HT161*(EXP(-($G$10*(HS161+0.4)))),$G$10*$G$11*HT161*(EXP(-($G$10*(HS161+0.5)))),$G$10*$G$11*HT161*(EXP(-($G$10*(HS161+0.6)))),$G$10*$G$11*HT161*(EXP(-($G$10*(HS161+0.7)))),$G$10*$G$11*HT161*(EXP(-($G$10*(HS161+0.8)))),$G$10*$G$11*HT161*(EXP(-($G$10*(HS161+0.9)))))/10</f>
        <v>0</v>
      </c>
      <c r="HV161" s="2">
        <v>64</v>
      </c>
      <c r="HW161" s="57">
        <f>$E$96</f>
        <v>0</v>
      </c>
      <c r="HX161" s="62">
        <f>SUM($G$10*$G$11*HW161*(EXP(-($G$10*HV161))),$G$10*$G$11*HW161*(EXP(-($G$10*(HV161+0.1)))),$G$10*$G$11*HW161*(EXP(-($G$10*(HV161+0.2)))),$G$10*$G$11*HW161*(EXP(-($G$10*(HV161+0.3)))),$G$10*$G$11*HW161*(EXP(-($G$10*(HV161+0.4)))),$G$10*$G$11*HW161*(EXP(-($G$10*(HV161+0.5)))),$G$10*$G$11*HW161*(EXP(-($G$10*(HV161+0.6)))),$G$10*$G$11*HW161*(EXP(-($G$10*(HV161+0.7)))),$G$10*$G$11*HW161*(EXP(-($G$10*(HV161+0.8)))),$G$10*$G$11*HW161*(EXP(-($G$10*(HV161+0.9)))))/10</f>
        <v>0</v>
      </c>
      <c r="HY161" s="2">
        <v>63</v>
      </c>
      <c r="HZ161" s="57">
        <f t="shared" si="268"/>
        <v>0</v>
      </c>
      <c r="IA161" s="62">
        <f t="shared" si="417"/>
        <v>0</v>
      </c>
      <c r="IB161" s="2">
        <v>62</v>
      </c>
      <c r="IC161" s="57">
        <f t="shared" si="274"/>
        <v>0</v>
      </c>
      <c r="ID161" s="62">
        <f t="shared" si="421"/>
        <v>0</v>
      </c>
      <c r="IE161" s="2">
        <v>61</v>
      </c>
      <c r="IF161" s="57">
        <f t="shared" si="280"/>
        <v>0</v>
      </c>
      <c r="IG161" s="62">
        <f t="shared" si="425"/>
        <v>0</v>
      </c>
      <c r="IH161" s="2">
        <v>60</v>
      </c>
      <c r="II161" s="57">
        <f t="shared" si="281"/>
        <v>0</v>
      </c>
      <c r="IJ161" s="62">
        <f t="shared" si="429"/>
        <v>0</v>
      </c>
      <c r="IK161" s="2">
        <v>59</v>
      </c>
      <c r="IL161" s="57">
        <f t="shared" si="292"/>
        <v>0</v>
      </c>
      <c r="IM161" s="62">
        <f t="shared" si="434"/>
        <v>0</v>
      </c>
      <c r="IN161" s="2">
        <v>58</v>
      </c>
      <c r="IO161" s="57">
        <f t="shared" si="293"/>
        <v>0</v>
      </c>
      <c r="IP161" s="62">
        <f t="shared" si="438"/>
        <v>0</v>
      </c>
    </row>
    <row r="162" spans="9:250">
      <c r="I162" s="2">
        <f t="shared" si="369"/>
        <v>2157</v>
      </c>
      <c r="J162" s="379">
        <f t="shared" si="508"/>
        <v>450928.60119015945</v>
      </c>
      <c r="K162" s="2">
        <f t="shared" si="370"/>
        <v>138</v>
      </c>
      <c r="L162" s="57">
        <f t="shared" si="500"/>
        <v>189082</v>
      </c>
      <c r="M162" s="62">
        <f t="shared" si="501"/>
        <v>2975.8840176082631</v>
      </c>
      <c r="N162" s="2">
        <f t="shared" si="371"/>
        <v>137</v>
      </c>
      <c r="O162" s="57">
        <f t="shared" si="509"/>
        <v>293489</v>
      </c>
      <c r="P162" s="62">
        <f t="shared" si="510"/>
        <v>4807.6121199515228</v>
      </c>
      <c r="Q162" s="2">
        <f t="shared" si="372"/>
        <v>136</v>
      </c>
      <c r="R162" s="57">
        <f t="shared" si="515"/>
        <v>283523</v>
      </c>
      <c r="S162" s="62">
        <f t="shared" si="516"/>
        <v>4833.9000656949274</v>
      </c>
      <c r="T162" s="2">
        <f t="shared" si="373"/>
        <v>135</v>
      </c>
      <c r="U162" s="57">
        <f t="shared" si="523"/>
        <v>143321</v>
      </c>
      <c r="V162" s="62">
        <f t="shared" si="524"/>
        <v>2543.2612903893582</v>
      </c>
      <c r="W162" s="2">
        <f t="shared" si="374"/>
        <v>134</v>
      </c>
      <c r="X162" s="57">
        <f t="shared" si="529"/>
        <v>227851</v>
      </c>
      <c r="Y162" s="62">
        <f t="shared" si="530"/>
        <v>4208.2726508261749</v>
      </c>
      <c r="Z162" s="2">
        <f t="shared" si="376"/>
        <v>133</v>
      </c>
      <c r="AA162" s="57">
        <f t="shared" si="537"/>
        <v>238727</v>
      </c>
      <c r="AB162" s="62">
        <f t="shared" si="538"/>
        <v>4589.0865698244043</v>
      </c>
      <c r="AC162" s="2">
        <f t="shared" si="377"/>
        <v>132</v>
      </c>
      <c r="AD162" s="57">
        <f t="shared" si="543"/>
        <v>250122</v>
      </c>
      <c r="AE162" s="62">
        <f t="shared" si="544"/>
        <v>5004.3581313578579</v>
      </c>
      <c r="AF162" s="2">
        <f t="shared" si="378"/>
        <v>131</v>
      </c>
      <c r="AG162" s="57">
        <f>$E$30</f>
        <v>262060</v>
      </c>
      <c r="AH162" s="62">
        <f>SUM($G$10*$G$11*AG162*(EXP(-($G$10*AF162))),$G$10*$G$11*AG162*(EXP(-($G$10*(AF162+0.1)))),$G$10*$G$11*AG162*(EXP(-($G$10*(AF162+0.2)))),$G$10*$G$11*AG162*(EXP(-($G$10*(AF162+0.3)))),$G$10*$G$11*AG162*(EXP(-($G$10*(AF162+0.4)))),$G$10*$G$11*AG162*(EXP(-($G$10*(AF162+0.5)))),$G$10*$G$11*AG162*(EXP(-($G$10*(AF162+0.6)))),$G$10*$G$11*AG162*(EXP(-($G$10*(AF162+0.7)))),$G$10*$G$11*AG162*(EXP(-($G$10*(AF162+0.8)))),$G$10*$G$11*AG162*(EXP(-($G$10*(AF162+0.9)))))/10</f>
        <v>5457.1891276365659</v>
      </c>
      <c r="AI162" s="2">
        <f t="shared" si="379"/>
        <v>130</v>
      </c>
      <c r="AJ162" s="57">
        <f>$E$31</f>
        <v>274569</v>
      </c>
      <c r="AK162" s="62">
        <f>SUM($G$10*$G$11*AJ162*(EXP(-($G$10*AI162))),$G$10*$G$11*AJ162*(EXP(-($G$10*(AI162+0.1)))),$G$10*$G$11*AJ162*(EXP(-($G$10*(AI162+0.2)))),$G$10*$G$11*AJ162*(EXP(-($G$10*(AI162+0.3)))),$G$10*$G$11*AJ162*(EXP(-($G$10*(AI162+0.4)))),$G$10*$G$11*AJ162*(EXP(-($G$10*(AI162+0.5)))),$G$10*$G$11*AJ162*(EXP(-($G$10*(AI162+0.6)))),$G$10*$G$11*AJ162*(EXP(-($G$10*(AI162+0.7)))),$G$10*$G$11*AJ162*(EXP(-($G$10*(AI162+0.8)))),$G$10*$G$11*AJ162*(EXP(-($G$10*(AI162+0.9)))))/10</f>
        <v>5951.021917877054</v>
      </c>
      <c r="AL162" s="2">
        <f t="shared" si="380"/>
        <v>129</v>
      </c>
      <c r="AM162" s="57">
        <f>$E$32</f>
        <v>287675</v>
      </c>
      <c r="AN162" s="62">
        <f>SUM($G$10*$G$11*AM162*(EXP(-($G$10*AL162))),$G$10*$G$11*AM162*(EXP(-($G$10*(AL162+0.1)))),$G$10*$G$11*AM162*(EXP(-($G$10*(AL162+0.2)))),$G$10*$G$11*AM162*(EXP(-($G$10*(AL162+0.3)))),$G$10*$G$11*AM162*(EXP(-($G$10*(AL162+0.4)))),$G$10*$G$11*AM162*(EXP(-($G$10*(AL162+0.5)))),$G$10*$G$11*AM162*(EXP(-($G$10*(AL162+0.6)))),$G$10*$G$11*AM162*(EXP(-($G$10*(AL162+0.7)))),$G$10*$G$11*AM162*(EXP(-($G$10*(AL162+0.8)))),$G$10*$G$11*AM162*(EXP(-($G$10*(AL162+0.9)))))/10</f>
        <v>6489.5405257234215</v>
      </c>
      <c r="AO162" s="2">
        <f t="shared" si="381"/>
        <v>128</v>
      </c>
      <c r="AP162" s="57">
        <f>$E$33</f>
        <v>301406</v>
      </c>
      <c r="AQ162" s="62">
        <f>SUM($G$10*$G$11*AP162*(EXP(-($G$10*AO162))),$G$10*$G$11*AP162*(EXP(-($G$10*(AO162+0.1)))),$G$10*$G$11*AP162*(EXP(-($G$10*(AO162+0.2)))),$G$10*$G$11*AP162*(EXP(-($G$10*(AO162+0.3)))),$G$10*$G$11*AP162*(EXP(-($G$10*(AO162+0.4)))),$G$10*$G$11*AP162*(EXP(-($G$10*(AO162+0.5)))),$G$10*$G$11*AP162*(EXP(-($G$10*(AO162+0.6)))),$G$10*$G$11*AP162*(EXP(-($G$10*(AO162+0.7)))),$G$10*$G$11*AP162*(EXP(-($G$10*(AO162+0.8)))),$G$10*$G$11*AP162*(EXP(-($G$10*(AO162+0.9)))))/10</f>
        <v>7076.7768248882876</v>
      </c>
      <c r="AR162" s="2">
        <f t="shared" si="382"/>
        <v>127</v>
      </c>
      <c r="AS162" s="57">
        <f t="shared" si="265"/>
        <v>315793</v>
      </c>
      <c r="AT162" s="62">
        <f t="shared" si="418"/>
        <v>7717.166753853131</v>
      </c>
      <c r="AU162" s="2">
        <f t="shared" si="383"/>
        <v>126</v>
      </c>
      <c r="AV162" s="57">
        <f t="shared" si="271"/>
        <v>330866</v>
      </c>
      <c r="AW162" s="62">
        <f t="shared" si="422"/>
        <v>8415.4880181870449</v>
      </c>
      <c r="AX162" s="2">
        <f t="shared" si="384"/>
        <v>125</v>
      </c>
      <c r="AY162" s="57">
        <f t="shared" si="277"/>
        <v>346659</v>
      </c>
      <c r="AZ162" s="62">
        <f t="shared" si="426"/>
        <v>9177.0146302822268</v>
      </c>
      <c r="BA162" s="2">
        <f t="shared" si="385"/>
        <v>124</v>
      </c>
      <c r="BB162" s="57">
        <f t="shared" si="284"/>
        <v>363206</v>
      </c>
      <c r="BC162" s="62">
        <f t="shared" si="430"/>
        <v>10007.457115562567</v>
      </c>
      <c r="BD162" s="2">
        <f t="shared" si="386"/>
        <v>123</v>
      </c>
      <c r="BE162" s="57">
        <f t="shared" si="289"/>
        <v>380542</v>
      </c>
      <c r="BF162" s="62">
        <f t="shared" si="435"/>
        <v>10913.023718207793</v>
      </c>
      <c r="BG162" s="2">
        <f t="shared" si="387"/>
        <v>122</v>
      </c>
      <c r="BH162" s="57">
        <f t="shared" si="296"/>
        <v>398706</v>
      </c>
      <c r="BI162" s="62">
        <f t="shared" si="439"/>
        <v>11900.550545965183</v>
      </c>
      <c r="BJ162" s="2">
        <f t="shared" si="388"/>
        <v>121</v>
      </c>
      <c r="BK162" s="57">
        <f t="shared" si="300"/>
        <v>417737</v>
      </c>
      <c r="BL162" s="62">
        <f t="shared" si="441"/>
        <v>12977.439257821703</v>
      </c>
      <c r="BM162" s="2">
        <f t="shared" si="389"/>
        <v>120</v>
      </c>
      <c r="BN162" s="57">
        <f t="shared" si="304"/>
        <v>437677</v>
      </c>
      <c r="BO162" s="62">
        <f t="shared" si="445"/>
        <v>14151.796195443341</v>
      </c>
      <c r="BP162" s="2">
        <f t="shared" si="390"/>
        <v>119</v>
      </c>
      <c r="BQ162" s="57">
        <f t="shared" si="308"/>
        <v>458568</v>
      </c>
      <c r="BR162" s="62">
        <f t="shared" si="447"/>
        <v>15432.396222195268</v>
      </c>
      <c r="BS162" s="2">
        <f t="shared" si="391"/>
        <v>118</v>
      </c>
      <c r="BT162" s="57">
        <f t="shared" si="312"/>
        <v>480456</v>
      </c>
      <c r="BU162" s="62">
        <f t="shared" si="452"/>
        <v>16828.872511344984</v>
      </c>
      <c r="BV162" s="2">
        <f t="shared" si="392"/>
        <v>117</v>
      </c>
      <c r="BW162" s="57">
        <f t="shared" si="316"/>
        <v>503389</v>
      </c>
      <c r="BX162" s="62">
        <f t="shared" si="455"/>
        <v>18351.7252890624</v>
      </c>
      <c r="BY162" s="2">
        <f t="shared" si="393"/>
        <v>116</v>
      </c>
      <c r="BZ162" s="57">
        <f t="shared" si="320"/>
        <v>527417</v>
      </c>
      <c r="CA162" s="62">
        <f t="shared" si="459"/>
        <v>20012.395713268292</v>
      </c>
      <c r="CB162" s="2">
        <f t="shared" si="394"/>
        <v>115</v>
      </c>
      <c r="CC162" s="57">
        <f t="shared" si="324"/>
        <v>552592</v>
      </c>
      <c r="CD162" s="62">
        <f t="shared" si="463"/>
        <v>21823.345593969399</v>
      </c>
      <c r="CE162" s="2">
        <f t="shared" si="395"/>
        <v>114</v>
      </c>
      <c r="CF162" s="57">
        <f t="shared" si="328"/>
        <v>578968</v>
      </c>
      <c r="CG162" s="62">
        <f t="shared" si="468"/>
        <v>23798.143384355164</v>
      </c>
      <c r="CH162" s="2">
        <v>113</v>
      </c>
      <c r="CI162" s="57">
        <f t="shared" si="332"/>
        <v>606603</v>
      </c>
      <c r="CJ162" s="62">
        <f t="shared" si="472"/>
        <v>25951.642465360463</v>
      </c>
      <c r="CK162" s="2">
        <v>112</v>
      </c>
      <c r="CL162" s="57">
        <f t="shared" si="336"/>
        <v>635558</v>
      </c>
      <c r="CM162" s="62">
        <f t="shared" si="475"/>
        <v>28300.054018129216</v>
      </c>
      <c r="CN162" s="2">
        <v>111</v>
      </c>
      <c r="CO162" s="57">
        <f t="shared" si="340"/>
        <v>665894</v>
      </c>
      <c r="CP162" s="62">
        <f t="shared" si="480"/>
        <v>30860.926184531952</v>
      </c>
      <c r="CQ162" s="2">
        <v>110</v>
      </c>
      <c r="CR162" s="57">
        <f t="shared" si="344"/>
        <v>697679</v>
      </c>
      <c r="CS162" s="62">
        <f t="shared" si="483"/>
        <v>33653.581080061813</v>
      </c>
      <c r="CT162" s="2">
        <v>109</v>
      </c>
      <c r="CU162" s="57">
        <f t="shared" si="348"/>
        <v>730980</v>
      </c>
      <c r="CV162" s="62">
        <f t="shared" si="488"/>
        <v>36698.888181715505</v>
      </c>
      <c r="CW162" s="2">
        <v>108</v>
      </c>
      <c r="CX162" s="57">
        <f t="shared" si="352"/>
        <v>765871</v>
      </c>
      <c r="CY162" s="62">
        <f t="shared" si="491"/>
        <v>40019.791069064195</v>
      </c>
      <c r="CZ162" s="2">
        <v>107</v>
      </c>
      <c r="DA162" s="57">
        <f t="shared" si="496"/>
        <v>0</v>
      </c>
      <c r="DB162" s="62">
        <f t="shared" si="497"/>
        <v>0</v>
      </c>
      <c r="DC162" s="2">
        <v>106</v>
      </c>
      <c r="DD162" s="57">
        <f t="shared" si="502"/>
        <v>0</v>
      </c>
      <c r="DE162" s="62">
        <f t="shared" si="503"/>
        <v>0</v>
      </c>
      <c r="DF162" s="2">
        <v>105</v>
      </c>
      <c r="DG162" s="57">
        <f t="shared" si="511"/>
        <v>0</v>
      </c>
      <c r="DH162" s="62">
        <f t="shared" si="512"/>
        <v>0</v>
      </c>
      <c r="DI162" s="2">
        <v>104</v>
      </c>
      <c r="DJ162" s="57">
        <f t="shared" si="517"/>
        <v>0</v>
      </c>
      <c r="DK162" s="62">
        <f t="shared" si="518"/>
        <v>0</v>
      </c>
      <c r="DL162" s="2">
        <v>103</v>
      </c>
      <c r="DM162" s="57">
        <f t="shared" si="525"/>
        <v>0</v>
      </c>
      <c r="DN162" s="62">
        <f t="shared" si="526"/>
        <v>0</v>
      </c>
      <c r="DO162" s="2">
        <v>102</v>
      </c>
      <c r="DP162" s="57">
        <f t="shared" si="531"/>
        <v>0</v>
      </c>
      <c r="DQ162" s="62">
        <f t="shared" si="532"/>
        <v>0</v>
      </c>
      <c r="DR162" s="2">
        <v>101</v>
      </c>
      <c r="DS162" s="57">
        <f t="shared" si="539"/>
        <v>0</v>
      </c>
      <c r="DT162" s="62">
        <f t="shared" si="540"/>
        <v>0</v>
      </c>
      <c r="DU162" s="2">
        <v>100</v>
      </c>
      <c r="DV162" s="57">
        <f t="shared" si="545"/>
        <v>0</v>
      </c>
      <c r="DW162" s="62">
        <f t="shared" si="546"/>
        <v>0</v>
      </c>
      <c r="DX162" s="2">
        <v>99</v>
      </c>
      <c r="DY162" s="57">
        <f>$E$62</f>
        <v>0</v>
      </c>
      <c r="DZ162" s="62">
        <f>SUM($G$10*$G$11*DY162*(EXP(-($G$10*DX162))),$G$10*$G$11*DY162*(EXP(-($G$10*(DX162+0.1)))),$G$10*$G$11*DY162*(EXP(-($G$10*(DX162+0.2)))),$G$10*$G$11*DY162*(EXP(-($G$10*(DX162+0.3)))),$G$10*$G$11*DY162*(EXP(-($G$10*(DX162+0.4)))),$G$10*$G$11*DY162*(EXP(-($G$10*(DX162+0.5)))),$G$10*$G$11*DY162*(EXP(-($G$10*(DX162+0.6)))),$G$10*$G$11*DY162*(EXP(-($G$10*(DX162+0.7)))),$G$10*$G$11*DY162*(EXP(-($G$10*(DX162+0.8)))),$G$10*$G$11*DY162*(EXP(-($G$10*(DX162+0.9)))))/10</f>
        <v>0</v>
      </c>
      <c r="EA162" s="2">
        <f t="shared" si="448"/>
        <v>98</v>
      </c>
      <c r="EB162" s="57">
        <f t="shared" si="411"/>
        <v>0</v>
      </c>
      <c r="EC162" s="62">
        <f>SUM($G$10*$G$11*EB162*(EXP(-($G$10*EA162))),$G$10*$G$11*EB162*(EXP(-($G$10*(EA162+0.1)))),$G$10*$G$11*EB162*(EXP(-($G$10*(EA162+0.2)))),$G$10*$G$11*EB162*(EXP(-($G$10*(EA162+0.3)))),$G$10*$G$11*EB162*(EXP(-($G$10*(EA162+0.4)))),$G$10*$G$11*EB162*(EXP(-($G$10*(EA162+0.5)))),$G$10*$G$11*EB162*(EXP(-($G$10*(EA162+0.6)))),$G$10*$G$11*EB162*(EXP(-($G$10*(EA162+0.7)))),$G$10*$G$11*EB162*(EXP(-($G$10*(EA162+0.8)))),$G$10*$G$11*EB162*(EXP(-($G$10*(EA162+0.9)))))/10</f>
        <v>0</v>
      </c>
      <c r="ED162" s="2">
        <f t="shared" si="453"/>
        <v>97</v>
      </c>
      <c r="EE162" s="57">
        <f t="shared" si="415"/>
        <v>0</v>
      </c>
      <c r="EF162" s="62">
        <f>SUM($G$10*$G$11*EE162*(EXP(-($G$10*ED162))),$G$10*$G$11*EE162*(EXP(-($G$10*(ED162+0.1)))),$G$10*$G$11*EE162*(EXP(-($G$10*(ED162+0.2)))),$G$10*$G$11*EE162*(EXP(-($G$10*(ED162+0.3)))),$G$10*$G$11*EE162*(EXP(-($G$10*(ED162+0.4)))),$G$10*$G$11*EE162*(EXP(-($G$10*(ED162+0.5)))),$G$10*$G$11*EE162*(EXP(-($G$10*(ED162+0.6)))),$G$10*$G$11*EE162*(EXP(-($G$10*(ED162+0.7)))),$G$10*$G$11*EE162*(EXP(-($G$10*(ED162+0.8)))),$G$10*$G$11*EE162*(EXP(-($G$10*(ED162+0.9)))))/10</f>
        <v>0</v>
      </c>
      <c r="EG162" s="2">
        <f t="shared" si="456"/>
        <v>96</v>
      </c>
      <c r="EH162" s="57">
        <f t="shared" si="419"/>
        <v>0</v>
      </c>
      <c r="EI162" s="62">
        <f>SUM($G$10*$G$11*EH162*(EXP(-($G$10*EG162))),$G$10*$G$11*EH162*(EXP(-($G$10*(EG162+0.1)))),$G$10*$G$11*EH162*(EXP(-($G$10*(EG162+0.2)))),$G$10*$G$11*EH162*(EXP(-($G$10*(EG162+0.3)))),$G$10*$G$11*EH162*(EXP(-($G$10*(EG162+0.4)))),$G$10*$G$11*EH162*(EXP(-($G$10*(EG162+0.5)))),$G$10*$G$11*EH162*(EXP(-($G$10*(EG162+0.6)))),$G$10*$G$11*EH162*(EXP(-($G$10*(EG162+0.7)))),$G$10*$G$11*EH162*(EXP(-($G$10*(EG162+0.8)))),$G$10*$G$11*EH162*(EXP(-($G$10*(EG162+0.9)))))/10</f>
        <v>0</v>
      </c>
      <c r="EJ162" s="2">
        <f t="shared" si="460"/>
        <v>95</v>
      </c>
      <c r="EK162" s="57">
        <f t="shared" si="423"/>
        <v>0</v>
      </c>
      <c r="EL162" s="62">
        <f t="shared" si="420"/>
        <v>0</v>
      </c>
      <c r="EM162" s="2">
        <f t="shared" si="464"/>
        <v>94</v>
      </c>
      <c r="EN162" s="57">
        <f t="shared" si="427"/>
        <v>0</v>
      </c>
      <c r="EO162" s="62">
        <f t="shared" si="424"/>
        <v>0</v>
      </c>
      <c r="EP162" s="2">
        <f t="shared" si="469"/>
        <v>93</v>
      </c>
      <c r="EQ162" s="57">
        <f t="shared" si="431"/>
        <v>0</v>
      </c>
      <c r="ER162" s="62">
        <f t="shared" si="428"/>
        <v>0</v>
      </c>
      <c r="ES162" s="2">
        <f t="shared" si="473"/>
        <v>92</v>
      </c>
      <c r="ET162" s="57">
        <f t="shared" si="432"/>
        <v>0</v>
      </c>
      <c r="EU162" s="62">
        <f t="shared" si="433"/>
        <v>0</v>
      </c>
      <c r="EV162" s="2">
        <f t="shared" si="476"/>
        <v>91</v>
      </c>
      <c r="EW162" s="57">
        <f t="shared" si="436"/>
        <v>0</v>
      </c>
      <c r="EX162" s="62">
        <f t="shared" si="437"/>
        <v>0</v>
      </c>
      <c r="EY162" s="2">
        <f t="shared" si="481"/>
        <v>90</v>
      </c>
      <c r="EZ162" s="57">
        <f t="shared" si="442"/>
        <v>0</v>
      </c>
      <c r="FA162" s="62">
        <f t="shared" si="440"/>
        <v>0</v>
      </c>
      <c r="FB162" s="2">
        <f t="shared" si="484"/>
        <v>89</v>
      </c>
      <c r="FC162" s="57">
        <f t="shared" si="443"/>
        <v>0</v>
      </c>
      <c r="FD162" s="62">
        <f t="shared" si="444"/>
        <v>0</v>
      </c>
      <c r="FE162" s="2">
        <f t="shared" si="489"/>
        <v>88</v>
      </c>
      <c r="FF162" s="57">
        <f t="shared" si="449"/>
        <v>0</v>
      </c>
      <c r="FG162" s="62">
        <f t="shared" si="446"/>
        <v>0</v>
      </c>
      <c r="FH162" s="2">
        <f t="shared" si="492"/>
        <v>87</v>
      </c>
      <c r="FI162" s="57">
        <f t="shared" si="450"/>
        <v>0</v>
      </c>
      <c r="FJ162" s="62">
        <f t="shared" si="451"/>
        <v>0</v>
      </c>
      <c r="FK162" s="2">
        <f t="shared" si="498"/>
        <v>86</v>
      </c>
      <c r="FL162" s="57">
        <f t="shared" si="457"/>
        <v>0</v>
      </c>
      <c r="FM162" s="62">
        <f t="shared" si="454"/>
        <v>0</v>
      </c>
      <c r="FN162" s="2">
        <f t="shared" si="504"/>
        <v>85</v>
      </c>
      <c r="FO162" s="57">
        <f t="shared" si="461"/>
        <v>0</v>
      </c>
      <c r="FP162" s="62">
        <f t="shared" si="458"/>
        <v>0</v>
      </c>
      <c r="FQ162" s="2">
        <f t="shared" si="513"/>
        <v>84</v>
      </c>
      <c r="FR162" s="57">
        <f t="shared" si="465"/>
        <v>0</v>
      </c>
      <c r="FS162" s="62">
        <f t="shared" si="462"/>
        <v>0</v>
      </c>
      <c r="FT162" s="2">
        <f t="shared" si="519"/>
        <v>83</v>
      </c>
      <c r="FU162" s="57">
        <f t="shared" si="466"/>
        <v>0</v>
      </c>
      <c r="FV162" s="62">
        <f t="shared" si="467"/>
        <v>0</v>
      </c>
      <c r="FW162" s="2">
        <f t="shared" si="527"/>
        <v>82</v>
      </c>
      <c r="FX162" s="57">
        <f t="shared" si="470"/>
        <v>0</v>
      </c>
      <c r="FY162" s="62">
        <f t="shared" si="471"/>
        <v>0</v>
      </c>
      <c r="FZ162" s="2">
        <f t="shared" si="533"/>
        <v>81</v>
      </c>
      <c r="GA162" s="57">
        <f t="shared" si="477"/>
        <v>0</v>
      </c>
      <c r="GB162" s="62">
        <f t="shared" si="474"/>
        <v>0</v>
      </c>
      <c r="GC162" s="2">
        <f t="shared" si="541"/>
        <v>80</v>
      </c>
      <c r="GD162" s="57">
        <f t="shared" si="478"/>
        <v>0</v>
      </c>
      <c r="GE162" s="62">
        <f t="shared" si="479"/>
        <v>0</v>
      </c>
      <c r="GF162" s="2">
        <f t="shared" si="547"/>
        <v>79</v>
      </c>
      <c r="GG162" s="57">
        <f t="shared" si="485"/>
        <v>0</v>
      </c>
      <c r="GH162" s="62">
        <f t="shared" si="482"/>
        <v>0</v>
      </c>
      <c r="GI162" s="2">
        <f>IF(GI161="","",(GI161+1))</f>
        <v>78</v>
      </c>
      <c r="GJ162" s="57">
        <f t="shared" si="486"/>
        <v>0</v>
      </c>
      <c r="GK162" s="62">
        <f t="shared" si="487"/>
        <v>0</v>
      </c>
      <c r="GL162" s="2">
        <f>IF(GL161="","",(GL161+1))</f>
        <v>77</v>
      </c>
      <c r="GM162" s="57">
        <f t="shared" si="493"/>
        <v>0</v>
      </c>
      <c r="GN162" s="62">
        <f t="shared" si="490"/>
        <v>0</v>
      </c>
      <c r="GO162" s="2">
        <f>IF(GO161="","",(GO161+1))</f>
        <v>76</v>
      </c>
      <c r="GP162" s="57">
        <f t="shared" si="494"/>
        <v>0</v>
      </c>
      <c r="GQ162" s="62">
        <f t="shared" si="495"/>
        <v>0</v>
      </c>
      <c r="GR162" s="2">
        <f>IF(GR161="","",(GR161+1))</f>
        <v>75</v>
      </c>
      <c r="GS162" s="57">
        <f t="shared" si="505"/>
        <v>0</v>
      </c>
      <c r="GT162" s="62">
        <f t="shared" si="499"/>
        <v>0</v>
      </c>
      <c r="GU162" s="2">
        <v>74</v>
      </c>
      <c r="GV162" s="57">
        <f t="shared" si="506"/>
        <v>0</v>
      </c>
      <c r="GW162" s="62">
        <f t="shared" si="507"/>
        <v>0</v>
      </c>
      <c r="GX162" s="2">
        <v>73</v>
      </c>
      <c r="GY162" s="57">
        <f t="shared" si="520"/>
        <v>0</v>
      </c>
      <c r="GZ162" s="62">
        <f t="shared" si="514"/>
        <v>0</v>
      </c>
      <c r="HA162" s="2">
        <v>72</v>
      </c>
      <c r="HB162" s="57">
        <f t="shared" si="521"/>
        <v>0</v>
      </c>
      <c r="HC162" s="62">
        <f t="shared" si="522"/>
        <v>0</v>
      </c>
      <c r="HD162" s="2">
        <v>71</v>
      </c>
      <c r="HE162" s="57">
        <f t="shared" si="534"/>
        <v>0</v>
      </c>
      <c r="HF162" s="62">
        <f t="shared" si="528"/>
        <v>0</v>
      </c>
      <c r="HG162" s="2">
        <v>70</v>
      </c>
      <c r="HH162" s="57">
        <f t="shared" si="535"/>
        <v>0</v>
      </c>
      <c r="HI162" s="62">
        <f t="shared" si="536"/>
        <v>0</v>
      </c>
      <c r="HJ162" s="2">
        <v>69</v>
      </c>
      <c r="HK162" s="57">
        <f t="shared" si="548"/>
        <v>0</v>
      </c>
      <c r="HL162" s="62">
        <f t="shared" si="542"/>
        <v>0</v>
      </c>
      <c r="HM162" s="2">
        <v>68</v>
      </c>
      <c r="HN162" s="57">
        <f>$E$93</f>
        <v>0</v>
      </c>
      <c r="HO162" s="62">
        <f t="shared" si="549"/>
        <v>0</v>
      </c>
      <c r="HP162" s="2">
        <v>67</v>
      </c>
      <c r="HQ162" s="57">
        <f>$E$94</f>
        <v>0</v>
      </c>
      <c r="HR162" s="62">
        <f>SUM($G$10*$G$11*HQ162*(EXP(-($G$10*HP162))),$G$10*$G$11*HQ162*(EXP(-($G$10*(HP162+0.1)))),$G$10*$G$11*HQ162*(EXP(-($G$10*(HP162+0.2)))),$G$10*$G$11*HQ162*(EXP(-($G$10*(HP162+0.3)))),$G$10*$G$11*HQ162*(EXP(-($G$10*(HP162+0.4)))),$G$10*$G$11*HQ162*(EXP(-($G$10*(HP162+0.5)))),$G$10*$G$11*HQ162*(EXP(-($G$10*(HP162+0.6)))),$G$10*$G$11*HQ162*(EXP(-($G$10*(HP162+0.7)))),$G$10*$G$11*HQ162*(EXP(-($G$10*(HP162+0.8)))),$G$10*$G$11*HQ162*(EXP(-($G$10*(HP162+0.9)))))/10</f>
        <v>0</v>
      </c>
      <c r="HS162" s="2">
        <v>66</v>
      </c>
      <c r="HT162" s="57">
        <f>$E$95</f>
        <v>0</v>
      </c>
      <c r="HU162" s="62">
        <f>SUM($G$10*$G$11*HT162*(EXP(-($G$10*HS162))),$G$10*$G$11*HT162*(EXP(-($G$10*(HS162+0.1)))),$G$10*$G$11*HT162*(EXP(-($G$10*(HS162+0.2)))),$G$10*$G$11*HT162*(EXP(-($G$10*(HS162+0.3)))),$G$10*$G$11*HT162*(EXP(-($G$10*(HS162+0.4)))),$G$10*$G$11*HT162*(EXP(-($G$10*(HS162+0.5)))),$G$10*$G$11*HT162*(EXP(-($G$10*(HS162+0.6)))),$G$10*$G$11*HT162*(EXP(-($G$10*(HS162+0.7)))),$G$10*$G$11*HT162*(EXP(-($G$10*(HS162+0.8)))),$G$10*$G$11*HT162*(EXP(-($G$10*(HS162+0.9)))))/10</f>
        <v>0</v>
      </c>
      <c r="HV162" s="2">
        <v>65</v>
      </c>
      <c r="HW162" s="57">
        <f>$E$96</f>
        <v>0</v>
      </c>
      <c r="HX162" s="62">
        <f>SUM($G$10*$G$11*HW162*(EXP(-($G$10*HV162))),$G$10*$G$11*HW162*(EXP(-($G$10*(HV162+0.1)))),$G$10*$G$11*HW162*(EXP(-($G$10*(HV162+0.2)))),$G$10*$G$11*HW162*(EXP(-($G$10*(HV162+0.3)))),$G$10*$G$11*HW162*(EXP(-($G$10*(HV162+0.4)))),$G$10*$G$11*HW162*(EXP(-($G$10*(HV162+0.5)))),$G$10*$G$11*HW162*(EXP(-($G$10*(HV162+0.6)))),$G$10*$G$11*HW162*(EXP(-($G$10*(HV162+0.7)))),$G$10*$G$11*HW162*(EXP(-($G$10*(HV162+0.8)))),$G$10*$G$11*HW162*(EXP(-($G$10*(HV162+0.9)))))/10</f>
        <v>0</v>
      </c>
      <c r="HY162" s="2">
        <v>64</v>
      </c>
      <c r="HZ162" s="57">
        <f t="shared" si="268"/>
        <v>0</v>
      </c>
      <c r="IA162" s="62">
        <f>SUM($G$10*$G$11*HZ162*(EXP(-($G$10*HY162))),$G$10*$G$11*HZ162*(EXP(-($G$10*(HY162+0.1)))),$G$10*$G$11*HZ162*(EXP(-($G$10*(HY162+0.2)))),$G$10*$G$11*HZ162*(EXP(-($G$10*(HY162+0.3)))),$G$10*$G$11*HZ162*(EXP(-($G$10*(HY162+0.4)))),$G$10*$G$11*HZ162*(EXP(-($G$10*(HY162+0.5)))),$G$10*$G$11*HZ162*(EXP(-($G$10*(HY162+0.6)))),$G$10*$G$11*HZ162*(EXP(-($G$10*(HY162+0.7)))),$G$10*$G$11*HZ162*(EXP(-($G$10*(HY162+0.8)))),$G$10*$G$11*HZ162*(EXP(-($G$10*(HY162+0.9)))))/10</f>
        <v>0</v>
      </c>
      <c r="IB162" s="2">
        <v>63</v>
      </c>
      <c r="IC162" s="57">
        <f t="shared" si="274"/>
        <v>0</v>
      </c>
      <c r="ID162" s="62">
        <f t="shared" si="421"/>
        <v>0</v>
      </c>
      <c r="IE162" s="2">
        <v>62</v>
      </c>
      <c r="IF162" s="57">
        <f t="shared" si="280"/>
        <v>0</v>
      </c>
      <c r="IG162" s="62">
        <f t="shared" si="425"/>
        <v>0</v>
      </c>
      <c r="IH162" s="2">
        <v>61</v>
      </c>
      <c r="II162" s="57">
        <f t="shared" si="281"/>
        <v>0</v>
      </c>
      <c r="IJ162" s="62">
        <f t="shared" si="429"/>
        <v>0</v>
      </c>
      <c r="IK162" s="2">
        <v>60</v>
      </c>
      <c r="IL162" s="57">
        <f t="shared" si="292"/>
        <v>0</v>
      </c>
      <c r="IM162" s="62">
        <f t="shared" si="434"/>
        <v>0</v>
      </c>
      <c r="IN162" s="2">
        <v>59</v>
      </c>
      <c r="IO162" s="57">
        <f t="shared" si="293"/>
        <v>0</v>
      </c>
      <c r="IP162" s="62">
        <f t="shared" si="438"/>
        <v>0</v>
      </c>
    </row>
    <row r="163" spans="9:250" ht="13.5" thickBot="1">
      <c r="I163" s="380">
        <f t="shared" si="369"/>
        <v>2158</v>
      </c>
      <c r="J163" s="425">
        <f t="shared" si="508"/>
        <v>433247.43783523492</v>
      </c>
      <c r="K163" s="380">
        <f t="shared" si="370"/>
        <v>139</v>
      </c>
      <c r="L163" s="381">
        <f t="shared" si="500"/>
        <v>189082</v>
      </c>
      <c r="M163" s="382">
        <f t="shared" si="501"/>
        <v>2859.1979362602056</v>
      </c>
      <c r="N163" s="380">
        <f t="shared" si="371"/>
        <v>138</v>
      </c>
      <c r="O163" s="381">
        <f t="shared" si="509"/>
        <v>293489</v>
      </c>
      <c r="P163" s="382">
        <f t="shared" si="510"/>
        <v>4619.1029523901352</v>
      </c>
      <c r="Q163" s="380">
        <f t="shared" si="372"/>
        <v>137</v>
      </c>
      <c r="R163" s="381">
        <f t="shared" si="515"/>
        <v>283523</v>
      </c>
      <c r="S163" s="382">
        <f t="shared" si="516"/>
        <v>4644.3601330374067</v>
      </c>
      <c r="T163" s="380">
        <f t="shared" si="373"/>
        <v>136</v>
      </c>
      <c r="U163" s="381">
        <f t="shared" si="523"/>
        <v>143321</v>
      </c>
      <c r="V163" s="382">
        <f t="shared" si="524"/>
        <v>2443.5385888110045</v>
      </c>
      <c r="W163" s="380">
        <f t="shared" si="374"/>
        <v>135</v>
      </c>
      <c r="X163" s="381">
        <f t="shared" si="529"/>
        <v>227851</v>
      </c>
      <c r="Y163" s="382">
        <f t="shared" si="530"/>
        <v>4043.2639199873402</v>
      </c>
      <c r="Z163" s="380">
        <f t="shared" si="376"/>
        <v>134</v>
      </c>
      <c r="AA163" s="381">
        <f t="shared" si="537"/>
        <v>238727</v>
      </c>
      <c r="AB163" s="382">
        <f t="shared" si="538"/>
        <v>4409.1459116430487</v>
      </c>
      <c r="AC163" s="380">
        <f t="shared" si="377"/>
        <v>133</v>
      </c>
      <c r="AD163" s="381">
        <f t="shared" si="543"/>
        <v>250122</v>
      </c>
      <c r="AE163" s="382">
        <f t="shared" si="544"/>
        <v>4808.1344423446844</v>
      </c>
      <c r="AF163" s="380">
        <f t="shared" si="378"/>
        <v>132</v>
      </c>
      <c r="AG163" s="381">
        <f>$E$30</f>
        <v>262060</v>
      </c>
      <c r="AH163" s="382">
        <f>SUM($G$10*$G$11*AG163*(EXP(-($G$10*AF163))),$G$10*$G$11*AG163*(EXP(-($G$10*(AF163+0.1)))),$G$10*$G$11*AG163*(EXP(-($G$10*(AF163+0.2)))),$G$10*$G$11*AG163*(EXP(-($G$10*(AF163+0.3)))),$G$10*$G$11*AG163*(EXP(-($G$10*(AF163+0.4)))),$G$10*$G$11*AG163*(EXP(-($G$10*(AF163+0.5)))),$G$10*$G$11*AG163*(EXP(-($G$10*(AF163+0.6)))),$G$10*$G$11*AG163*(EXP(-($G$10*(AF163+0.7)))),$G$10*$G$11*AG163*(EXP(-($G$10*(AF163+0.8)))),$G$10*$G$11*AG163*(EXP(-($G$10*(AF163+0.9)))))/10</f>
        <v>5243.2096812900918</v>
      </c>
      <c r="AI163" s="380">
        <f t="shared" si="379"/>
        <v>131</v>
      </c>
      <c r="AJ163" s="381">
        <f>$E$31</f>
        <v>274569</v>
      </c>
      <c r="AK163" s="382">
        <f>SUM($G$10*$G$11*AJ163*(EXP(-($G$10*AI163))),$G$10*$G$11*AJ163*(EXP(-($G$10*(AI163+0.1)))),$G$10*$G$11*AJ163*(EXP(-($G$10*(AI163+0.2)))),$G$10*$G$11*AJ163*(EXP(-($G$10*(AI163+0.3)))),$G$10*$G$11*AJ163*(EXP(-($G$10*(AI163+0.4)))),$G$10*$G$11*AJ163*(EXP(-($G$10*(AI163+0.5)))),$G$10*$G$11*AJ163*(EXP(-($G$10*(AI163+0.6)))),$G$10*$G$11*AJ163*(EXP(-($G$10*(AI163+0.7)))),$G$10*$G$11*AJ163*(EXP(-($G$10*(AI163+0.8)))),$G$10*$G$11*AJ163*(EXP(-($G$10*(AI163+0.9)))))/10</f>
        <v>5717.6790108602781</v>
      </c>
      <c r="AL163" s="380">
        <f t="shared" si="380"/>
        <v>130</v>
      </c>
      <c r="AM163" s="381">
        <f>$E$32</f>
        <v>287675</v>
      </c>
      <c r="AN163" s="382">
        <f>SUM($G$10*$G$11*AM163*(EXP(-($G$10*AL163))),$G$10*$G$11*AM163*(EXP(-($G$10*(AL163+0.1)))),$G$10*$G$11*AM163*(EXP(-($G$10*(AL163+0.2)))),$G$10*$G$11*AM163*(EXP(-($G$10*(AL163+0.3)))),$G$10*$G$11*AM163*(EXP(-($G$10*(AL163+0.4)))),$G$10*$G$11*AM163*(EXP(-($G$10*(AL163+0.5)))),$G$10*$G$11*AM163*(EXP(-($G$10*(AL163+0.6)))),$G$10*$G$11*AM163*(EXP(-($G$10*(AL163+0.7)))),$G$10*$G$11*AM163*(EXP(-($G$10*(AL163+0.8)))),$G$10*$G$11*AM163*(EXP(-($G$10*(AL163+0.9)))))/10</f>
        <v>6235.0820020660803</v>
      </c>
      <c r="AO163" s="380">
        <f t="shared" si="381"/>
        <v>129</v>
      </c>
      <c r="AP163" s="381">
        <f>$E$33</f>
        <v>301406</v>
      </c>
      <c r="AQ163" s="382">
        <f>SUM($G$10*$G$11*AP163*(EXP(-($G$10*AO163))),$G$10*$G$11*AP163*(EXP(-($G$10*(AO163+0.1)))),$G$10*$G$11*AP163*(EXP(-($G$10*(AO163+0.2)))),$G$10*$G$11*AP163*(EXP(-($G$10*(AO163+0.3)))),$G$10*$G$11*AP163*(EXP(-($G$10*(AO163+0.4)))),$G$10*$G$11*AP163*(EXP(-($G$10*(AO163+0.5)))),$G$10*$G$11*AP163*(EXP(-($G$10*(AO163+0.6)))),$G$10*$G$11*AP163*(EXP(-($G$10*(AO163+0.7)))),$G$10*$G$11*AP163*(EXP(-($G$10*(AO163+0.8)))),$G$10*$G$11*AP163*(EXP(-($G$10*(AO163+0.9)))))/10</f>
        <v>6799.2924365905756</v>
      </c>
      <c r="AR163" s="380">
        <f t="shared" si="382"/>
        <v>128</v>
      </c>
      <c r="AS163" s="381">
        <f>$E$34</f>
        <v>315793</v>
      </c>
      <c r="AT163" s="382">
        <f>SUM($G$10*$G$11*AS163*(EXP(-($G$10*AR163))),$G$10*$G$11*AS163*(EXP(-($G$10*(AR163+0.1)))),$G$10*$G$11*AS163*(EXP(-($G$10*(AR163+0.2)))),$G$10*$G$11*AS163*(EXP(-($G$10*(AR163+0.3)))),$G$10*$G$11*AS163*(EXP(-($G$10*(AR163+0.4)))),$G$10*$G$11*AS163*(EXP(-($G$10*(AR163+0.5)))),$G$10*$G$11*AS163*(EXP(-($G$10*(AR163+0.6)))),$G$10*$G$11*AS163*(EXP(-($G$10*(AR163+0.7)))),$G$10*$G$11*AS163*(EXP(-($G$10*(AR163+0.8)))),$G$10*$G$11*AS163*(EXP(-($G$10*(AR163+0.9)))))/10</f>
        <v>7414.572317279506</v>
      </c>
      <c r="AU163" s="380">
        <f t="shared" si="383"/>
        <v>127</v>
      </c>
      <c r="AV163" s="381">
        <f t="shared" si="271"/>
        <v>330866</v>
      </c>
      <c r="AW163" s="382">
        <f t="shared" si="422"/>
        <v>8085.5120131870253</v>
      </c>
      <c r="AX163" s="380">
        <f t="shared" si="384"/>
        <v>126</v>
      </c>
      <c r="AY163" s="381">
        <f t="shared" si="277"/>
        <v>346659</v>
      </c>
      <c r="AZ163" s="382">
        <f t="shared" si="426"/>
        <v>8817.1787397215267</v>
      </c>
      <c r="BA163" s="380">
        <f t="shared" si="385"/>
        <v>125</v>
      </c>
      <c r="BB163" s="381">
        <f t="shared" si="284"/>
        <v>363206</v>
      </c>
      <c r="BC163" s="382">
        <f t="shared" si="430"/>
        <v>9615.0591094022857</v>
      </c>
      <c r="BD163" s="380">
        <f t="shared" si="386"/>
        <v>124</v>
      </c>
      <c r="BE163" s="381">
        <f t="shared" si="289"/>
        <v>380542</v>
      </c>
      <c r="BF163" s="382">
        <f t="shared" si="435"/>
        <v>10485.117937672865</v>
      </c>
      <c r="BG163" s="380">
        <f t="shared" si="387"/>
        <v>123</v>
      </c>
      <c r="BH163" s="381">
        <f t="shared" si="296"/>
        <v>398706</v>
      </c>
      <c r="BI163" s="382">
        <f t="shared" si="439"/>
        <v>11433.923284661761</v>
      </c>
      <c r="BJ163" s="380">
        <f t="shared" si="388"/>
        <v>122</v>
      </c>
      <c r="BK163" s="381">
        <f t="shared" si="300"/>
        <v>417737</v>
      </c>
      <c r="BL163" s="382">
        <f t="shared" si="441"/>
        <v>12468.586586155858</v>
      </c>
      <c r="BM163" s="380">
        <f t="shared" si="389"/>
        <v>121</v>
      </c>
      <c r="BN163" s="381">
        <f t="shared" si="304"/>
        <v>437677</v>
      </c>
      <c r="BO163" s="382">
        <f t="shared" si="445"/>
        <v>13596.89632961799</v>
      </c>
      <c r="BP163" s="380">
        <f t="shared" si="390"/>
        <v>120</v>
      </c>
      <c r="BQ163" s="381">
        <f t="shared" si="308"/>
        <v>458568</v>
      </c>
      <c r="BR163" s="382">
        <f t="shared" si="447"/>
        <v>14827.28331109942</v>
      </c>
      <c r="BS163" s="380">
        <f t="shared" si="391"/>
        <v>119</v>
      </c>
      <c r="BT163" s="381">
        <f t="shared" si="312"/>
        <v>480456</v>
      </c>
      <c r="BU163" s="382">
        <f t="shared" si="452"/>
        <v>16169.002981741094</v>
      </c>
      <c r="BV163" s="380">
        <f t="shared" si="392"/>
        <v>118</v>
      </c>
      <c r="BW163" s="381">
        <f t="shared" si="316"/>
        <v>503389</v>
      </c>
      <c r="BX163" s="382">
        <f t="shared" si="455"/>
        <v>17632.143847955773</v>
      </c>
      <c r="BY163" s="380">
        <f t="shared" si="393"/>
        <v>117</v>
      </c>
      <c r="BZ163" s="381">
        <f t="shared" si="320"/>
        <v>527417</v>
      </c>
      <c r="CA163" s="382">
        <f t="shared" si="459"/>
        <v>19227.698453445395</v>
      </c>
      <c r="CB163" s="380">
        <f t="shared" si="394"/>
        <v>116</v>
      </c>
      <c r="CC163" s="381">
        <f t="shared" si="324"/>
        <v>552592</v>
      </c>
      <c r="CD163" s="382">
        <f t="shared" si="463"/>
        <v>20967.639973657184</v>
      </c>
      <c r="CE163" s="380">
        <f t="shared" si="395"/>
        <v>115</v>
      </c>
      <c r="CF163" s="381">
        <f t="shared" si="328"/>
        <v>578968</v>
      </c>
      <c r="CG163" s="382">
        <f t="shared" si="468"/>
        <v>22865.004835121163</v>
      </c>
      <c r="CH163" s="380">
        <v>114</v>
      </c>
      <c r="CI163" s="381">
        <f t="shared" si="332"/>
        <v>606603</v>
      </c>
      <c r="CJ163" s="382">
        <f t="shared" si="472"/>
        <v>24934.064009375288</v>
      </c>
      <c r="CK163" s="380">
        <v>113</v>
      </c>
      <c r="CL163" s="381">
        <f t="shared" si="336"/>
        <v>635558</v>
      </c>
      <c r="CM163" s="382">
        <f t="shared" si="475"/>
        <v>27190.393028058821</v>
      </c>
      <c r="CN163" s="380">
        <v>112</v>
      </c>
      <c r="CO163" s="381">
        <f t="shared" si="340"/>
        <v>665894</v>
      </c>
      <c r="CP163" s="382">
        <f t="shared" si="480"/>
        <v>29650.851960557706</v>
      </c>
      <c r="CQ163" s="380">
        <v>111</v>
      </c>
      <c r="CR163" s="381">
        <f t="shared" si="344"/>
        <v>697679</v>
      </c>
      <c r="CS163" s="382">
        <f t="shared" si="483"/>
        <v>32334.005291379814</v>
      </c>
      <c r="CT163" s="380">
        <v>110</v>
      </c>
      <c r="CU163" s="381">
        <f t="shared" si="348"/>
        <v>730980</v>
      </c>
      <c r="CV163" s="382">
        <f t="shared" si="488"/>
        <v>35259.904193624257</v>
      </c>
      <c r="CW163" s="380">
        <v>109</v>
      </c>
      <c r="CX163" s="381">
        <f t="shared" si="352"/>
        <v>765871</v>
      </c>
      <c r="CY163" s="382">
        <f t="shared" si="491"/>
        <v>38450.592616239344</v>
      </c>
      <c r="CZ163" s="380">
        <v>108</v>
      </c>
      <c r="DA163" s="381">
        <f t="shared" si="496"/>
        <v>0</v>
      </c>
      <c r="DB163" s="382">
        <f t="shared" si="497"/>
        <v>0</v>
      </c>
      <c r="DC163" s="380">
        <v>107</v>
      </c>
      <c r="DD163" s="381">
        <f t="shared" si="502"/>
        <v>0</v>
      </c>
      <c r="DE163" s="382">
        <f t="shared" si="503"/>
        <v>0</v>
      </c>
      <c r="DF163" s="380">
        <v>106</v>
      </c>
      <c r="DG163" s="381">
        <f t="shared" si="511"/>
        <v>0</v>
      </c>
      <c r="DH163" s="382">
        <f t="shared" si="512"/>
        <v>0</v>
      </c>
      <c r="DI163" s="380">
        <v>105</v>
      </c>
      <c r="DJ163" s="381">
        <f t="shared" si="517"/>
        <v>0</v>
      </c>
      <c r="DK163" s="382">
        <f t="shared" si="518"/>
        <v>0</v>
      </c>
      <c r="DL163" s="380">
        <v>104</v>
      </c>
      <c r="DM163" s="381">
        <f t="shared" si="525"/>
        <v>0</v>
      </c>
      <c r="DN163" s="382">
        <f t="shared" si="526"/>
        <v>0</v>
      </c>
      <c r="DO163" s="380">
        <v>103</v>
      </c>
      <c r="DP163" s="381">
        <f t="shared" si="531"/>
        <v>0</v>
      </c>
      <c r="DQ163" s="382">
        <f t="shared" si="532"/>
        <v>0</v>
      </c>
      <c r="DR163" s="380">
        <v>102</v>
      </c>
      <c r="DS163" s="381">
        <f t="shared" si="539"/>
        <v>0</v>
      </c>
      <c r="DT163" s="382">
        <f t="shared" si="540"/>
        <v>0</v>
      </c>
      <c r="DU163" s="380">
        <v>101</v>
      </c>
      <c r="DV163" s="381">
        <f t="shared" si="545"/>
        <v>0</v>
      </c>
      <c r="DW163" s="382">
        <f t="shared" si="546"/>
        <v>0</v>
      </c>
      <c r="DX163" s="380">
        <v>100</v>
      </c>
      <c r="DY163" s="381">
        <f>$E$62</f>
        <v>0</v>
      </c>
      <c r="DZ163" s="382">
        <f>SUM($G$10*$G$11*DY163*(EXP(-($G$10*DX163))),$G$10*$G$11*DY163*(EXP(-($G$10*(DX163+0.1)))),$G$10*$G$11*DY163*(EXP(-($G$10*(DX163+0.2)))),$G$10*$G$11*DY163*(EXP(-($G$10*(DX163+0.3)))),$G$10*$G$11*DY163*(EXP(-($G$10*(DX163+0.4)))),$G$10*$G$11*DY163*(EXP(-($G$10*(DX163+0.5)))),$G$10*$G$11*DY163*(EXP(-($G$10*(DX163+0.6)))),$G$10*$G$11*DY163*(EXP(-($G$10*(DX163+0.7)))),$G$10*$G$11*DY163*(EXP(-($G$10*(DX163+0.8)))),$G$10*$G$11*DY163*(EXP(-($G$10*(DX163+0.9)))))/10</f>
        <v>0</v>
      </c>
      <c r="EA163" s="380">
        <f t="shared" si="448"/>
        <v>99</v>
      </c>
      <c r="EB163" s="381">
        <f t="shared" si="411"/>
        <v>0</v>
      </c>
      <c r="EC163" s="382">
        <f>SUM($G$10*$G$11*EB163*(EXP(-($G$10*EA163))),$G$10*$G$11*EB163*(EXP(-($G$10*(EA163+0.1)))),$G$10*$G$11*EB163*(EXP(-($G$10*(EA163+0.2)))),$G$10*$G$11*EB163*(EXP(-($G$10*(EA163+0.3)))),$G$10*$G$11*EB163*(EXP(-($G$10*(EA163+0.4)))),$G$10*$G$11*EB163*(EXP(-($G$10*(EA163+0.5)))),$G$10*$G$11*EB163*(EXP(-($G$10*(EA163+0.6)))),$G$10*$G$11*EB163*(EXP(-($G$10*(EA163+0.7)))),$G$10*$G$11*EB163*(EXP(-($G$10*(EA163+0.8)))),$G$10*$G$11*EB163*(EXP(-($G$10*(EA163+0.9)))))/10</f>
        <v>0</v>
      </c>
      <c r="ED163" s="380">
        <f t="shared" si="453"/>
        <v>98</v>
      </c>
      <c r="EE163" s="381">
        <f t="shared" si="415"/>
        <v>0</v>
      </c>
      <c r="EF163" s="382">
        <f>SUM($G$10*$G$11*EE163*(EXP(-($G$10*ED163))),$G$10*$G$11*EE163*(EXP(-($G$10*(ED163+0.1)))),$G$10*$G$11*EE163*(EXP(-($G$10*(ED163+0.2)))),$G$10*$G$11*EE163*(EXP(-($G$10*(ED163+0.3)))),$G$10*$G$11*EE163*(EXP(-($G$10*(ED163+0.4)))),$G$10*$G$11*EE163*(EXP(-($G$10*(ED163+0.5)))),$G$10*$G$11*EE163*(EXP(-($G$10*(ED163+0.6)))),$G$10*$G$11*EE163*(EXP(-($G$10*(ED163+0.7)))),$G$10*$G$11*EE163*(EXP(-($G$10*(ED163+0.8)))),$G$10*$G$11*EE163*(EXP(-($G$10*(ED163+0.9)))))/10</f>
        <v>0</v>
      </c>
      <c r="EG163" s="380">
        <f t="shared" si="456"/>
        <v>97</v>
      </c>
      <c r="EH163" s="381">
        <f t="shared" si="419"/>
        <v>0</v>
      </c>
      <c r="EI163" s="382">
        <f>SUM($G$10*$G$11*EH163*(EXP(-($G$10*EG163))),$G$10*$G$11*EH163*(EXP(-($G$10*(EG163+0.1)))),$G$10*$G$11*EH163*(EXP(-($G$10*(EG163+0.2)))),$G$10*$G$11*EH163*(EXP(-($G$10*(EG163+0.3)))),$G$10*$G$11*EH163*(EXP(-($G$10*(EG163+0.4)))),$G$10*$G$11*EH163*(EXP(-($G$10*(EG163+0.5)))),$G$10*$G$11*EH163*(EXP(-($G$10*(EG163+0.6)))),$G$10*$G$11*EH163*(EXP(-($G$10*(EG163+0.7)))),$G$10*$G$11*EH163*(EXP(-($G$10*(EG163+0.8)))),$G$10*$G$11*EH163*(EXP(-($G$10*(EG163+0.9)))))/10</f>
        <v>0</v>
      </c>
      <c r="EJ163" s="380">
        <f t="shared" si="460"/>
        <v>96</v>
      </c>
      <c r="EK163" s="381">
        <f t="shared" si="423"/>
        <v>0</v>
      </c>
      <c r="EL163" s="382">
        <f>SUM($G$10*$G$11*EK163*(EXP(-($G$10*EJ163))),$G$10*$G$11*EK163*(EXP(-($G$10*(EJ163+0.1)))),$G$10*$G$11*EK163*(EXP(-($G$10*(EJ163+0.2)))),$G$10*$G$11*EK163*(EXP(-($G$10*(EJ163+0.3)))),$G$10*$G$11*EK163*(EXP(-($G$10*(EJ163+0.4)))),$G$10*$G$11*EK163*(EXP(-($G$10*(EJ163+0.5)))),$G$10*$G$11*EK163*(EXP(-($G$10*(EJ163+0.6)))),$G$10*$G$11*EK163*(EXP(-($G$10*(EJ163+0.7)))),$G$10*$G$11*EK163*(EXP(-($G$10*(EJ163+0.8)))),$G$10*$G$11*EK163*(EXP(-($G$10*(EJ163+0.9)))))/10</f>
        <v>0</v>
      </c>
      <c r="EM163" s="380">
        <f t="shared" si="464"/>
        <v>95</v>
      </c>
      <c r="EN163" s="381">
        <f t="shared" si="427"/>
        <v>0</v>
      </c>
      <c r="EO163" s="382">
        <f t="shared" si="424"/>
        <v>0</v>
      </c>
      <c r="EP163" s="380">
        <f t="shared" si="469"/>
        <v>94</v>
      </c>
      <c r="EQ163" s="381">
        <f t="shared" si="431"/>
        <v>0</v>
      </c>
      <c r="ER163" s="382">
        <f t="shared" si="428"/>
        <v>0</v>
      </c>
      <c r="ES163" s="380">
        <f t="shared" si="473"/>
        <v>93</v>
      </c>
      <c r="ET163" s="381">
        <f>$E$69</f>
        <v>0</v>
      </c>
      <c r="EU163" s="382">
        <f t="shared" si="433"/>
        <v>0</v>
      </c>
      <c r="EV163" s="380">
        <f t="shared" si="476"/>
        <v>92</v>
      </c>
      <c r="EW163" s="381">
        <f>$E$70</f>
        <v>0</v>
      </c>
      <c r="EX163" s="382">
        <f t="shared" si="437"/>
        <v>0</v>
      </c>
      <c r="EY163" s="380">
        <f t="shared" si="481"/>
        <v>91</v>
      </c>
      <c r="EZ163" s="381">
        <f t="shared" si="442"/>
        <v>0</v>
      </c>
      <c r="FA163" s="382">
        <f t="shared" si="440"/>
        <v>0</v>
      </c>
      <c r="FB163" s="380">
        <f t="shared" si="484"/>
        <v>90</v>
      </c>
      <c r="FC163" s="381">
        <f>$E$72</f>
        <v>0</v>
      </c>
      <c r="FD163" s="382">
        <f t="shared" si="444"/>
        <v>0</v>
      </c>
      <c r="FE163" s="380">
        <f t="shared" si="489"/>
        <v>89</v>
      </c>
      <c r="FF163" s="381">
        <f t="shared" si="449"/>
        <v>0</v>
      </c>
      <c r="FG163" s="382">
        <f t="shared" si="446"/>
        <v>0</v>
      </c>
      <c r="FH163" s="380">
        <f t="shared" si="492"/>
        <v>88</v>
      </c>
      <c r="FI163" s="381">
        <f>$E$74</f>
        <v>0</v>
      </c>
      <c r="FJ163" s="382">
        <f t="shared" si="451"/>
        <v>0</v>
      </c>
      <c r="FK163" s="380">
        <f t="shared" si="498"/>
        <v>87</v>
      </c>
      <c r="FL163" s="381">
        <f t="shared" si="457"/>
        <v>0</v>
      </c>
      <c r="FM163" s="382">
        <f t="shared" si="454"/>
        <v>0</v>
      </c>
      <c r="FN163" s="380">
        <f t="shared" si="504"/>
        <v>86</v>
      </c>
      <c r="FO163" s="381">
        <f>$E$76</f>
        <v>0</v>
      </c>
      <c r="FP163" s="382">
        <f t="shared" si="458"/>
        <v>0</v>
      </c>
      <c r="FQ163" s="380">
        <f t="shared" si="513"/>
        <v>85</v>
      </c>
      <c r="FR163" s="381">
        <f t="shared" si="465"/>
        <v>0</v>
      </c>
      <c r="FS163" s="382">
        <f t="shared" si="462"/>
        <v>0</v>
      </c>
      <c r="FT163" s="380">
        <f t="shared" si="519"/>
        <v>84</v>
      </c>
      <c r="FU163" s="381">
        <f>$E$78</f>
        <v>0</v>
      </c>
      <c r="FV163" s="382">
        <f t="shared" si="467"/>
        <v>0</v>
      </c>
      <c r="FW163" s="380">
        <f t="shared" si="527"/>
        <v>83</v>
      </c>
      <c r="FX163" s="381">
        <f>$E$79</f>
        <v>0</v>
      </c>
      <c r="FY163" s="382">
        <f t="shared" si="471"/>
        <v>0</v>
      </c>
      <c r="FZ163" s="380">
        <f t="shared" si="533"/>
        <v>82</v>
      </c>
      <c r="GA163" s="381">
        <f t="shared" si="477"/>
        <v>0</v>
      </c>
      <c r="GB163" s="382">
        <f t="shared" si="474"/>
        <v>0</v>
      </c>
      <c r="GC163" s="380">
        <f t="shared" si="541"/>
        <v>81</v>
      </c>
      <c r="GD163" s="381">
        <f>$E$81</f>
        <v>0</v>
      </c>
      <c r="GE163" s="382">
        <f t="shared" si="479"/>
        <v>0</v>
      </c>
      <c r="GF163" s="380">
        <f t="shared" si="547"/>
        <v>80</v>
      </c>
      <c r="GG163" s="381">
        <f t="shared" si="485"/>
        <v>0</v>
      </c>
      <c r="GH163" s="382">
        <f t="shared" si="482"/>
        <v>0</v>
      </c>
      <c r="GI163" s="380">
        <f>IF(GI162="","",(GI162+1))</f>
        <v>79</v>
      </c>
      <c r="GJ163" s="381">
        <f>$E$83</f>
        <v>0</v>
      </c>
      <c r="GK163" s="382">
        <f t="shared" si="487"/>
        <v>0</v>
      </c>
      <c r="GL163" s="380">
        <f>IF(GL162="","",(GL162+1))</f>
        <v>78</v>
      </c>
      <c r="GM163" s="381">
        <f t="shared" si="493"/>
        <v>0</v>
      </c>
      <c r="GN163" s="382">
        <f t="shared" si="490"/>
        <v>0</v>
      </c>
      <c r="GO163" s="380">
        <f>IF(GO162="","",(GO162+1))</f>
        <v>77</v>
      </c>
      <c r="GP163" s="381">
        <f>$E$85</f>
        <v>0</v>
      </c>
      <c r="GQ163" s="382">
        <f t="shared" si="495"/>
        <v>0</v>
      </c>
      <c r="GR163" s="380">
        <f>IF(GR162="","",(GR162+1))</f>
        <v>76</v>
      </c>
      <c r="GS163" s="381">
        <f t="shared" si="505"/>
        <v>0</v>
      </c>
      <c r="GT163" s="382">
        <f t="shared" si="499"/>
        <v>0</v>
      </c>
      <c r="GU163" s="380">
        <f>IF(GU162="","",(GU162+1))</f>
        <v>75</v>
      </c>
      <c r="GV163" s="381">
        <f>$E$87</f>
        <v>0</v>
      </c>
      <c r="GW163" s="382">
        <f t="shared" si="507"/>
        <v>0</v>
      </c>
      <c r="GX163" s="380">
        <v>74</v>
      </c>
      <c r="GY163" s="381">
        <f t="shared" si="520"/>
        <v>0</v>
      </c>
      <c r="GZ163" s="382">
        <f t="shared" si="514"/>
        <v>0</v>
      </c>
      <c r="HA163" s="380">
        <v>73</v>
      </c>
      <c r="HB163" s="381">
        <f>$E$89</f>
        <v>0</v>
      </c>
      <c r="HC163" s="382">
        <f t="shared" si="522"/>
        <v>0</v>
      </c>
      <c r="HD163" s="380">
        <v>72</v>
      </c>
      <c r="HE163" s="381">
        <f t="shared" si="534"/>
        <v>0</v>
      </c>
      <c r="HF163" s="382">
        <f t="shared" si="528"/>
        <v>0</v>
      </c>
      <c r="HG163" s="380">
        <v>71</v>
      </c>
      <c r="HH163" s="381">
        <f>$E$91</f>
        <v>0</v>
      </c>
      <c r="HI163" s="382">
        <f t="shared" si="536"/>
        <v>0</v>
      </c>
      <c r="HJ163" s="380">
        <v>70</v>
      </c>
      <c r="HK163" s="381">
        <f t="shared" si="548"/>
        <v>0</v>
      </c>
      <c r="HL163" s="382">
        <f t="shared" si="542"/>
        <v>0</v>
      </c>
      <c r="HM163" s="380">
        <v>69</v>
      </c>
      <c r="HN163" s="381">
        <f>$E$93</f>
        <v>0</v>
      </c>
      <c r="HO163" s="382">
        <f t="shared" si="549"/>
        <v>0</v>
      </c>
      <c r="HP163" s="380">
        <v>68</v>
      </c>
      <c r="HQ163" s="381">
        <f>$E$94</f>
        <v>0</v>
      </c>
      <c r="HR163" s="382">
        <f>SUM($G$10*$G$11*HQ163*(EXP(-($G$10*HP163))),$G$10*$G$11*HQ163*(EXP(-($G$10*(HP163+0.1)))),$G$10*$G$11*HQ163*(EXP(-($G$10*(HP163+0.2)))),$G$10*$G$11*HQ163*(EXP(-($G$10*(HP163+0.3)))),$G$10*$G$11*HQ163*(EXP(-($G$10*(HP163+0.4)))),$G$10*$G$11*HQ163*(EXP(-($G$10*(HP163+0.5)))),$G$10*$G$11*HQ163*(EXP(-($G$10*(HP163+0.6)))),$G$10*$G$11*HQ163*(EXP(-($G$10*(HP163+0.7)))),$G$10*$G$11*HQ163*(EXP(-($G$10*(HP163+0.8)))),$G$10*$G$11*HQ163*(EXP(-($G$10*(HP163+0.9)))))/10</f>
        <v>0</v>
      </c>
      <c r="HS163" s="380">
        <v>67</v>
      </c>
      <c r="HT163" s="381">
        <f>$E$95</f>
        <v>0</v>
      </c>
      <c r="HU163" s="382">
        <f>SUM($G$10*$G$11*HT163*(EXP(-($G$10*HS163))),$G$10*$G$11*HT163*(EXP(-($G$10*(HS163+0.1)))),$G$10*$G$11*HT163*(EXP(-($G$10*(HS163+0.2)))),$G$10*$G$11*HT163*(EXP(-($G$10*(HS163+0.3)))),$G$10*$G$11*HT163*(EXP(-($G$10*(HS163+0.4)))),$G$10*$G$11*HT163*(EXP(-($G$10*(HS163+0.5)))),$G$10*$G$11*HT163*(EXP(-($G$10*(HS163+0.6)))),$G$10*$G$11*HT163*(EXP(-($G$10*(HS163+0.7)))),$G$10*$G$11*HT163*(EXP(-($G$10*(HS163+0.8)))),$G$10*$G$11*HT163*(EXP(-($G$10*(HS163+0.9)))))/10</f>
        <v>0</v>
      </c>
      <c r="HV163" s="380">
        <v>66</v>
      </c>
      <c r="HW163" s="381">
        <f>$E$96</f>
        <v>0</v>
      </c>
      <c r="HX163" s="382">
        <f>SUM($G$10*$G$11*HW163*(EXP(-($G$10*HV163))),$G$10*$G$11*HW163*(EXP(-($G$10*(HV163+0.1)))),$G$10*$G$11*HW163*(EXP(-($G$10*(HV163+0.2)))),$G$10*$G$11*HW163*(EXP(-($G$10*(HV163+0.3)))),$G$10*$G$11*HW163*(EXP(-($G$10*(HV163+0.4)))),$G$10*$G$11*HW163*(EXP(-($G$10*(HV163+0.5)))),$G$10*$G$11*HW163*(EXP(-($G$10*(HV163+0.6)))),$G$10*$G$11*HW163*(EXP(-($G$10*(HV163+0.7)))),$G$10*$G$11*HW163*(EXP(-($G$10*(HV163+0.8)))),$G$10*$G$11*HW163*(EXP(-($G$10*(HV163+0.9)))))/10</f>
        <v>0</v>
      </c>
      <c r="HY163" s="380">
        <v>65</v>
      </c>
      <c r="HZ163" s="381">
        <f>$E$97</f>
        <v>0</v>
      </c>
      <c r="IA163" s="382">
        <f>SUM($G$10*$G$11*HZ163*(EXP(-($G$10*HY163))),$G$10*$G$11*HZ163*(EXP(-($G$10*(HY163+0.1)))),$G$10*$G$11*HZ163*(EXP(-($G$10*(HY163+0.2)))),$G$10*$G$11*HZ163*(EXP(-($G$10*(HY163+0.3)))),$G$10*$G$11*HZ163*(EXP(-($G$10*(HY163+0.4)))),$G$10*$G$11*HZ163*(EXP(-($G$10*(HY163+0.5)))),$G$10*$G$11*HZ163*(EXP(-($G$10*(HY163+0.6)))),$G$10*$G$11*HZ163*(EXP(-($G$10*(HY163+0.7)))),$G$10*$G$11*HZ163*(EXP(-($G$10*(HY163+0.8)))),$G$10*$G$11*HZ163*(EXP(-($G$10*(HY163+0.9)))))/10</f>
        <v>0</v>
      </c>
      <c r="IB163" s="380">
        <v>64</v>
      </c>
      <c r="IC163" s="381">
        <f t="shared" si="274"/>
        <v>0</v>
      </c>
      <c r="ID163" s="382">
        <f>SUM($G$10*$G$11*IC163*(EXP(-($G$10*IB163))),$G$10*$G$11*IC163*(EXP(-($G$10*(IB163+0.1)))),$G$10*$G$11*IC163*(EXP(-($G$10*(IB163+0.2)))),$G$10*$G$11*IC163*(EXP(-($G$10*(IB163+0.3)))),$G$10*$G$11*IC163*(EXP(-($G$10*(IB163+0.4)))),$G$10*$G$11*IC163*(EXP(-($G$10*(IB163+0.5)))),$G$10*$G$11*IC163*(EXP(-($G$10*(IB163+0.6)))),$G$10*$G$11*IC163*(EXP(-($G$10*(IB163+0.7)))),$G$10*$G$11*IC163*(EXP(-($G$10*(IB163+0.8)))),$G$10*$G$11*IC163*(EXP(-($G$10*(IB163+0.9)))))/10</f>
        <v>0</v>
      </c>
      <c r="IE163" s="380">
        <v>63</v>
      </c>
      <c r="IF163" s="381">
        <f t="shared" si="280"/>
        <v>0</v>
      </c>
      <c r="IG163" s="382">
        <f t="shared" si="425"/>
        <v>0</v>
      </c>
      <c r="IH163" s="380">
        <v>62</v>
      </c>
      <c r="II163" s="381">
        <f>$E$100</f>
        <v>0</v>
      </c>
      <c r="IJ163" s="382">
        <f t="shared" si="429"/>
        <v>0</v>
      </c>
      <c r="IK163" s="380">
        <v>61</v>
      </c>
      <c r="IL163" s="381">
        <f t="shared" si="292"/>
        <v>0</v>
      </c>
      <c r="IM163" s="382">
        <f t="shared" si="434"/>
        <v>0</v>
      </c>
      <c r="IN163" s="380">
        <v>60</v>
      </c>
      <c r="IO163" s="381">
        <f>$E$102</f>
        <v>0</v>
      </c>
      <c r="IP163" s="382">
        <f t="shared" si="438"/>
        <v>0</v>
      </c>
    </row>
    <row r="164" spans="9:250" ht="13.5" thickTop="1"/>
  </sheetData>
  <sheetProtection password="A4D6" sheet="1" objects="1" scenarios="1"/>
  <mergeCells count="6">
    <mergeCell ref="D105:E106"/>
    <mergeCell ref="F1:J1"/>
    <mergeCell ref="B21:B22"/>
    <mergeCell ref="I22:I23"/>
    <mergeCell ref="F6:J7"/>
    <mergeCell ref="F14:J17"/>
  </mergeCells>
  <phoneticPr fontId="51" type="noConversion"/>
  <printOptions horizontalCentered="1"/>
  <pageMargins left="0.2" right="0.2" top="0.5" bottom="0.5" header="0.2" footer="0.2"/>
  <pageSetup scale="85" fitToHeight="2" orientation="portrait" blackAndWhite="1" r:id="rId1"/>
  <headerFooter alignWithMargins="0">
    <oddHeader>&amp;L&amp;9&amp;F&amp;R&amp;9&amp;D</oddHeader>
    <oddFooter>&amp;C&amp;9METHANE - &amp;P</oddFooter>
  </headerFooter>
  <rowBreaks count="1" manualBreakCount="1">
    <brk id="82" min="1" max="5"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Q149"/>
  <sheetViews>
    <sheetView showGridLines="0" tabSelected="1" zoomScaleNormal="100" workbookViewId="0">
      <pane xSplit="5" ySplit="8" topLeftCell="I9" activePane="bottomRight" state="frozen"/>
      <selection pane="topRight"/>
      <selection pane="bottomLeft"/>
      <selection pane="bottomRight" activeCell="M19" sqref="M19"/>
    </sheetView>
  </sheetViews>
  <sheetFormatPr defaultRowHeight="12.75"/>
  <cols>
    <col min="1" max="1" width="6.28515625" style="17" customWidth="1"/>
    <col min="2" max="2" width="10.7109375" style="17" customWidth="1"/>
    <col min="3" max="3" width="15.85546875" style="17" bestFit="1" customWidth="1"/>
    <col min="4" max="4" width="11.7109375" style="17" customWidth="1"/>
    <col min="5" max="5" width="15.85546875" style="17" bestFit="1" customWidth="1"/>
    <col min="6" max="17" width="16.7109375" style="17" customWidth="1"/>
    <col min="18" max="16384" width="9.140625" style="17"/>
  </cols>
  <sheetData>
    <row r="1" spans="1:17" ht="18">
      <c r="A1" s="491" t="s">
        <v>59</v>
      </c>
      <c r="D1" s="159" t="s">
        <v>170</v>
      </c>
      <c r="E1" s="635" t="str">
        <f>IF('USER INPUTS'!$E$1=0,"",'USER INPUTS'!$E$1)</f>
        <v>TPA Muara Fajar 2 Kota Pekanbaru</v>
      </c>
      <c r="F1" s="635"/>
      <c r="G1" s="635"/>
      <c r="H1" s="157"/>
    </row>
    <row r="2" spans="1:17" ht="34.5" customHeight="1">
      <c r="A2" s="667" t="str">
        <f>IF(AND(ClosureYear-OpenYear&gt;79,ClosureCalcYes=FALSE),"Landfill Closure Year entered exceeds the 80-year waste acceptance limit. See Section 2.6 of the User's Manual.",IF(AND('INPUT REVIEW'!$F$6&gt;'INPUT REVIEW'!$F$5,ClosureCalcYes=TRUE),"The 80-year waste acceptance limit of the model has been exceeded before the Waste Design Capacity was reached. The model will assume the 80th year of waste acceptance as the final year to estimate emissions. See Section 2.6 of the User's Manual.",""))</f>
        <v/>
      </c>
      <c r="B2" s="667"/>
      <c r="C2" s="667"/>
      <c r="D2" s="667"/>
      <c r="E2" s="667"/>
      <c r="F2" s="161"/>
      <c r="G2" s="161"/>
      <c r="H2" s="161"/>
    </row>
    <row r="3" spans="1:17">
      <c r="A3" s="667"/>
      <c r="B3" s="667"/>
      <c r="C3" s="667"/>
      <c r="D3" s="667"/>
      <c r="E3" s="667"/>
      <c r="F3" s="665" t="s">
        <v>79</v>
      </c>
      <c r="G3" s="665"/>
      <c r="H3" s="665"/>
    </row>
    <row r="4" spans="1:17">
      <c r="C4" s="506" t="s">
        <v>326</v>
      </c>
      <c r="D4" s="151">
        <f>METHANE!D15</f>
        <v>2048</v>
      </c>
      <c r="F4" s="665"/>
      <c r="G4" s="665"/>
      <c r="H4" s="665"/>
    </row>
    <row r="5" spans="1:17" ht="15" customHeight="1">
      <c r="C5" s="142" t="s">
        <v>82</v>
      </c>
      <c r="D5" s="151">
        <f>IF('USER INPUTS'!$B$19=-1,'USER INPUTS'!$F$19,'USER INPUTS'!$B$19)</f>
        <v>60</v>
      </c>
      <c r="E5" s="150" t="s">
        <v>165</v>
      </c>
      <c r="F5" s="142"/>
      <c r="G5" s="142" t="s">
        <v>83</v>
      </c>
      <c r="H5" s="333" t="s">
        <v>355</v>
      </c>
    </row>
    <row r="6" spans="1:17" ht="13.5" thickBot="1"/>
    <row r="7" spans="1:17">
      <c r="A7" s="668" t="s">
        <v>5</v>
      </c>
      <c r="B7" s="664" t="s">
        <v>54</v>
      </c>
      <c r="C7" s="664"/>
      <c r="D7" s="664" t="s">
        <v>53</v>
      </c>
      <c r="E7" s="664"/>
      <c r="F7" s="661" t="str">
        <f>'USER INPUTS'!$B$24</f>
        <v/>
      </c>
      <c r="G7" s="662"/>
      <c r="H7" s="666"/>
      <c r="I7" s="661" t="str">
        <f>'USER INPUTS'!$B$26</f>
        <v/>
      </c>
      <c r="J7" s="662"/>
      <c r="K7" s="666"/>
      <c r="L7" s="661" t="str">
        <f>'USER INPUTS'!$B$28</f>
        <v>Carbon dioxide</v>
      </c>
      <c r="M7" s="662"/>
      <c r="N7" s="666"/>
      <c r="O7" s="661" t="str">
        <f>'USER INPUTS'!$B$30</f>
        <v/>
      </c>
      <c r="P7" s="662"/>
      <c r="Q7" s="663"/>
    </row>
    <row r="8" spans="1:17" ht="14.25">
      <c r="A8" s="669"/>
      <c r="B8" s="53" t="s">
        <v>50</v>
      </c>
      <c r="C8" s="53" t="s">
        <v>169</v>
      </c>
      <c r="D8" s="53" t="s">
        <v>250</v>
      </c>
      <c r="E8" s="53" t="s">
        <v>251</v>
      </c>
      <c r="F8" s="53" t="s">
        <v>50</v>
      </c>
      <c r="G8" s="53" t="s">
        <v>345</v>
      </c>
      <c r="H8" s="53" t="str">
        <f>CONCATENATE("(",$H$5,")")</f>
        <v>(av ft^3/min)</v>
      </c>
      <c r="I8" s="53" t="s">
        <v>50</v>
      </c>
      <c r="J8" s="53" t="s">
        <v>345</v>
      </c>
      <c r="K8" s="53" t="str">
        <f>CONCATENATE("(",$H$5,")")</f>
        <v>(av ft^3/min)</v>
      </c>
      <c r="L8" s="53" t="s">
        <v>50</v>
      </c>
      <c r="M8" s="53" t="s">
        <v>345</v>
      </c>
      <c r="N8" s="53" t="str">
        <f>CONCATENATE("(",$H$5,")")</f>
        <v>(av ft^3/min)</v>
      </c>
      <c r="O8" s="53" t="s">
        <v>50</v>
      </c>
      <c r="P8" s="53" t="s">
        <v>345</v>
      </c>
      <c r="Q8" s="144" t="str">
        <f>CONCATENATE("(",$H$5,")")</f>
        <v>(av ft^3/min)</v>
      </c>
    </row>
    <row r="9" spans="1:17">
      <c r="A9" s="154">
        <f>METHANE!$B$23</f>
        <v>2018</v>
      </c>
      <c r="B9" s="71">
        <f>IF(METHANE!E23&gt;0,METHANE!E23,0)</f>
        <v>189082</v>
      </c>
      <c r="C9" s="71">
        <f>IF(METHANE!E23&gt;0,METHANE!E23*DEFAULTS!$B$55*DEFAULTS!$B$53/DEFAULTS!$B$54,0)</f>
        <v>207990.2</v>
      </c>
      <c r="D9" s="72">
        <f>IF(METHANE!F23&gt;0,METHANE!F23,0)</f>
        <v>0</v>
      </c>
      <c r="E9" s="72">
        <f>IF(METHANE!F23&gt;0,METHANE!F23*DEFAULTS!$B$55*DEFAULTS!$B$53/DEFAULTS!$B$54,0)</f>
        <v>0</v>
      </c>
      <c r="F9" s="167">
        <v>0</v>
      </c>
      <c r="G9" s="167">
        <v>0</v>
      </c>
      <c r="H9" s="167">
        <v>0</v>
      </c>
      <c r="I9" s="167">
        <v>0</v>
      </c>
      <c r="J9" s="167">
        <v>0</v>
      </c>
      <c r="K9" s="167">
        <v>0</v>
      </c>
      <c r="L9" s="167">
        <v>0</v>
      </c>
      <c r="M9" s="167">
        <v>0</v>
      </c>
      <c r="N9" s="167">
        <v>0</v>
      </c>
      <c r="O9" s="167">
        <v>0</v>
      </c>
      <c r="P9" s="167">
        <v>0</v>
      </c>
      <c r="Q9" s="168">
        <v>0</v>
      </c>
    </row>
    <row r="10" spans="1:17">
      <c r="A10" s="68">
        <f>METHANE!I24</f>
        <v>2019</v>
      </c>
      <c r="B10" s="66">
        <f>IF(METHANE!E24&gt;0,METHANE!E24,0)</f>
        <v>293489</v>
      </c>
      <c r="C10" s="66">
        <f>IF(METHANE!E24&gt;0,METHANE!E24*DEFAULTS!$B$55*DEFAULTS!$B$53/DEFAULTS!$B$54,0)</f>
        <v>322837.90000000002</v>
      </c>
      <c r="D10" s="66">
        <f>IF(METHANE!F24&gt;0,METHANE!F24,0)</f>
        <v>189082</v>
      </c>
      <c r="E10" s="66">
        <f>IF(METHANE!F24&gt;0,METHANE!F24*DEFAULTS!$B$55*DEFAULTS!$B$53/DEFAULTS!$B$54,0)</f>
        <v>207990.2</v>
      </c>
      <c r="F10" s="62">
        <f>IF(ISERROR(METHANE!$J24*DEFAULTS!$B$81*(IF('USER INPUTS'!$B$24="Total landfill gas",(1/($D$5/100)),IF('USER INPUTS'!$B$24="Methane",1,IF('USER INPUTS'!$B$24="Carbon dioxide",((1/($D$5/100))-1),(VLOOKUP('USER INPUTS'!$B$24,DEFAULTS!$E$8:$F$69,2,FALSE))/10^6*(1/($D$5/100))))))),0,METHANE!$J24*DEFAULTS!$B$81*(IF('USER INPUTS'!$B$24="Total landfill gas",(1/($D$5/100)),IF('USER INPUTS'!$B$24="Methane",1,IF('USER INPUTS'!$B$24="Carbon dioxide",((1/($D$5/100))-1),(VLOOKUP('USER INPUTS'!$B$24,DEFAULTS!$E$8:$F$69,2,FALSE))/10^6*(1/($D$5/100)))))))</f>
        <v>0</v>
      </c>
      <c r="G10" s="62">
        <f>IF(ISERROR(METHANE!$J24*(IF('USER INPUTS'!$B$24="Total landfill gas",(1/($D$5/100)),IF('USER INPUTS'!$B$24="Methane",1,IF('USER INPUTS'!$B$24="Carbon dioxide",((1/($D$5/100))-1),(VLOOKUP('USER INPUTS'!$B$24,DEFAULTS!$E$8:$F$69,2,FALSE))/10^6*(1/($D$5/100))))))),0,METHANE!$J24*(IF('USER INPUTS'!$B$24="Total landfill gas",(1/($D$5/100)),IF('USER INPUTS'!$B$24="Methane",1,IF('USER INPUTS'!$B$24="Carbon dioxide",((1/($D$5/100))-1),(VLOOKUP('USER INPUTS'!$B$24,DEFAULTS!$E$8:$F$69,2,FALSE))/10^6*(1/($D$5/100)))))))</f>
        <v>0</v>
      </c>
      <c r="H10" s="62">
        <f>IF(H$8="(short tons/year)",(F10*DEFAULTS!$B$55*DEFAULTS!$B$53/DEFAULTS!$B$54),IF(H$8="(ft^3/year)",(G10*DEFAULTS!$B$57),IF(H$8="(av ft^3/min)",(G10*DEFAULTS!$B$57/DEFAULTS!$B$58),0)))</f>
        <v>0</v>
      </c>
      <c r="I10" s="62">
        <f>IF(ISERROR(METHANE!$J24*DEFAULTS!$B$82*(IF('USER INPUTS'!$B$26="Total landfill gas",(1/($D$5/100)),IF('USER INPUTS'!$B$26="Methane",1,IF('USER INPUTS'!$B$26="Carbon dioxide",((1/($D$5/100))-1),(VLOOKUP('USER INPUTS'!$B$26,DEFAULTS!$E$8:$F$69,2,FALSE))/10^6*(1/($D$5/100))))))),0,METHANE!$J24*DEFAULTS!$B$82*(IF('USER INPUTS'!$B$26="Total landfill gas",(1/($D$5/100)),IF('USER INPUTS'!$B$26="Methane",1,IF('USER INPUTS'!$B$26="Carbon dioxide",((1/($D$5/100))-1),(VLOOKUP('USER INPUTS'!$B$26,DEFAULTS!$E$8:$F$69,2,FALSE))/10^6*(1/($D$5/100)))))))</f>
        <v>0</v>
      </c>
      <c r="J10" s="62">
        <f>IF(ISERROR(METHANE!$J24*(IF('USER INPUTS'!$B$26="Total landfill gas",(1/($D$5/100)),IF('USER INPUTS'!$B$26="Methane",1,IF('USER INPUTS'!$B$26="Carbon dioxide",((1/($D$5/100))-1),(VLOOKUP('USER INPUTS'!$B$26,DEFAULTS!$E$8:$F$69,2,FALSE))/10^6*(1/($D$5/100))))))),0,METHANE!$J24*(IF('USER INPUTS'!$B$26="Total landfill gas",(1/($D$5/100)),IF('USER INPUTS'!$B$26="Methane",1,IF('USER INPUTS'!$B$26="Carbon dioxide",((1/($D$5/100))-1),(VLOOKUP('USER INPUTS'!$B$26,DEFAULTS!$E$8:$F$69,2,FALSE))/10^6*(1/($D$5/100)))))))</f>
        <v>0</v>
      </c>
      <c r="K10" s="62">
        <f>IF(K$8="(short tons/year)",(I10*DEFAULTS!$B$55*DEFAULTS!$B$53/DEFAULTS!$B$54),IF(K$8="(ft^3/year)",(J10*DEFAULTS!$B$57),IF(K$8="(av ft^3/min)",(J10*DEFAULTS!$B$57/DEFAULTS!$B$58),0)))</f>
        <v>0</v>
      </c>
      <c r="L10" s="62">
        <f>IF(ISERROR(METHANE!$J24*DEFAULTS!$B$83*(IF('USER INPUTS'!$B$28="Total landfill gas",(1/($D$5/100)),IF('USER INPUTS'!$B$28="Methane",1,IF('USER INPUTS'!$B$28="Carbon dioxide",((1/($D$5/100))-1),(VLOOKUP('USER INPUTS'!$B$28,DEFAULTS!$E$8:$F$69,2,FALSE))/10^6*(1/($D$5/100))))))),0,METHANE!$J24*DEFAULTS!$B$83*(IF('USER INPUTS'!$B$28="Total landfill gas",(1/($D$5/100)),IF('USER INPUTS'!$B$28="Methane",1,IF('USER INPUTS'!$B$28="Carbon dioxide",((1/($D$5/100))-1),(VLOOKUP('USER INPUTS'!$B$28,DEFAULTS!$E$8:$F$69,2,FALSE))/10^6*(1/($D$5/100)))))))</f>
        <v>906.56662871066976</v>
      </c>
      <c r="M10" s="62">
        <f>IF(ISERROR(METHANE!$J24*(IF('USER INPUTS'!$B$28="Total landfill gas",(1/($D$5/100)),IF('USER INPUTS'!$B$28="Methane",1,IF('USER INPUTS'!$B$28="Carbon dioxide",((1/($D$5/100))-1),(VLOOKUP('USER INPUTS'!$B$28,DEFAULTS!$E$8:$F$69,2,FALSE))/10^6*(1/($D$5/100))))))),0,METHANE!$J24*(IF('USER INPUTS'!$B$28="Total landfill gas",(1/($D$5/100)),IF('USER INPUTS'!$B$28="Methane",1,IF('USER INPUTS'!$B$28="Carbon dioxide",((1/($D$5/100))-1),(VLOOKUP('USER INPUTS'!$B$28,DEFAULTS!$E$8:$F$69,2,FALSE))/10^6*(1/($D$5/100)))))))</f>
        <v>495256.61160523619</v>
      </c>
      <c r="N10" s="62">
        <f>IF(N$8="(short tons/year)",(L10*DEFAULTS!$B$55*DEFAULTS!$B$53/DEFAULTS!$B$54),IF(N$8="(ft^3/year)",(M10*DEFAULTS!$B$57),IF(N$8="(av ft^3/min)",(M10*DEFAULTS!$B$57/DEFAULTS!$B$58),0)))</f>
        <v>33.276231428536747</v>
      </c>
      <c r="O10" s="62">
        <f>IF(ISERROR(METHANE!$J24*DEFAULTS!$B$84*(IF('USER INPUTS'!$B$30="Total landfill gas",(1/($D$5/100)),IF('USER INPUTS'!$B$30="Methane",1,IF('USER INPUTS'!$B$30="Carbon dioxide",((1/($D$5/100))-1),(VLOOKUP('USER INPUTS'!$B$30,DEFAULTS!$E$8:$F$69,2,FALSE))/10^6*(1/($D$5/100))))))),0,METHANE!$J24*DEFAULTS!$B$84*(IF('USER INPUTS'!$B$30="Total landfill gas",(1/($D$5/100)),IF('USER INPUTS'!$B$30="Methane",1,IF('USER INPUTS'!$B$30="Carbon dioxide",((1/($D$5/100))-1),(VLOOKUP('USER INPUTS'!$B$30,DEFAULTS!$E$8:$F$69,2,FALSE))/10^6*(1/($D$5/100)))))))</f>
        <v>0</v>
      </c>
      <c r="P10" s="62">
        <f>IF(ISERROR(METHANE!$J24*(IF('USER INPUTS'!$B$30="Total landfill gas",(1/($D$5/100)),IF('USER INPUTS'!$B$30="Methane",1,IF('USER INPUTS'!$B$30="Carbon dioxide",((1/($D$5/100))-1),(VLOOKUP('USER INPUTS'!$B$30,DEFAULTS!$E$8:$F$69,2,FALSE))/10^6*(1/($D$5/100))))))),0,METHANE!$J24*(IF('USER INPUTS'!$B$30="Total landfill gas",(1/($D$5/100)),IF('USER INPUTS'!$B$30="Methane",1,IF('USER INPUTS'!$B$30="Carbon dioxide",((1/($D$5/100))-1),(VLOOKUP('USER INPUTS'!$B$30,DEFAULTS!$E$8:$F$69,2,FALSE))/10^6*(1/($D$5/100)))))))</f>
        <v>0</v>
      </c>
      <c r="Q10" s="162">
        <f>IF(Q$8="(short tons/year)",(O10*DEFAULTS!$B$55*DEFAULTS!$B$53/DEFAULTS!$B$54),IF(Q$8="(ft^3/year)",(P10*DEFAULTS!$B$57),IF(Q$8="(av ft^3/min)",(P10*DEFAULTS!$B$57/DEFAULTS!$B$58),0)))</f>
        <v>0</v>
      </c>
    </row>
    <row r="11" spans="1:17">
      <c r="A11" s="68">
        <f>METHANE!I25</f>
        <v>2020</v>
      </c>
      <c r="B11" s="66">
        <f>IF(METHANE!E25&gt;0,METHANE!E25,0)</f>
        <v>283523</v>
      </c>
      <c r="C11" s="66">
        <f>IF(METHANE!E25&gt;0,METHANE!E25*DEFAULTS!$B$55*DEFAULTS!$B$53/DEFAULTS!$B$54,0)</f>
        <v>311875.3</v>
      </c>
      <c r="D11" s="66">
        <f>IF(METHANE!F25&gt;0,METHANE!F25,0)</f>
        <v>482571</v>
      </c>
      <c r="E11" s="66">
        <f>IF(METHANE!F25&gt;0,METHANE!F25*DEFAULTS!$B$55*DEFAULTS!$B$53/DEFAULTS!$B$54,0)</f>
        <v>530828.10000000009</v>
      </c>
      <c r="F11" s="62">
        <f>IF(ISERROR(METHANE!$J25*DEFAULTS!$B$81*(IF('USER INPUTS'!$B$24="Total landfill gas",(1/($D$5/100)),IF('USER INPUTS'!$B$24="Methane",1,IF('USER INPUTS'!$B$24="Carbon dioxide",((1/($D$5/100))-1),(VLOOKUP('USER INPUTS'!$B$24,DEFAULTS!$E$8:$F$69,2,FALSE))/10^6*(1/($D$5/100))))))),0,METHANE!$J25*DEFAULTS!$B$81*(IF('USER INPUTS'!$B$24="Total landfill gas",(1/($D$5/100)),IF('USER INPUTS'!$B$24="Methane",1,IF('USER INPUTS'!$B$24="Carbon dioxide",((1/($D$5/100))-1),(VLOOKUP('USER INPUTS'!$B$24,DEFAULTS!$E$8:$F$69,2,FALSE))/10^6*(1/($D$5/100)))))))</f>
        <v>0</v>
      </c>
      <c r="G11" s="62">
        <f>IF(ISERROR(METHANE!$J25*(IF('USER INPUTS'!$B$24="Total landfill gas",(1/($D$5/100)),IF('USER INPUTS'!$B$24="Methane",1,IF('USER INPUTS'!$B$24="Carbon dioxide",((1/($D$5/100))-1),(VLOOKUP('USER INPUTS'!$B$24,DEFAULTS!$E$8:$F$69,2,FALSE))/10^6*(1/($D$5/100))))))),0,METHANE!$J25*(IF('USER INPUTS'!$B$24="Total landfill gas",(1/($D$5/100)),IF('USER INPUTS'!$B$24="Methane",1,IF('USER INPUTS'!$B$24="Carbon dioxide",((1/($D$5/100))-1),(VLOOKUP('USER INPUTS'!$B$24,DEFAULTS!$E$8:$F$69,2,FALSE))/10^6*(1/($D$5/100)))))))</f>
        <v>0</v>
      </c>
      <c r="H11" s="62">
        <f>IF(H$8="(short tons/year)",(F11*DEFAULTS!$B$55*DEFAULTS!$B$53/DEFAULTS!$B$54),IF(H$8="(ft^3/year)",(G11*DEFAULTS!$B$57),IF(H$8="(av ft^3/min)",(G11*DEFAULTS!$B$57/DEFAULTS!$B$58),0)))</f>
        <v>0</v>
      </c>
      <c r="I11" s="62">
        <f>IF(ISERROR(METHANE!$J25*DEFAULTS!$B$82*(IF('USER INPUTS'!$B$26="Total landfill gas",(1/($D$5/100)),IF('USER INPUTS'!$B$26="Methane",1,IF('USER INPUTS'!$B$26="Carbon dioxide",((1/($D$5/100))-1),(VLOOKUP('USER INPUTS'!$B$26,DEFAULTS!$E$8:$F$69,2,FALSE))/10^6*(1/($D$5/100))))))),0,METHANE!$J25*DEFAULTS!$B$82*(IF('USER INPUTS'!$B$26="Total landfill gas",(1/($D$5/100)),IF('USER INPUTS'!$B$26="Methane",1,IF('USER INPUTS'!$B$26="Carbon dioxide",((1/($D$5/100))-1),(VLOOKUP('USER INPUTS'!$B$26,DEFAULTS!$E$8:$F$69,2,FALSE))/10^6*(1/($D$5/100)))))))</f>
        <v>0</v>
      </c>
      <c r="J11" s="62">
        <f>IF(ISERROR(METHANE!$J25*(IF('USER INPUTS'!$B$26="Total landfill gas",(1/($D$5/100)),IF('USER INPUTS'!$B$26="Methane",1,IF('USER INPUTS'!$B$26="Carbon dioxide",((1/($D$5/100))-1),(VLOOKUP('USER INPUTS'!$B$26,DEFAULTS!$E$8:$F$69,2,FALSE))/10^6*(1/($D$5/100))))))),0,METHANE!$J25*(IF('USER INPUTS'!$B$26="Total landfill gas",(1/($D$5/100)),IF('USER INPUTS'!$B$26="Methane",1,IF('USER INPUTS'!$B$26="Carbon dioxide",((1/($D$5/100))-1),(VLOOKUP('USER INPUTS'!$B$26,DEFAULTS!$E$8:$F$69,2,FALSE))/10^6*(1/($D$5/100)))))))</f>
        <v>0</v>
      </c>
      <c r="K11" s="62">
        <f>IF(K$8="(short tons/year)",(I11*DEFAULTS!$B$55*DEFAULTS!$B$53/DEFAULTS!$B$54),IF(K$8="(ft^3/year)",(J11*DEFAULTS!$B$57),IF(K$8="(av ft^3/min)",(J11*DEFAULTS!$B$57/DEFAULTS!$B$58),0)))</f>
        <v>0</v>
      </c>
      <c r="L11" s="62">
        <f>IF(ISERROR(METHANE!$J25*DEFAULTS!$B$83*(IF('USER INPUTS'!$B$28="Total landfill gas",(1/($D$5/100)),IF('USER INPUTS'!$B$28="Methane",1,IF('USER INPUTS'!$B$28="Carbon dioxide",((1/($D$5/100))-1),(VLOOKUP('USER INPUTS'!$B$28,DEFAULTS!$E$8:$F$69,2,FALSE))/10^6*(1/($D$5/100))))))),0,METHANE!$J25*DEFAULTS!$B$83*(IF('USER INPUTS'!$B$28="Total landfill gas",(1/($D$5/100)),IF('USER INPUTS'!$B$28="Methane",1,IF('USER INPUTS'!$B$28="Carbon dioxide",((1/($D$5/100))-1),(VLOOKUP('USER INPUTS'!$B$28,DEFAULTS!$E$8:$F$69,2,FALSE))/10^6*(1/($D$5/100)))))))</f>
        <v>2278.1728000799362</v>
      </c>
      <c r="M11" s="62">
        <f>IF(ISERROR(METHANE!$J25*(IF('USER INPUTS'!$B$28="Total landfill gas",(1/($D$5/100)),IF('USER INPUTS'!$B$28="Methane",1,IF('USER INPUTS'!$B$28="Carbon dioxide",((1/($D$5/100))-1),(VLOOKUP('USER INPUTS'!$B$28,DEFAULTS!$E$8:$F$69,2,FALSE))/10^6*(1/($D$5/100))))))),0,METHANE!$J25*(IF('USER INPUTS'!$B$28="Total landfill gas",(1/($D$5/100)),IF('USER INPUTS'!$B$28="Methane",1,IF('USER INPUTS'!$B$28="Carbon dioxide",((1/($D$5/100))-1),(VLOOKUP('USER INPUTS'!$B$28,DEFAULTS!$E$8:$F$69,2,FALSE))/10^6*(1/($D$5/100)))))))</f>
        <v>1244563.9469692991</v>
      </c>
      <c r="N11" s="62">
        <f>IF(N$8="(short tons/year)",(L11*DEFAULTS!$B$55*DEFAULTS!$B$53/DEFAULTS!$B$54),IF(N$8="(ft^3/year)",(M11*DEFAULTS!$B$57),IF(N$8="(av ft^3/min)",(M11*DEFAULTS!$B$57/DEFAULTS!$B$58),0)))</f>
        <v>83.622100051789957</v>
      </c>
      <c r="O11" s="62">
        <f>IF(ISERROR(METHANE!$J25*DEFAULTS!$B$84*(IF('USER INPUTS'!$B$30="Total landfill gas",(1/($D$5/100)),IF('USER INPUTS'!$B$30="Methane",1,IF('USER INPUTS'!$B$30="Carbon dioxide",((1/($D$5/100))-1),(VLOOKUP('USER INPUTS'!$B$30,DEFAULTS!$E$8:$F$69,2,FALSE))/10^6*(1/($D$5/100))))))),0,METHANE!$J25*DEFAULTS!$B$84*(IF('USER INPUTS'!$B$30="Total landfill gas",(1/($D$5/100)),IF('USER INPUTS'!$B$30="Methane",1,IF('USER INPUTS'!$B$30="Carbon dioxide",((1/($D$5/100))-1),(VLOOKUP('USER INPUTS'!$B$30,DEFAULTS!$E$8:$F$69,2,FALSE))/10^6*(1/($D$5/100)))))))</f>
        <v>0</v>
      </c>
      <c r="P11" s="62">
        <f>IF(ISERROR(METHANE!$J25*(IF('USER INPUTS'!$B$30="Total landfill gas",(1/($D$5/100)),IF('USER INPUTS'!$B$30="Methane",1,IF('USER INPUTS'!$B$30="Carbon dioxide",((1/($D$5/100))-1),(VLOOKUP('USER INPUTS'!$B$30,DEFAULTS!$E$8:$F$69,2,FALSE))/10^6*(1/($D$5/100))))))),0,METHANE!$J25*(IF('USER INPUTS'!$B$30="Total landfill gas",(1/($D$5/100)),IF('USER INPUTS'!$B$30="Methane",1,IF('USER INPUTS'!$B$30="Carbon dioxide",((1/($D$5/100))-1),(VLOOKUP('USER INPUTS'!$B$30,DEFAULTS!$E$8:$F$69,2,FALSE))/10^6*(1/($D$5/100)))))))</f>
        <v>0</v>
      </c>
      <c r="Q11" s="162">
        <f>IF(Q$8="(short tons/year)",(O11*DEFAULTS!$B$55*DEFAULTS!$B$53/DEFAULTS!$B$54),IF(Q$8="(ft^3/year)",(P11*DEFAULTS!$B$57),IF(Q$8="(av ft^3/min)",(P11*DEFAULTS!$B$57/DEFAULTS!$B$58),0)))</f>
        <v>0</v>
      </c>
    </row>
    <row r="12" spans="1:17">
      <c r="A12" s="68">
        <f>METHANE!I26</f>
        <v>2021</v>
      </c>
      <c r="B12" s="66">
        <f>IF(METHANE!E26&gt;0,METHANE!E26,0)</f>
        <v>143321</v>
      </c>
      <c r="C12" s="66">
        <f>IF(METHANE!E26&gt;0,METHANE!E26*DEFAULTS!$B$55*DEFAULTS!$B$53/DEFAULTS!$B$54,0)</f>
        <v>157653.1</v>
      </c>
      <c r="D12" s="66">
        <f>IF(METHANE!F26&gt;0,METHANE!F26,0)</f>
        <v>766094</v>
      </c>
      <c r="E12" s="66">
        <f>IF(METHANE!F26&gt;0,METHANE!F26*DEFAULTS!$B$55*DEFAULTS!$B$53/DEFAULTS!$B$54,0)</f>
        <v>842703.4</v>
      </c>
      <c r="F12" s="62">
        <f>IF(ISERROR(METHANE!$J26*DEFAULTS!$B$81*(IF('USER INPUTS'!$B$24="Total landfill gas",(1/($D$5/100)),IF('USER INPUTS'!$B$24="Methane",1,IF('USER INPUTS'!$B$24="Carbon dioxide",((1/($D$5/100))-1),(VLOOKUP('USER INPUTS'!$B$24,DEFAULTS!$E$8:$F$69,2,FALSE))/10^6*(1/($D$5/100))))))),0,METHANE!$J26*DEFAULTS!$B$81*(IF('USER INPUTS'!$B$24="Total landfill gas",(1/($D$5/100)),IF('USER INPUTS'!$B$24="Methane",1,IF('USER INPUTS'!$B$24="Carbon dioxide",((1/($D$5/100))-1),(VLOOKUP('USER INPUTS'!$B$24,DEFAULTS!$E$8:$F$69,2,FALSE))/10^6*(1/($D$5/100)))))))</f>
        <v>0</v>
      </c>
      <c r="G12" s="62">
        <f>IF(ISERROR(METHANE!$J26*(IF('USER INPUTS'!$B$24="Total landfill gas",(1/($D$5/100)),IF('USER INPUTS'!$B$24="Methane",1,IF('USER INPUTS'!$B$24="Carbon dioxide",((1/($D$5/100))-1),(VLOOKUP('USER INPUTS'!$B$24,DEFAULTS!$E$8:$F$69,2,FALSE))/10^6*(1/($D$5/100))))))),0,METHANE!$J26*(IF('USER INPUTS'!$B$24="Total landfill gas",(1/($D$5/100)),IF('USER INPUTS'!$B$24="Methane",1,IF('USER INPUTS'!$B$24="Carbon dioxide",((1/($D$5/100))-1),(VLOOKUP('USER INPUTS'!$B$24,DEFAULTS!$E$8:$F$69,2,FALSE))/10^6*(1/($D$5/100)))))))</f>
        <v>0</v>
      </c>
      <c r="H12" s="62">
        <f>IF(H$8="(short tons/year)",(F12*DEFAULTS!$B$55*DEFAULTS!$B$53/DEFAULTS!$B$54),IF(H$8="(ft^3/year)",(G12*DEFAULTS!$B$57),IF(H$8="(av ft^3/min)",(G12*DEFAULTS!$B$57/DEFAULTS!$B$58),0)))</f>
        <v>0</v>
      </c>
      <c r="I12" s="62">
        <f>IF(ISERROR(METHANE!$J26*DEFAULTS!$B$82*(IF('USER INPUTS'!$B$26="Total landfill gas",(1/($D$5/100)),IF('USER INPUTS'!$B$26="Methane",1,IF('USER INPUTS'!$B$26="Carbon dioxide",((1/($D$5/100))-1),(VLOOKUP('USER INPUTS'!$B$26,DEFAULTS!$E$8:$F$69,2,FALSE))/10^6*(1/($D$5/100))))))),0,METHANE!$J26*DEFAULTS!$B$82*(IF('USER INPUTS'!$B$26="Total landfill gas",(1/($D$5/100)),IF('USER INPUTS'!$B$26="Methane",1,IF('USER INPUTS'!$B$26="Carbon dioxide",((1/($D$5/100))-1),(VLOOKUP('USER INPUTS'!$B$26,DEFAULTS!$E$8:$F$69,2,FALSE))/10^6*(1/($D$5/100)))))))</f>
        <v>0</v>
      </c>
      <c r="J12" s="62">
        <f>IF(ISERROR(METHANE!$J26*(IF('USER INPUTS'!$B$26="Total landfill gas",(1/($D$5/100)),IF('USER INPUTS'!$B$26="Methane",1,IF('USER INPUTS'!$B$26="Carbon dioxide",((1/($D$5/100))-1),(VLOOKUP('USER INPUTS'!$B$26,DEFAULTS!$E$8:$F$69,2,FALSE))/10^6*(1/($D$5/100))))))),0,METHANE!$J26*(IF('USER INPUTS'!$B$26="Total landfill gas",(1/($D$5/100)),IF('USER INPUTS'!$B$26="Methane",1,IF('USER INPUTS'!$B$26="Carbon dioxide",((1/($D$5/100))-1),(VLOOKUP('USER INPUTS'!$B$26,DEFAULTS!$E$8:$F$69,2,FALSE))/10^6*(1/($D$5/100)))))))</f>
        <v>0</v>
      </c>
      <c r="K12" s="62">
        <f>IF(K$8="(short tons/year)",(I12*DEFAULTS!$B$55*DEFAULTS!$B$53/DEFAULTS!$B$54),IF(K$8="(ft^3/year)",(J12*DEFAULTS!$B$57),IF(K$8="(av ft^3/min)",(J12*DEFAULTS!$B$57/DEFAULTS!$B$58),0)))</f>
        <v>0</v>
      </c>
      <c r="L12" s="62">
        <f>IF(ISERROR(METHANE!$J26*DEFAULTS!$B$83*(IF('USER INPUTS'!$B$28="Total landfill gas",(1/($D$5/100)),IF('USER INPUTS'!$B$28="Methane",1,IF('USER INPUTS'!$B$28="Carbon dioxide",((1/($D$5/100))-1),(VLOOKUP('USER INPUTS'!$B$28,DEFAULTS!$E$8:$F$69,2,FALSE))/10^6*(1/($D$5/100))))))),0,METHANE!$J26*DEFAULTS!$B$83*(IF('USER INPUTS'!$B$28="Total landfill gas",(1/($D$5/100)),IF('USER INPUTS'!$B$28="Methane",1,IF('USER INPUTS'!$B$28="Carbon dioxide",((1/($D$5/100))-1),(VLOOKUP('USER INPUTS'!$B$28,DEFAULTS!$E$8:$F$69,2,FALSE))/10^6*(1/($D$5/100)))))))</f>
        <v>3548.214853082291</v>
      </c>
      <c r="M12" s="62">
        <f>IF(ISERROR(METHANE!$J26*(IF('USER INPUTS'!$B$28="Total landfill gas",(1/($D$5/100)),IF('USER INPUTS'!$B$28="Methane",1,IF('USER INPUTS'!$B$28="Carbon dioxide",((1/($D$5/100))-1),(VLOOKUP('USER INPUTS'!$B$28,DEFAULTS!$E$8:$F$69,2,FALSE))/10^6*(1/($D$5/100))))))),0,METHANE!$J26*(IF('USER INPUTS'!$B$28="Total landfill gas",(1/($D$5/100)),IF('USER INPUTS'!$B$28="Methane",1,IF('USER INPUTS'!$B$28="Carbon dioxide",((1/($D$5/100))-1),(VLOOKUP('USER INPUTS'!$B$28,DEFAULTS!$E$8:$F$69,2,FALSE))/10^6*(1/($D$5/100)))))))</f>
        <v>1938386.8871106883</v>
      </c>
      <c r="N12" s="62">
        <f>IF(N$8="(short tons/year)",(L12*DEFAULTS!$B$55*DEFAULTS!$B$53/DEFAULTS!$B$54),IF(N$8="(ft^3/year)",(M12*DEFAULTS!$B$57),IF(N$8="(av ft^3/min)",(M12*DEFAULTS!$B$57/DEFAULTS!$B$58),0)))</f>
        <v>130.23997891612242</v>
      </c>
      <c r="O12" s="62">
        <f>IF(ISERROR(METHANE!$J26*DEFAULTS!$B$84*(IF('USER INPUTS'!$B$30="Total landfill gas",(1/($D$5/100)),IF('USER INPUTS'!$B$30="Methane",1,IF('USER INPUTS'!$B$30="Carbon dioxide",((1/($D$5/100))-1),(VLOOKUP('USER INPUTS'!$B$30,DEFAULTS!$E$8:$F$69,2,FALSE))/10^6*(1/($D$5/100))))))),0,METHANE!$J26*DEFAULTS!$B$84*(IF('USER INPUTS'!$B$30="Total landfill gas",(1/($D$5/100)),IF('USER INPUTS'!$B$30="Methane",1,IF('USER INPUTS'!$B$30="Carbon dioxide",((1/($D$5/100))-1),(VLOOKUP('USER INPUTS'!$B$30,DEFAULTS!$E$8:$F$69,2,FALSE))/10^6*(1/($D$5/100)))))))</f>
        <v>0</v>
      </c>
      <c r="P12" s="62">
        <f>IF(ISERROR(METHANE!$J26*(IF('USER INPUTS'!$B$30="Total landfill gas",(1/($D$5/100)),IF('USER INPUTS'!$B$30="Methane",1,IF('USER INPUTS'!$B$30="Carbon dioxide",((1/($D$5/100))-1),(VLOOKUP('USER INPUTS'!$B$30,DEFAULTS!$E$8:$F$69,2,FALSE))/10^6*(1/($D$5/100))))))),0,METHANE!$J26*(IF('USER INPUTS'!$B$30="Total landfill gas",(1/($D$5/100)),IF('USER INPUTS'!$B$30="Methane",1,IF('USER INPUTS'!$B$30="Carbon dioxide",((1/($D$5/100))-1),(VLOOKUP('USER INPUTS'!$B$30,DEFAULTS!$E$8:$F$69,2,FALSE))/10^6*(1/($D$5/100)))))))</f>
        <v>0</v>
      </c>
      <c r="Q12" s="162">
        <f>IF(Q$8="(short tons/year)",(O12*DEFAULTS!$B$55*DEFAULTS!$B$53/DEFAULTS!$B$54),IF(Q$8="(ft^3/year)",(P12*DEFAULTS!$B$57),IF(Q$8="(av ft^3/min)",(P12*DEFAULTS!$B$57/DEFAULTS!$B$58),0)))</f>
        <v>0</v>
      </c>
    </row>
    <row r="13" spans="1:17">
      <c r="A13" s="68">
        <f>METHANE!I27</f>
        <v>2022</v>
      </c>
      <c r="B13" s="66">
        <f>IF(METHANE!E27&gt;0,METHANE!E27,0)</f>
        <v>227851</v>
      </c>
      <c r="C13" s="66">
        <f>IF(METHANE!E27&gt;0,METHANE!E27*DEFAULTS!$B$55*DEFAULTS!$B$53/DEFAULTS!$B$54,0)</f>
        <v>250636.10000000003</v>
      </c>
      <c r="D13" s="66">
        <f>IF(METHANE!F27&gt;0,METHANE!F27,0)</f>
        <v>909415</v>
      </c>
      <c r="E13" s="66">
        <f>IF(METHANE!F27&gt;0,METHANE!F27*DEFAULTS!$B$55*DEFAULTS!$B$53/DEFAULTS!$B$54,0)</f>
        <v>1000356.5000000001</v>
      </c>
      <c r="F13" s="62">
        <f>IF(ISERROR(METHANE!$J27*DEFAULTS!$B$81*(IF('USER INPUTS'!$B$24="Total landfill gas",(1/($D$5/100)),IF('USER INPUTS'!$B$24="Methane",1,IF('USER INPUTS'!$B$24="Carbon dioxide",((1/($D$5/100))-1),(VLOOKUP('USER INPUTS'!$B$24,DEFAULTS!$E$8:$F$69,2,FALSE))/10^6*(1/($D$5/100))))))),0,METHANE!$J27*DEFAULTS!$B$81*(IF('USER INPUTS'!$B$24="Total landfill gas",(1/($D$5/100)),IF('USER INPUTS'!$B$24="Methane",1,IF('USER INPUTS'!$B$24="Carbon dioxide",((1/($D$5/100))-1),(VLOOKUP('USER INPUTS'!$B$24,DEFAULTS!$E$8:$F$69,2,FALSE))/10^6*(1/($D$5/100)))))))</f>
        <v>0</v>
      </c>
      <c r="G13" s="62">
        <f>IF(ISERROR(METHANE!$J27*(IF('USER INPUTS'!$B$24="Total landfill gas",(1/($D$5/100)),IF('USER INPUTS'!$B$24="Methane",1,IF('USER INPUTS'!$B$24="Carbon dioxide",((1/($D$5/100))-1),(VLOOKUP('USER INPUTS'!$B$24,DEFAULTS!$E$8:$F$69,2,FALSE))/10^6*(1/($D$5/100))))))),0,METHANE!$J27*(IF('USER INPUTS'!$B$24="Total landfill gas",(1/($D$5/100)),IF('USER INPUTS'!$B$24="Methane",1,IF('USER INPUTS'!$B$24="Carbon dioxide",((1/($D$5/100))-1),(VLOOKUP('USER INPUTS'!$B$24,DEFAULTS!$E$8:$F$69,2,FALSE))/10^6*(1/($D$5/100)))))))</f>
        <v>0</v>
      </c>
      <c r="H13" s="62">
        <f>IF(H$8="(short tons/year)",(F13*DEFAULTS!$B$55*DEFAULTS!$B$53/DEFAULTS!$B$54),IF(H$8="(ft^3/year)",(G13*DEFAULTS!$B$57),IF(H$8="(av ft^3/min)",(G13*DEFAULTS!$B$57/DEFAULTS!$B$58),0)))</f>
        <v>0</v>
      </c>
      <c r="I13" s="62">
        <f>IF(ISERROR(METHANE!$J27*DEFAULTS!$B$82*(IF('USER INPUTS'!$B$26="Total landfill gas",(1/($D$5/100)),IF('USER INPUTS'!$B$26="Methane",1,IF('USER INPUTS'!$B$26="Carbon dioxide",((1/($D$5/100))-1),(VLOOKUP('USER INPUTS'!$B$26,DEFAULTS!$E$8:$F$69,2,FALSE))/10^6*(1/($D$5/100))))))),0,METHANE!$J27*DEFAULTS!$B$82*(IF('USER INPUTS'!$B$26="Total landfill gas",(1/($D$5/100)),IF('USER INPUTS'!$B$26="Methane",1,IF('USER INPUTS'!$B$26="Carbon dioxide",((1/($D$5/100))-1),(VLOOKUP('USER INPUTS'!$B$26,DEFAULTS!$E$8:$F$69,2,FALSE))/10^6*(1/($D$5/100)))))))</f>
        <v>0</v>
      </c>
      <c r="J13" s="62">
        <f>IF(ISERROR(METHANE!$J27*(IF('USER INPUTS'!$B$26="Total landfill gas",(1/($D$5/100)),IF('USER INPUTS'!$B$26="Methane",1,IF('USER INPUTS'!$B$26="Carbon dioxide",((1/($D$5/100))-1),(VLOOKUP('USER INPUTS'!$B$26,DEFAULTS!$E$8:$F$69,2,FALSE))/10^6*(1/($D$5/100))))))),0,METHANE!$J27*(IF('USER INPUTS'!$B$26="Total landfill gas",(1/($D$5/100)),IF('USER INPUTS'!$B$26="Methane",1,IF('USER INPUTS'!$B$26="Carbon dioxide",((1/($D$5/100))-1),(VLOOKUP('USER INPUTS'!$B$26,DEFAULTS!$E$8:$F$69,2,FALSE))/10^6*(1/($D$5/100)))))))</f>
        <v>0</v>
      </c>
      <c r="K13" s="62">
        <f>IF(K$8="(short tons/year)",(I13*DEFAULTS!$B$55*DEFAULTS!$B$53/DEFAULTS!$B$54),IF(K$8="(ft^3/year)",(J13*DEFAULTS!$B$57),IF(K$8="(av ft^3/min)",(J13*DEFAULTS!$B$57/DEFAULTS!$B$58),0)))</f>
        <v>0</v>
      </c>
      <c r="L13" s="62">
        <f>IF(ISERROR(METHANE!$J27*DEFAULTS!$B$83*(IF('USER INPUTS'!$B$28="Total landfill gas",(1/($D$5/100)),IF('USER INPUTS'!$B$28="Methane",1,IF('USER INPUTS'!$B$28="Carbon dioxide",((1/($D$5/100))-1),(VLOOKUP('USER INPUTS'!$B$28,DEFAULTS!$E$8:$F$69,2,FALSE))/10^6*(1/($D$5/100))))))),0,METHANE!$J27*DEFAULTS!$B$83*(IF('USER INPUTS'!$B$28="Total landfill gas",(1/($D$5/100)),IF('USER INPUTS'!$B$28="Methane",1,IF('USER INPUTS'!$B$28="Carbon dioxide",((1/($D$5/100))-1),(VLOOKUP('USER INPUTS'!$B$28,DEFAULTS!$E$8:$F$69,2,FALSE))/10^6*(1/($D$5/100)))))))</f>
        <v>4096.2497315889177</v>
      </c>
      <c r="M13" s="62">
        <f>IF(ISERROR(METHANE!$J27*(IF('USER INPUTS'!$B$28="Total landfill gas",(1/($D$5/100)),IF('USER INPUTS'!$B$28="Methane",1,IF('USER INPUTS'!$B$28="Carbon dioxide",((1/($D$5/100))-1),(VLOOKUP('USER INPUTS'!$B$28,DEFAULTS!$E$8:$F$69,2,FALSE))/10^6*(1/($D$5/100))))))),0,METHANE!$J27*(IF('USER INPUTS'!$B$28="Total landfill gas",(1/($D$5/100)),IF('USER INPUTS'!$B$28="Methane",1,IF('USER INPUTS'!$B$28="Carbon dioxide",((1/($D$5/100))-1),(VLOOKUP('USER INPUTS'!$B$28,DEFAULTS!$E$8:$F$69,2,FALSE))/10^6*(1/($D$5/100)))))))</f>
        <v>2237777.8953112583</v>
      </c>
      <c r="N13" s="62">
        <f>IF(N$8="(short tons/year)",(L13*DEFAULTS!$B$55*DEFAULTS!$B$53/DEFAULTS!$B$54),IF(N$8="(ft^3/year)",(M13*DEFAULTS!$B$57),IF(N$8="(av ft^3/min)",(M13*DEFAULTS!$B$57/DEFAULTS!$B$58),0)))</f>
        <v>150.35602430159264</v>
      </c>
      <c r="O13" s="62">
        <f>IF(ISERROR(METHANE!$J27*DEFAULTS!$B$84*(IF('USER INPUTS'!$B$30="Total landfill gas",(1/($D$5/100)),IF('USER INPUTS'!$B$30="Methane",1,IF('USER INPUTS'!$B$30="Carbon dioxide",((1/($D$5/100))-1),(VLOOKUP('USER INPUTS'!$B$30,DEFAULTS!$E$8:$F$69,2,FALSE))/10^6*(1/($D$5/100))))))),0,METHANE!$J27*DEFAULTS!$B$84*(IF('USER INPUTS'!$B$30="Total landfill gas",(1/($D$5/100)),IF('USER INPUTS'!$B$30="Methane",1,IF('USER INPUTS'!$B$30="Carbon dioxide",((1/($D$5/100))-1),(VLOOKUP('USER INPUTS'!$B$30,DEFAULTS!$E$8:$F$69,2,FALSE))/10^6*(1/($D$5/100)))))))</f>
        <v>0</v>
      </c>
      <c r="P13" s="62">
        <f>IF(ISERROR(METHANE!$J27*(IF('USER INPUTS'!$B$30="Total landfill gas",(1/($D$5/100)),IF('USER INPUTS'!$B$30="Methane",1,IF('USER INPUTS'!$B$30="Carbon dioxide",((1/($D$5/100))-1),(VLOOKUP('USER INPUTS'!$B$30,DEFAULTS!$E$8:$F$69,2,FALSE))/10^6*(1/($D$5/100))))))),0,METHANE!$J27*(IF('USER INPUTS'!$B$30="Total landfill gas",(1/($D$5/100)),IF('USER INPUTS'!$B$30="Methane",1,IF('USER INPUTS'!$B$30="Carbon dioxide",((1/($D$5/100))-1),(VLOOKUP('USER INPUTS'!$B$30,DEFAULTS!$E$8:$F$69,2,FALSE))/10^6*(1/($D$5/100)))))))</f>
        <v>0</v>
      </c>
      <c r="Q13" s="162">
        <f>IF(Q$8="(short tons/year)",(O13*DEFAULTS!$B$55*DEFAULTS!$B$53/DEFAULTS!$B$54),IF(Q$8="(ft^3/year)",(P13*DEFAULTS!$B$57),IF(Q$8="(av ft^3/min)",(P13*DEFAULTS!$B$57/DEFAULTS!$B$58),0)))</f>
        <v>0</v>
      </c>
    </row>
    <row r="14" spans="1:17">
      <c r="A14" s="68">
        <f>METHANE!I28</f>
        <v>2023</v>
      </c>
      <c r="B14" s="66">
        <f>IF(METHANE!E28&gt;0,METHANE!E28,0)</f>
        <v>238727</v>
      </c>
      <c r="C14" s="66">
        <f>IF(METHANE!E28&gt;0,METHANE!E28*DEFAULTS!$B$55*DEFAULTS!$B$53/DEFAULTS!$B$54,0)</f>
        <v>262599.7</v>
      </c>
      <c r="D14" s="66">
        <f>IF(METHANE!F28&gt;0,METHANE!F28,0)</f>
        <v>1137266</v>
      </c>
      <c r="E14" s="66">
        <f>IF(METHANE!F28&gt;0,METHANE!F28*DEFAULTS!$B$55*DEFAULTS!$B$53/DEFAULTS!$B$54,0)</f>
        <v>1250992.6000000001</v>
      </c>
      <c r="F14" s="62">
        <f>IF(ISERROR(METHANE!$J28*DEFAULTS!$B$81*(IF('USER INPUTS'!$B$24="Total landfill gas",(1/($D$5/100)),IF('USER INPUTS'!$B$24="Methane",1,IF('USER INPUTS'!$B$24="Carbon dioxide",((1/($D$5/100))-1),(VLOOKUP('USER INPUTS'!$B$24,DEFAULTS!$E$8:$F$69,2,FALSE))/10^6*(1/($D$5/100))))))),0,METHANE!$J28*DEFAULTS!$B$81*(IF('USER INPUTS'!$B$24="Total landfill gas",(1/($D$5/100)),IF('USER INPUTS'!$B$24="Methane",1,IF('USER INPUTS'!$B$24="Carbon dioxide",((1/($D$5/100))-1),(VLOOKUP('USER INPUTS'!$B$24,DEFAULTS!$E$8:$F$69,2,FALSE))/10^6*(1/($D$5/100)))))))</f>
        <v>0</v>
      </c>
      <c r="G14" s="62">
        <f>IF(ISERROR(METHANE!$J28*(IF('USER INPUTS'!$B$24="Total landfill gas",(1/($D$5/100)),IF('USER INPUTS'!$B$24="Methane",1,IF('USER INPUTS'!$B$24="Carbon dioxide",((1/($D$5/100))-1),(VLOOKUP('USER INPUTS'!$B$24,DEFAULTS!$E$8:$F$69,2,FALSE))/10^6*(1/($D$5/100))))))),0,METHANE!$J28*(IF('USER INPUTS'!$B$24="Total landfill gas",(1/($D$5/100)),IF('USER INPUTS'!$B$24="Methane",1,IF('USER INPUTS'!$B$24="Carbon dioxide",((1/($D$5/100))-1),(VLOOKUP('USER INPUTS'!$B$24,DEFAULTS!$E$8:$F$69,2,FALSE))/10^6*(1/($D$5/100)))))))</f>
        <v>0</v>
      </c>
      <c r="H14" s="62">
        <f>IF(H$8="(short tons/year)",(F14*DEFAULTS!$B$55*DEFAULTS!$B$53/DEFAULTS!$B$54),IF(H$8="(ft^3/year)",(G14*DEFAULTS!$B$57),IF(H$8="(av ft^3/min)",(G14*DEFAULTS!$B$57/DEFAULTS!$B$58),0)))</f>
        <v>0</v>
      </c>
      <c r="I14" s="62">
        <f>IF(ISERROR(METHANE!$J28*DEFAULTS!$B$82*(IF('USER INPUTS'!$B$26="Total landfill gas",(1/($D$5/100)),IF('USER INPUTS'!$B$26="Methane",1,IF('USER INPUTS'!$B$26="Carbon dioxide",((1/($D$5/100))-1),(VLOOKUP('USER INPUTS'!$B$26,DEFAULTS!$E$8:$F$69,2,FALSE))/10^6*(1/($D$5/100))))))),0,METHANE!$J28*DEFAULTS!$B$82*(IF('USER INPUTS'!$B$26="Total landfill gas",(1/($D$5/100)),IF('USER INPUTS'!$B$26="Methane",1,IF('USER INPUTS'!$B$26="Carbon dioxide",((1/($D$5/100))-1),(VLOOKUP('USER INPUTS'!$B$26,DEFAULTS!$E$8:$F$69,2,FALSE))/10^6*(1/($D$5/100)))))))</f>
        <v>0</v>
      </c>
      <c r="J14" s="62">
        <f>IF(ISERROR(METHANE!$J28*(IF('USER INPUTS'!$B$26="Total landfill gas",(1/($D$5/100)),IF('USER INPUTS'!$B$26="Methane",1,IF('USER INPUTS'!$B$26="Carbon dioxide",((1/($D$5/100))-1),(VLOOKUP('USER INPUTS'!$B$26,DEFAULTS!$E$8:$F$69,2,FALSE))/10^6*(1/($D$5/100))))))),0,METHANE!$J28*(IF('USER INPUTS'!$B$26="Total landfill gas",(1/($D$5/100)),IF('USER INPUTS'!$B$26="Methane",1,IF('USER INPUTS'!$B$26="Carbon dioxide",((1/($D$5/100))-1),(VLOOKUP('USER INPUTS'!$B$26,DEFAULTS!$E$8:$F$69,2,FALSE))/10^6*(1/($D$5/100)))))))</f>
        <v>0</v>
      </c>
      <c r="K14" s="62">
        <f>IF(K$8="(short tons/year)",(I14*DEFAULTS!$B$55*DEFAULTS!$B$53/DEFAULTS!$B$54),IF(K$8="(ft^3/year)",(J14*DEFAULTS!$B$57),IF(K$8="(av ft^3/min)",(J14*DEFAULTS!$B$57/DEFAULTS!$B$58),0)))</f>
        <v>0</v>
      </c>
      <c r="L14" s="62">
        <f>IF(ISERROR(METHANE!$J28*DEFAULTS!$B$83*(IF('USER INPUTS'!$B$28="Total landfill gas",(1/($D$5/100)),IF('USER INPUTS'!$B$28="Methane",1,IF('USER INPUTS'!$B$28="Carbon dioxide",((1/($D$5/100))-1),(VLOOKUP('USER INPUTS'!$B$28,DEFAULTS!$E$8:$F$69,2,FALSE))/10^6*(1/($D$5/100))))))),0,METHANE!$J28*DEFAULTS!$B$83*(IF('USER INPUTS'!$B$28="Total landfill gas",(1/($D$5/100)),IF('USER INPUTS'!$B$28="Methane",1,IF('USER INPUTS'!$B$28="Carbon dioxide",((1/($D$5/100))-1),(VLOOKUP('USER INPUTS'!$B$28,DEFAULTS!$E$8:$F$69,2,FALSE))/10^6*(1/($D$5/100)))))))</f>
        <v>5028.0807427860918</v>
      </c>
      <c r="M14" s="62">
        <f>IF(ISERROR(METHANE!$J28*(IF('USER INPUTS'!$B$28="Total landfill gas",(1/($D$5/100)),IF('USER INPUTS'!$B$28="Methane",1,IF('USER INPUTS'!$B$28="Carbon dioxide",((1/($D$5/100))-1),(VLOOKUP('USER INPUTS'!$B$28,DEFAULTS!$E$8:$F$69,2,FALSE))/10^6*(1/($D$5/100))))))),0,METHANE!$J28*(IF('USER INPUTS'!$B$28="Total landfill gas",(1/($D$5/100)),IF('USER INPUTS'!$B$28="Methane",1,IF('USER INPUTS'!$B$28="Carbon dioxide",((1/($D$5/100))-1),(VLOOKUP('USER INPUTS'!$B$28,DEFAULTS!$E$8:$F$69,2,FALSE))/10^6*(1/($D$5/100)))))))</f>
        <v>2746836.4185116305</v>
      </c>
      <c r="N14" s="62">
        <f>IF(N$8="(short tons/year)",(L14*DEFAULTS!$B$55*DEFAULTS!$B$53/DEFAULTS!$B$54),IF(N$8="(ft^3/year)",(M14*DEFAULTS!$B$57),IF(N$8="(av ft^3/min)",(M14*DEFAULTS!$B$57/DEFAULTS!$B$58),0)))</f>
        <v>184.55960448960849</v>
      </c>
      <c r="O14" s="62">
        <f>IF(ISERROR(METHANE!$J28*DEFAULTS!$B$84*(IF('USER INPUTS'!$B$30="Total landfill gas",(1/($D$5/100)),IF('USER INPUTS'!$B$30="Methane",1,IF('USER INPUTS'!$B$30="Carbon dioxide",((1/($D$5/100))-1),(VLOOKUP('USER INPUTS'!$B$30,DEFAULTS!$E$8:$F$69,2,FALSE))/10^6*(1/($D$5/100))))))),0,METHANE!$J28*DEFAULTS!$B$84*(IF('USER INPUTS'!$B$30="Total landfill gas",(1/($D$5/100)),IF('USER INPUTS'!$B$30="Methane",1,IF('USER INPUTS'!$B$30="Carbon dioxide",((1/($D$5/100))-1),(VLOOKUP('USER INPUTS'!$B$30,DEFAULTS!$E$8:$F$69,2,FALSE))/10^6*(1/($D$5/100)))))))</f>
        <v>0</v>
      </c>
      <c r="P14" s="62">
        <f>IF(ISERROR(METHANE!$J28*(IF('USER INPUTS'!$B$30="Total landfill gas",(1/($D$5/100)),IF('USER INPUTS'!$B$30="Methane",1,IF('USER INPUTS'!$B$30="Carbon dioxide",((1/($D$5/100))-1),(VLOOKUP('USER INPUTS'!$B$30,DEFAULTS!$E$8:$F$69,2,FALSE))/10^6*(1/($D$5/100))))))),0,METHANE!$J28*(IF('USER INPUTS'!$B$30="Total landfill gas",(1/($D$5/100)),IF('USER INPUTS'!$B$30="Methane",1,IF('USER INPUTS'!$B$30="Carbon dioxide",((1/($D$5/100))-1),(VLOOKUP('USER INPUTS'!$B$30,DEFAULTS!$E$8:$F$69,2,FALSE))/10^6*(1/($D$5/100)))))))</f>
        <v>0</v>
      </c>
      <c r="Q14" s="162">
        <f>IF(Q$8="(short tons/year)",(O14*DEFAULTS!$B$55*DEFAULTS!$B$53/DEFAULTS!$B$54),IF(Q$8="(ft^3/year)",(P14*DEFAULTS!$B$57),IF(Q$8="(av ft^3/min)",(P14*DEFAULTS!$B$57/DEFAULTS!$B$58),0)))</f>
        <v>0</v>
      </c>
    </row>
    <row r="15" spans="1:17">
      <c r="A15" s="68">
        <f>METHANE!I29</f>
        <v>2024</v>
      </c>
      <c r="B15" s="66">
        <f>IF(METHANE!E29&gt;0,METHANE!E29,0)</f>
        <v>250122</v>
      </c>
      <c r="C15" s="66">
        <f>IF(METHANE!E29&gt;0,METHANE!E29*DEFAULTS!$B$55*DEFAULTS!$B$53/DEFAULTS!$B$54,0)</f>
        <v>275134.2</v>
      </c>
      <c r="D15" s="66">
        <f>IF(METHANE!F29&gt;0,METHANE!F29,0)</f>
        <v>1375993</v>
      </c>
      <c r="E15" s="66">
        <f>IF(METHANE!F29&gt;0,METHANE!F29*DEFAULTS!$B$55*DEFAULTS!$B$53/DEFAULTS!$B$54,0)</f>
        <v>1513592.3</v>
      </c>
      <c r="F15" s="62">
        <f>IF(ISERROR(METHANE!$J29*DEFAULTS!$B$81*(IF('USER INPUTS'!$B$24="Total landfill gas",(1/($D$5/100)),IF('USER INPUTS'!$B$24="Methane",1,IF('USER INPUTS'!$B$24="Carbon dioxide",((1/($D$5/100))-1),(VLOOKUP('USER INPUTS'!$B$24,DEFAULTS!$E$8:$F$69,2,FALSE))/10^6*(1/($D$5/100))))))),0,METHANE!$J29*DEFAULTS!$B$81*(IF('USER INPUTS'!$B$24="Total landfill gas",(1/($D$5/100)),IF('USER INPUTS'!$B$24="Methane",1,IF('USER INPUTS'!$B$24="Carbon dioxide",((1/($D$5/100))-1),(VLOOKUP('USER INPUTS'!$B$24,DEFAULTS!$E$8:$F$69,2,FALSE))/10^6*(1/($D$5/100)))))))</f>
        <v>0</v>
      </c>
      <c r="G15" s="62">
        <f>IF(ISERROR(METHANE!$J29*(IF('USER INPUTS'!$B$24="Total landfill gas",(1/($D$5/100)),IF('USER INPUTS'!$B$24="Methane",1,IF('USER INPUTS'!$B$24="Carbon dioxide",((1/($D$5/100))-1),(VLOOKUP('USER INPUTS'!$B$24,DEFAULTS!$E$8:$F$69,2,FALSE))/10^6*(1/($D$5/100))))))),0,METHANE!$J29*(IF('USER INPUTS'!$B$24="Total landfill gas",(1/($D$5/100)),IF('USER INPUTS'!$B$24="Methane",1,IF('USER INPUTS'!$B$24="Carbon dioxide",((1/($D$5/100))-1),(VLOOKUP('USER INPUTS'!$B$24,DEFAULTS!$E$8:$F$69,2,FALSE))/10^6*(1/($D$5/100)))))))</f>
        <v>0</v>
      </c>
      <c r="H15" s="62">
        <f>IF(H$8="(short tons/year)",(F15*DEFAULTS!$B$55*DEFAULTS!$B$53/DEFAULTS!$B$54),IF(H$8="(ft^3/year)",(G15*DEFAULTS!$B$57),IF(H$8="(av ft^3/min)",(G15*DEFAULTS!$B$57/DEFAULTS!$B$58),0)))</f>
        <v>0</v>
      </c>
      <c r="I15" s="62">
        <f>IF(ISERROR(METHANE!$J29*DEFAULTS!$B$82*(IF('USER INPUTS'!$B$26="Total landfill gas",(1/($D$5/100)),IF('USER INPUTS'!$B$26="Methane",1,IF('USER INPUTS'!$B$26="Carbon dioxide",((1/($D$5/100))-1),(VLOOKUP('USER INPUTS'!$B$26,DEFAULTS!$E$8:$F$69,2,FALSE))/10^6*(1/($D$5/100))))))),0,METHANE!$J29*DEFAULTS!$B$82*(IF('USER INPUTS'!$B$26="Total landfill gas",(1/($D$5/100)),IF('USER INPUTS'!$B$26="Methane",1,IF('USER INPUTS'!$B$26="Carbon dioxide",((1/($D$5/100))-1),(VLOOKUP('USER INPUTS'!$B$26,DEFAULTS!$E$8:$F$69,2,FALSE))/10^6*(1/($D$5/100)))))))</f>
        <v>0</v>
      </c>
      <c r="J15" s="62">
        <f>IF(ISERROR(METHANE!$J29*(IF('USER INPUTS'!$B$26="Total landfill gas",(1/($D$5/100)),IF('USER INPUTS'!$B$26="Methane",1,IF('USER INPUTS'!$B$26="Carbon dioxide",((1/($D$5/100))-1),(VLOOKUP('USER INPUTS'!$B$26,DEFAULTS!$E$8:$F$69,2,FALSE))/10^6*(1/($D$5/100))))))),0,METHANE!$J29*(IF('USER INPUTS'!$B$26="Total landfill gas",(1/($D$5/100)),IF('USER INPUTS'!$B$26="Methane",1,IF('USER INPUTS'!$B$26="Carbon dioxide",((1/($D$5/100))-1),(VLOOKUP('USER INPUTS'!$B$26,DEFAULTS!$E$8:$F$69,2,FALSE))/10^6*(1/($D$5/100)))))))</f>
        <v>0</v>
      </c>
      <c r="K15" s="62">
        <f>IF(K$8="(short tons/year)",(I15*DEFAULTS!$B$55*DEFAULTS!$B$53/DEFAULTS!$B$54),IF(K$8="(ft^3/year)",(J15*DEFAULTS!$B$57),IF(K$8="(av ft^3/min)",(J15*DEFAULTS!$B$57/DEFAULTS!$B$58),0)))</f>
        <v>0</v>
      </c>
      <c r="L15" s="62">
        <f>IF(ISERROR(METHANE!$J29*DEFAULTS!$B$83*(IF('USER INPUTS'!$B$28="Total landfill gas",(1/($D$5/100)),IF('USER INPUTS'!$B$28="Methane",1,IF('USER INPUTS'!$B$28="Carbon dioxide",((1/($D$5/100))-1),(VLOOKUP('USER INPUTS'!$B$28,DEFAULTS!$E$8:$F$69,2,FALSE))/10^6*(1/($D$5/100))))))),0,METHANE!$J29*DEFAULTS!$B$83*(IF('USER INPUTS'!$B$28="Total landfill gas",(1/($D$5/100)),IF('USER INPUTS'!$B$28="Methane",1,IF('USER INPUTS'!$B$28="Carbon dioxide",((1/($D$5/100))-1),(VLOOKUP('USER INPUTS'!$B$28,DEFAULTS!$E$8:$F$69,2,FALSE))/10^6*(1/($D$5/100)))))))</f>
        <v>5975.5198660121559</v>
      </c>
      <c r="M15" s="62">
        <f>IF(ISERROR(METHANE!$J29*(IF('USER INPUTS'!$B$28="Total landfill gas",(1/($D$5/100)),IF('USER INPUTS'!$B$28="Methane",1,IF('USER INPUTS'!$B$28="Carbon dioxide",((1/($D$5/100))-1),(VLOOKUP('USER INPUTS'!$B$28,DEFAULTS!$E$8:$F$69,2,FALSE))/10^6*(1/($D$5/100))))))),0,METHANE!$J29*(IF('USER INPUTS'!$B$28="Total landfill gas",(1/($D$5/100)),IF('USER INPUTS'!$B$28="Methane",1,IF('USER INPUTS'!$B$28="Carbon dioxide",((1/($D$5/100))-1),(VLOOKUP('USER INPUTS'!$B$28,DEFAULTS!$E$8:$F$69,2,FALSE))/10^6*(1/($D$5/100)))))))</f>
        <v>3264421.6406133031</v>
      </c>
      <c r="N15" s="62">
        <f>IF(N$8="(short tons/year)",(L15*DEFAULTS!$B$55*DEFAULTS!$B$53/DEFAULTS!$B$54),IF(N$8="(ft^3/year)",(M15*DEFAULTS!$B$57),IF(N$8="(av ft^3/min)",(M15*DEFAULTS!$B$57/DEFAULTS!$B$58),0)))</f>
        <v>219.33609253854414</v>
      </c>
      <c r="O15" s="62">
        <f>IF(ISERROR(METHANE!$J29*DEFAULTS!$B$84*(IF('USER INPUTS'!$B$30="Total landfill gas",(1/($D$5/100)),IF('USER INPUTS'!$B$30="Methane",1,IF('USER INPUTS'!$B$30="Carbon dioxide",((1/($D$5/100))-1),(VLOOKUP('USER INPUTS'!$B$30,DEFAULTS!$E$8:$F$69,2,FALSE))/10^6*(1/($D$5/100))))))),0,METHANE!$J29*DEFAULTS!$B$84*(IF('USER INPUTS'!$B$30="Total landfill gas",(1/($D$5/100)),IF('USER INPUTS'!$B$30="Methane",1,IF('USER INPUTS'!$B$30="Carbon dioxide",((1/($D$5/100))-1),(VLOOKUP('USER INPUTS'!$B$30,DEFAULTS!$E$8:$F$69,2,FALSE))/10^6*(1/($D$5/100)))))))</f>
        <v>0</v>
      </c>
      <c r="P15" s="62">
        <f>IF(ISERROR(METHANE!$J29*(IF('USER INPUTS'!$B$30="Total landfill gas",(1/($D$5/100)),IF('USER INPUTS'!$B$30="Methane",1,IF('USER INPUTS'!$B$30="Carbon dioxide",((1/($D$5/100))-1),(VLOOKUP('USER INPUTS'!$B$30,DEFAULTS!$E$8:$F$69,2,FALSE))/10^6*(1/($D$5/100))))))),0,METHANE!$J29*(IF('USER INPUTS'!$B$30="Total landfill gas",(1/($D$5/100)),IF('USER INPUTS'!$B$30="Methane",1,IF('USER INPUTS'!$B$30="Carbon dioxide",((1/($D$5/100))-1),(VLOOKUP('USER INPUTS'!$B$30,DEFAULTS!$E$8:$F$69,2,FALSE))/10^6*(1/($D$5/100)))))))</f>
        <v>0</v>
      </c>
      <c r="Q15" s="162">
        <f>IF(Q$8="(short tons/year)",(O15*DEFAULTS!$B$55*DEFAULTS!$B$53/DEFAULTS!$B$54),IF(Q$8="(ft^3/year)",(P15*DEFAULTS!$B$57),IF(Q$8="(av ft^3/min)",(P15*DEFAULTS!$B$57/DEFAULTS!$B$58),0)))</f>
        <v>0</v>
      </c>
    </row>
    <row r="16" spans="1:17">
      <c r="A16" s="68">
        <f>METHANE!I30</f>
        <v>2025</v>
      </c>
      <c r="B16" s="66">
        <f>IF(METHANE!E30&gt;0,METHANE!E30,0)</f>
        <v>262060</v>
      </c>
      <c r="C16" s="66">
        <f>IF(METHANE!E30&gt;0,METHANE!E30*DEFAULTS!$B$55*DEFAULTS!$B$53/DEFAULTS!$B$54,0)</f>
        <v>288266</v>
      </c>
      <c r="D16" s="66">
        <f>IF(METHANE!F30&gt;0,METHANE!F30,0)</f>
        <v>1626115</v>
      </c>
      <c r="E16" s="66">
        <f>IF(METHANE!F30&gt;0,METHANE!F30*DEFAULTS!$B$55*DEFAULTS!$B$53/DEFAULTS!$B$54,0)</f>
        <v>1788726.5</v>
      </c>
      <c r="F16" s="62">
        <f>IF(ISERROR(METHANE!$J30*DEFAULTS!$B$81*(IF('USER INPUTS'!$B$24="Total landfill gas",(1/($D$5/100)),IF('USER INPUTS'!$B$24="Methane",1,IF('USER INPUTS'!$B$24="Carbon dioxide",((1/($D$5/100))-1),(VLOOKUP('USER INPUTS'!$B$24,DEFAULTS!$E$8:$F$69,2,FALSE))/10^6*(1/($D$5/100))))))),0,METHANE!$J30*DEFAULTS!$B$81*(IF('USER INPUTS'!$B$24="Total landfill gas",(1/($D$5/100)),IF('USER INPUTS'!$B$24="Methane",1,IF('USER INPUTS'!$B$24="Carbon dioxide",((1/($D$5/100))-1),(VLOOKUP('USER INPUTS'!$B$24,DEFAULTS!$E$8:$F$69,2,FALSE))/10^6*(1/($D$5/100)))))))</f>
        <v>0</v>
      </c>
      <c r="G16" s="62">
        <f>IF(ISERROR(METHANE!$J30*(IF('USER INPUTS'!$B$24="Total landfill gas",(1/($D$5/100)),IF('USER INPUTS'!$B$24="Methane",1,IF('USER INPUTS'!$B$24="Carbon dioxide",((1/($D$5/100))-1),(VLOOKUP('USER INPUTS'!$B$24,DEFAULTS!$E$8:$F$69,2,FALSE))/10^6*(1/($D$5/100))))))),0,METHANE!$J30*(IF('USER INPUTS'!$B$24="Total landfill gas",(1/($D$5/100)),IF('USER INPUTS'!$B$24="Methane",1,IF('USER INPUTS'!$B$24="Carbon dioxide",((1/($D$5/100))-1),(VLOOKUP('USER INPUTS'!$B$24,DEFAULTS!$E$8:$F$69,2,FALSE))/10^6*(1/($D$5/100)))))))</f>
        <v>0</v>
      </c>
      <c r="H16" s="62">
        <f>IF(H$8="(short tons/year)",(F16*DEFAULTS!$B$55*DEFAULTS!$B$53/DEFAULTS!$B$54),IF(H$8="(ft^3/year)",(G16*DEFAULTS!$B$57),IF(H$8="(av ft^3/min)",(G16*DEFAULTS!$B$57/DEFAULTS!$B$58),0)))</f>
        <v>0</v>
      </c>
      <c r="I16" s="62">
        <f>IF(ISERROR(METHANE!$J30*DEFAULTS!$B$82*(IF('USER INPUTS'!$B$26="Total landfill gas",(1/($D$5/100)),IF('USER INPUTS'!$B$26="Methane",1,IF('USER INPUTS'!$B$26="Carbon dioxide",((1/($D$5/100))-1),(VLOOKUP('USER INPUTS'!$B$26,DEFAULTS!$E$8:$F$69,2,FALSE))/10^6*(1/($D$5/100))))))),0,METHANE!$J30*DEFAULTS!$B$82*(IF('USER INPUTS'!$B$26="Total landfill gas",(1/($D$5/100)),IF('USER INPUTS'!$B$26="Methane",1,IF('USER INPUTS'!$B$26="Carbon dioxide",((1/($D$5/100))-1),(VLOOKUP('USER INPUTS'!$B$26,DEFAULTS!$E$8:$F$69,2,FALSE))/10^6*(1/($D$5/100)))))))</f>
        <v>0</v>
      </c>
      <c r="J16" s="62">
        <f>IF(ISERROR(METHANE!$J30*(IF('USER INPUTS'!$B$26="Total landfill gas",(1/($D$5/100)),IF('USER INPUTS'!$B$26="Methane",1,IF('USER INPUTS'!$B$26="Carbon dioxide",((1/($D$5/100))-1),(VLOOKUP('USER INPUTS'!$B$26,DEFAULTS!$E$8:$F$69,2,FALSE))/10^6*(1/($D$5/100))))))),0,METHANE!$J30*(IF('USER INPUTS'!$B$26="Total landfill gas",(1/($D$5/100)),IF('USER INPUTS'!$B$26="Methane",1,IF('USER INPUTS'!$B$26="Carbon dioxide",((1/($D$5/100))-1),(VLOOKUP('USER INPUTS'!$B$26,DEFAULTS!$E$8:$F$69,2,FALSE))/10^6*(1/($D$5/100)))))))</f>
        <v>0</v>
      </c>
      <c r="K16" s="62">
        <f>IF(K$8="(short tons/year)",(I16*DEFAULTS!$B$55*DEFAULTS!$B$53/DEFAULTS!$B$54),IF(K$8="(ft^3/year)",(J16*DEFAULTS!$B$57),IF(K$8="(av ft^3/min)",(J16*DEFAULTS!$B$57/DEFAULTS!$B$58),0)))</f>
        <v>0</v>
      </c>
      <c r="L16" s="62">
        <f>IF(ISERROR(METHANE!$J30*DEFAULTS!$B$83*(IF('USER INPUTS'!$B$28="Total landfill gas",(1/($D$5/100)),IF('USER INPUTS'!$B$28="Methane",1,IF('USER INPUTS'!$B$28="Carbon dioxide",((1/($D$5/100))-1),(VLOOKUP('USER INPUTS'!$B$28,DEFAULTS!$E$8:$F$69,2,FALSE))/10^6*(1/($D$5/100))))))),0,METHANE!$J30*DEFAULTS!$B$83*(IF('USER INPUTS'!$B$28="Total landfill gas",(1/($D$5/100)),IF('USER INPUTS'!$B$28="Methane",1,IF('USER INPUTS'!$B$28="Carbon dioxide",((1/($D$5/100))-1),(VLOOKUP('USER INPUTS'!$B$28,DEFAULTS!$E$8:$F$69,2,FALSE))/10^6*(1/($D$5/100)))))))</f>
        <v>6940.4434795679235</v>
      </c>
      <c r="M16" s="62">
        <f>IF(ISERROR(METHANE!$J30*(IF('USER INPUTS'!$B$28="Total landfill gas",(1/($D$5/100)),IF('USER INPUTS'!$B$28="Methane",1,IF('USER INPUTS'!$B$28="Carbon dioxide",((1/($D$5/100))-1),(VLOOKUP('USER INPUTS'!$B$28,DEFAULTS!$E$8:$F$69,2,FALSE))/10^6*(1/($D$5/100))))))),0,METHANE!$J30*(IF('USER INPUTS'!$B$28="Total landfill gas",(1/($D$5/100)),IF('USER INPUTS'!$B$28="Methane",1,IF('USER INPUTS'!$B$28="Carbon dioxide",((1/($D$5/100))-1),(VLOOKUP('USER INPUTS'!$B$28,DEFAULTS!$E$8:$F$69,2,FALSE))/10^6*(1/($D$5/100)))))))</f>
        <v>3791558.6255552294</v>
      </c>
      <c r="N16" s="62">
        <f>IF(N$8="(short tons/year)",(L16*DEFAULTS!$B$55*DEFAULTS!$B$53/DEFAULTS!$B$54),IF(N$8="(ft^3/year)",(M16*DEFAULTS!$B$57),IF(N$8="(av ft^3/min)",(M16*DEFAULTS!$B$57/DEFAULTS!$B$58),0)))</f>
        <v>254.75436236964026</v>
      </c>
      <c r="O16" s="62">
        <f>IF(ISERROR(METHANE!$J30*DEFAULTS!$B$84*(IF('USER INPUTS'!$B$30="Total landfill gas",(1/($D$5/100)),IF('USER INPUTS'!$B$30="Methane",1,IF('USER INPUTS'!$B$30="Carbon dioxide",((1/($D$5/100))-1),(VLOOKUP('USER INPUTS'!$B$30,DEFAULTS!$E$8:$F$69,2,FALSE))/10^6*(1/($D$5/100))))))),0,METHANE!$J30*DEFAULTS!$B$84*(IF('USER INPUTS'!$B$30="Total landfill gas",(1/($D$5/100)),IF('USER INPUTS'!$B$30="Methane",1,IF('USER INPUTS'!$B$30="Carbon dioxide",((1/($D$5/100))-1),(VLOOKUP('USER INPUTS'!$B$30,DEFAULTS!$E$8:$F$69,2,FALSE))/10^6*(1/($D$5/100)))))))</f>
        <v>0</v>
      </c>
      <c r="P16" s="62">
        <f>IF(ISERROR(METHANE!$J30*(IF('USER INPUTS'!$B$30="Total landfill gas",(1/($D$5/100)),IF('USER INPUTS'!$B$30="Methane",1,IF('USER INPUTS'!$B$30="Carbon dioxide",((1/($D$5/100))-1),(VLOOKUP('USER INPUTS'!$B$30,DEFAULTS!$E$8:$F$69,2,FALSE))/10^6*(1/($D$5/100))))))),0,METHANE!$J30*(IF('USER INPUTS'!$B$30="Total landfill gas",(1/($D$5/100)),IF('USER INPUTS'!$B$30="Methane",1,IF('USER INPUTS'!$B$30="Carbon dioxide",((1/($D$5/100))-1),(VLOOKUP('USER INPUTS'!$B$30,DEFAULTS!$E$8:$F$69,2,FALSE))/10^6*(1/($D$5/100)))))))</f>
        <v>0</v>
      </c>
      <c r="Q16" s="162">
        <f>IF(Q$8="(short tons/year)",(O16*DEFAULTS!$B$55*DEFAULTS!$B$53/DEFAULTS!$B$54),IF(Q$8="(ft^3/year)",(P16*DEFAULTS!$B$57),IF(Q$8="(av ft^3/min)",(P16*DEFAULTS!$B$57/DEFAULTS!$B$58),0)))</f>
        <v>0</v>
      </c>
    </row>
    <row r="17" spans="1:17">
      <c r="A17" s="68">
        <f>METHANE!I31</f>
        <v>2026</v>
      </c>
      <c r="B17" s="66">
        <f>IF(METHANE!E31&gt;0,METHANE!E31,0)</f>
        <v>274569</v>
      </c>
      <c r="C17" s="66">
        <f>IF(METHANE!E31&gt;0,METHANE!E31*DEFAULTS!$B$55*DEFAULTS!$B$53/DEFAULTS!$B$54,0)</f>
        <v>302025.90000000002</v>
      </c>
      <c r="D17" s="66">
        <f>IF(METHANE!F31&gt;0,METHANE!F31,0)</f>
        <v>1888175</v>
      </c>
      <c r="E17" s="66">
        <f>IF(METHANE!F31&gt;0,METHANE!F31*DEFAULTS!$B$55*DEFAULTS!$B$53/DEFAULTS!$B$54,0)</f>
        <v>2076992.5000000002</v>
      </c>
      <c r="F17" s="62">
        <f>IF(ISERROR(METHANE!$J31*DEFAULTS!$B$81*(IF('USER INPUTS'!$B$24="Total landfill gas",(1/($D$5/100)),IF('USER INPUTS'!$B$24="Methane",1,IF('USER INPUTS'!$B$24="Carbon dioxide",((1/($D$5/100))-1),(VLOOKUP('USER INPUTS'!$B$24,DEFAULTS!$E$8:$F$69,2,FALSE))/10^6*(1/($D$5/100))))))),0,METHANE!$J31*DEFAULTS!$B$81*(IF('USER INPUTS'!$B$24="Total landfill gas",(1/($D$5/100)),IF('USER INPUTS'!$B$24="Methane",1,IF('USER INPUTS'!$B$24="Carbon dioxide",((1/($D$5/100))-1),(VLOOKUP('USER INPUTS'!$B$24,DEFAULTS!$E$8:$F$69,2,FALSE))/10^6*(1/($D$5/100)))))))</f>
        <v>0</v>
      </c>
      <c r="G17" s="62">
        <f>IF(ISERROR(METHANE!$J31*(IF('USER INPUTS'!$B$24="Total landfill gas",(1/($D$5/100)),IF('USER INPUTS'!$B$24="Methane",1,IF('USER INPUTS'!$B$24="Carbon dioxide",((1/($D$5/100))-1),(VLOOKUP('USER INPUTS'!$B$24,DEFAULTS!$E$8:$F$69,2,FALSE))/10^6*(1/($D$5/100))))))),0,METHANE!$J31*(IF('USER INPUTS'!$B$24="Total landfill gas",(1/($D$5/100)),IF('USER INPUTS'!$B$24="Methane",1,IF('USER INPUTS'!$B$24="Carbon dioxide",((1/($D$5/100))-1),(VLOOKUP('USER INPUTS'!$B$24,DEFAULTS!$E$8:$F$69,2,FALSE))/10^6*(1/($D$5/100)))))))</f>
        <v>0</v>
      </c>
      <c r="H17" s="62">
        <f>IF(H$8="(short tons/year)",(F17*DEFAULTS!$B$55*DEFAULTS!$B$53/DEFAULTS!$B$54),IF(H$8="(ft^3/year)",(G17*DEFAULTS!$B$57),IF(H$8="(av ft^3/min)",(G17*DEFAULTS!$B$57/DEFAULTS!$B$58),0)))</f>
        <v>0</v>
      </c>
      <c r="I17" s="62">
        <f>IF(ISERROR(METHANE!$J31*DEFAULTS!$B$82*(IF('USER INPUTS'!$B$26="Total landfill gas",(1/($D$5/100)),IF('USER INPUTS'!$B$26="Methane",1,IF('USER INPUTS'!$B$26="Carbon dioxide",((1/($D$5/100))-1),(VLOOKUP('USER INPUTS'!$B$26,DEFAULTS!$E$8:$F$69,2,FALSE))/10^6*(1/($D$5/100))))))),0,METHANE!$J31*DEFAULTS!$B$82*(IF('USER INPUTS'!$B$26="Total landfill gas",(1/($D$5/100)),IF('USER INPUTS'!$B$26="Methane",1,IF('USER INPUTS'!$B$26="Carbon dioxide",((1/($D$5/100))-1),(VLOOKUP('USER INPUTS'!$B$26,DEFAULTS!$E$8:$F$69,2,FALSE))/10^6*(1/($D$5/100)))))))</f>
        <v>0</v>
      </c>
      <c r="J17" s="62">
        <f>IF(ISERROR(METHANE!$J31*(IF('USER INPUTS'!$B$26="Total landfill gas",(1/($D$5/100)),IF('USER INPUTS'!$B$26="Methane",1,IF('USER INPUTS'!$B$26="Carbon dioxide",((1/($D$5/100))-1),(VLOOKUP('USER INPUTS'!$B$26,DEFAULTS!$E$8:$F$69,2,FALSE))/10^6*(1/($D$5/100))))))),0,METHANE!$J31*(IF('USER INPUTS'!$B$26="Total landfill gas",(1/($D$5/100)),IF('USER INPUTS'!$B$26="Methane",1,IF('USER INPUTS'!$B$26="Carbon dioxide",((1/($D$5/100))-1),(VLOOKUP('USER INPUTS'!$B$26,DEFAULTS!$E$8:$F$69,2,FALSE))/10^6*(1/($D$5/100)))))))</f>
        <v>0</v>
      </c>
      <c r="K17" s="62">
        <f>IF(K$8="(short tons/year)",(I17*DEFAULTS!$B$55*DEFAULTS!$B$53/DEFAULTS!$B$54),IF(K$8="(ft^3/year)",(J17*DEFAULTS!$B$57),IF(K$8="(av ft^3/min)",(J17*DEFAULTS!$B$57/DEFAULTS!$B$58),0)))</f>
        <v>0</v>
      </c>
      <c r="L17" s="62">
        <f>IF(ISERROR(METHANE!$J31*DEFAULTS!$B$83*(IF('USER INPUTS'!$B$28="Total landfill gas",(1/($D$5/100)),IF('USER INPUTS'!$B$28="Methane",1,IF('USER INPUTS'!$B$28="Carbon dioxide",((1/($D$5/100))-1),(VLOOKUP('USER INPUTS'!$B$28,DEFAULTS!$E$8:$F$69,2,FALSE))/10^6*(1/($D$5/100))))))),0,METHANE!$J31*DEFAULTS!$B$83*(IF('USER INPUTS'!$B$28="Total landfill gas",(1/($D$5/100)),IF('USER INPUTS'!$B$28="Methane",1,IF('USER INPUTS'!$B$28="Carbon dioxide",((1/($D$5/100))-1),(VLOOKUP('USER INPUTS'!$B$28,DEFAULTS!$E$8:$F$69,2,FALSE))/10^6*(1/($D$5/100)))))))</f>
        <v>7924.7694575561727</v>
      </c>
      <c r="M17" s="62">
        <f>IF(ISERROR(METHANE!$J31*(IF('USER INPUTS'!$B$28="Total landfill gas",(1/($D$5/100)),IF('USER INPUTS'!$B$28="Methane",1,IF('USER INPUTS'!$B$28="Carbon dioxide",((1/($D$5/100))-1),(VLOOKUP('USER INPUTS'!$B$28,DEFAULTS!$E$8:$F$69,2,FALSE))/10^6*(1/($D$5/100))))))),0,METHANE!$J31*(IF('USER INPUTS'!$B$28="Total landfill gas",(1/($D$5/100)),IF('USER INPUTS'!$B$28="Methane",1,IF('USER INPUTS'!$B$28="Carbon dioxide",((1/($D$5/100))-1),(VLOOKUP('USER INPUTS'!$B$28,DEFAULTS!$E$8:$F$69,2,FALSE))/10^6*(1/($D$5/100)))))))</f>
        <v>4329295.1063992139</v>
      </c>
      <c r="N17" s="62">
        <f>IF(N$8="(short tons/year)",(L17*DEFAULTS!$B$55*DEFAULTS!$B$53/DEFAULTS!$B$54),IF(N$8="(ft^3/year)",(M17*DEFAULTS!$B$57),IF(N$8="(av ft^3/min)",(M17*DEFAULTS!$B$57/DEFAULTS!$B$58),0)))</f>
        <v>290.88481103974169</v>
      </c>
      <c r="O17" s="62">
        <f>IF(ISERROR(METHANE!$J31*DEFAULTS!$B$84*(IF('USER INPUTS'!$B$30="Total landfill gas",(1/($D$5/100)),IF('USER INPUTS'!$B$30="Methane",1,IF('USER INPUTS'!$B$30="Carbon dioxide",((1/($D$5/100))-1),(VLOOKUP('USER INPUTS'!$B$30,DEFAULTS!$E$8:$F$69,2,FALSE))/10^6*(1/($D$5/100))))))),0,METHANE!$J31*DEFAULTS!$B$84*(IF('USER INPUTS'!$B$30="Total landfill gas",(1/($D$5/100)),IF('USER INPUTS'!$B$30="Methane",1,IF('USER INPUTS'!$B$30="Carbon dioxide",((1/($D$5/100))-1),(VLOOKUP('USER INPUTS'!$B$30,DEFAULTS!$E$8:$F$69,2,FALSE))/10^6*(1/($D$5/100)))))))</f>
        <v>0</v>
      </c>
      <c r="P17" s="62">
        <f>IF(ISERROR(METHANE!$J31*(IF('USER INPUTS'!$B$30="Total landfill gas",(1/($D$5/100)),IF('USER INPUTS'!$B$30="Methane",1,IF('USER INPUTS'!$B$30="Carbon dioxide",((1/($D$5/100))-1),(VLOOKUP('USER INPUTS'!$B$30,DEFAULTS!$E$8:$F$69,2,FALSE))/10^6*(1/($D$5/100))))))),0,METHANE!$J31*(IF('USER INPUTS'!$B$30="Total landfill gas",(1/($D$5/100)),IF('USER INPUTS'!$B$30="Methane",1,IF('USER INPUTS'!$B$30="Carbon dioxide",((1/($D$5/100))-1),(VLOOKUP('USER INPUTS'!$B$30,DEFAULTS!$E$8:$F$69,2,FALSE))/10^6*(1/($D$5/100)))))))</f>
        <v>0</v>
      </c>
      <c r="Q17" s="162">
        <f>IF(Q$8="(short tons/year)",(O17*DEFAULTS!$B$55*DEFAULTS!$B$53/DEFAULTS!$B$54),IF(Q$8="(ft^3/year)",(P17*DEFAULTS!$B$57),IF(Q$8="(av ft^3/min)",(P17*DEFAULTS!$B$57/DEFAULTS!$B$58),0)))</f>
        <v>0</v>
      </c>
    </row>
    <row r="18" spans="1:17">
      <c r="A18" s="68">
        <f>METHANE!I32</f>
        <v>2027</v>
      </c>
      <c r="B18" s="66">
        <f>IF(METHANE!E32&gt;0,METHANE!E32,0)</f>
        <v>287675</v>
      </c>
      <c r="C18" s="66">
        <f>IF(METHANE!E32&gt;0,METHANE!E32*DEFAULTS!$B$55*DEFAULTS!$B$53/DEFAULTS!$B$54,0)</f>
        <v>316442.5</v>
      </c>
      <c r="D18" s="66">
        <f>IF(METHANE!F32&gt;0,METHANE!F32,0)</f>
        <v>2162744</v>
      </c>
      <c r="E18" s="66">
        <f>IF(METHANE!F32&gt;0,METHANE!F32*DEFAULTS!$B$55*DEFAULTS!$B$53/DEFAULTS!$B$54,0)</f>
        <v>2379018.4</v>
      </c>
      <c r="F18" s="62">
        <f>IF(ISERROR(METHANE!$J32*DEFAULTS!$B$81*(IF('USER INPUTS'!$B$24="Total landfill gas",(1/($D$5/100)),IF('USER INPUTS'!$B$24="Methane",1,IF('USER INPUTS'!$B$24="Carbon dioxide",((1/($D$5/100))-1),(VLOOKUP('USER INPUTS'!$B$24,DEFAULTS!$E$8:$F$69,2,FALSE))/10^6*(1/($D$5/100))))))),0,METHANE!$J32*DEFAULTS!$B$81*(IF('USER INPUTS'!$B$24="Total landfill gas",(1/($D$5/100)),IF('USER INPUTS'!$B$24="Methane",1,IF('USER INPUTS'!$B$24="Carbon dioxide",((1/($D$5/100))-1),(VLOOKUP('USER INPUTS'!$B$24,DEFAULTS!$E$8:$F$69,2,FALSE))/10^6*(1/($D$5/100)))))))</f>
        <v>0</v>
      </c>
      <c r="G18" s="62">
        <f>IF(ISERROR(METHANE!$J32*(IF('USER INPUTS'!$B$24="Total landfill gas",(1/($D$5/100)),IF('USER INPUTS'!$B$24="Methane",1,IF('USER INPUTS'!$B$24="Carbon dioxide",((1/($D$5/100))-1),(VLOOKUP('USER INPUTS'!$B$24,DEFAULTS!$E$8:$F$69,2,FALSE))/10^6*(1/($D$5/100))))))),0,METHANE!$J32*(IF('USER INPUTS'!$B$24="Total landfill gas",(1/($D$5/100)),IF('USER INPUTS'!$B$24="Methane",1,IF('USER INPUTS'!$B$24="Carbon dioxide",((1/($D$5/100))-1),(VLOOKUP('USER INPUTS'!$B$24,DEFAULTS!$E$8:$F$69,2,FALSE))/10^6*(1/($D$5/100)))))))</f>
        <v>0</v>
      </c>
      <c r="H18" s="62">
        <f>IF(H$8="(short tons/year)",(F18*DEFAULTS!$B$55*DEFAULTS!$B$53/DEFAULTS!$B$54),IF(H$8="(ft^3/year)",(G18*DEFAULTS!$B$57),IF(H$8="(av ft^3/min)",(G18*DEFAULTS!$B$57/DEFAULTS!$B$58),0)))</f>
        <v>0</v>
      </c>
      <c r="I18" s="62">
        <f>IF(ISERROR(METHANE!$J32*DEFAULTS!$B$82*(IF('USER INPUTS'!$B$26="Total landfill gas",(1/($D$5/100)),IF('USER INPUTS'!$B$26="Methane",1,IF('USER INPUTS'!$B$26="Carbon dioxide",((1/($D$5/100))-1),(VLOOKUP('USER INPUTS'!$B$26,DEFAULTS!$E$8:$F$69,2,FALSE))/10^6*(1/($D$5/100))))))),0,METHANE!$J32*DEFAULTS!$B$82*(IF('USER INPUTS'!$B$26="Total landfill gas",(1/($D$5/100)),IF('USER INPUTS'!$B$26="Methane",1,IF('USER INPUTS'!$B$26="Carbon dioxide",((1/($D$5/100))-1),(VLOOKUP('USER INPUTS'!$B$26,DEFAULTS!$E$8:$F$69,2,FALSE))/10^6*(1/($D$5/100)))))))</f>
        <v>0</v>
      </c>
      <c r="J18" s="62">
        <f>IF(ISERROR(METHANE!$J32*(IF('USER INPUTS'!$B$26="Total landfill gas",(1/($D$5/100)),IF('USER INPUTS'!$B$26="Methane",1,IF('USER INPUTS'!$B$26="Carbon dioxide",((1/($D$5/100))-1),(VLOOKUP('USER INPUTS'!$B$26,DEFAULTS!$E$8:$F$69,2,FALSE))/10^6*(1/($D$5/100))))))),0,METHANE!$J32*(IF('USER INPUTS'!$B$26="Total landfill gas",(1/($D$5/100)),IF('USER INPUTS'!$B$26="Methane",1,IF('USER INPUTS'!$B$26="Carbon dioxide",((1/($D$5/100))-1),(VLOOKUP('USER INPUTS'!$B$26,DEFAULTS!$E$8:$F$69,2,FALSE))/10^6*(1/($D$5/100)))))))</f>
        <v>0</v>
      </c>
      <c r="K18" s="62">
        <f>IF(K$8="(short tons/year)",(I18*DEFAULTS!$B$55*DEFAULTS!$B$53/DEFAULTS!$B$54),IF(K$8="(ft^3/year)",(J18*DEFAULTS!$B$57),IF(K$8="(av ft^3/min)",(J18*DEFAULTS!$B$57/DEFAULTS!$B$58),0)))</f>
        <v>0</v>
      </c>
      <c r="L18" s="62">
        <f>IF(ISERROR(METHANE!$J32*DEFAULTS!$B$83*(IF('USER INPUTS'!$B$28="Total landfill gas",(1/($D$5/100)),IF('USER INPUTS'!$B$28="Methane",1,IF('USER INPUTS'!$B$28="Carbon dioxide",((1/($D$5/100))-1),(VLOOKUP('USER INPUTS'!$B$28,DEFAULTS!$E$8:$F$69,2,FALSE))/10^6*(1/($D$5/100))))))),0,METHANE!$J32*DEFAULTS!$B$83*(IF('USER INPUTS'!$B$28="Total landfill gas",(1/($D$5/100)),IF('USER INPUTS'!$B$28="Methane",1,IF('USER INPUTS'!$B$28="Carbon dioxide",((1/($D$5/100))-1),(VLOOKUP('USER INPUTS'!$B$28,DEFAULTS!$E$8:$F$69,2,FALSE))/10^6*(1/($D$5/100)))))))</f>
        <v>8930.4747210825662</v>
      </c>
      <c r="M18" s="62">
        <f>IF(ISERROR(METHANE!$J32*(IF('USER INPUTS'!$B$28="Total landfill gas",(1/($D$5/100)),IF('USER INPUTS'!$B$28="Methane",1,IF('USER INPUTS'!$B$28="Carbon dioxide",((1/($D$5/100))-1),(VLOOKUP('USER INPUTS'!$B$28,DEFAULTS!$E$8:$F$69,2,FALSE))/10^6*(1/($D$5/100))))))),0,METHANE!$J32*(IF('USER INPUTS'!$B$28="Total landfill gas",(1/($D$5/100)),IF('USER INPUTS'!$B$28="Methane",1,IF('USER INPUTS'!$B$28="Carbon dioxide",((1/($D$5/100))-1),(VLOOKUP('USER INPUTS'!$B$28,DEFAULTS!$E$8:$F$69,2,FALSE))/10^6*(1/($D$5/100)))))))</f>
        <v>4878711.0735366885</v>
      </c>
      <c r="N18" s="62">
        <f>IF(N$8="(short tons/year)",(L18*DEFAULTS!$B$55*DEFAULTS!$B$53/DEFAULTS!$B$54),IF(N$8="(ft^3/year)",(M18*DEFAULTS!$B$57),IF(N$8="(av ft^3/min)",(M18*DEFAULTS!$B$57/DEFAULTS!$B$58),0)))</f>
        <v>327.80000297174308</v>
      </c>
      <c r="O18" s="62">
        <f>IF(ISERROR(METHANE!$J32*DEFAULTS!$B$84*(IF('USER INPUTS'!$B$30="Total landfill gas",(1/($D$5/100)),IF('USER INPUTS'!$B$30="Methane",1,IF('USER INPUTS'!$B$30="Carbon dioxide",((1/($D$5/100))-1),(VLOOKUP('USER INPUTS'!$B$30,DEFAULTS!$E$8:$F$69,2,FALSE))/10^6*(1/($D$5/100))))))),0,METHANE!$J32*DEFAULTS!$B$84*(IF('USER INPUTS'!$B$30="Total landfill gas",(1/($D$5/100)),IF('USER INPUTS'!$B$30="Methane",1,IF('USER INPUTS'!$B$30="Carbon dioxide",((1/($D$5/100))-1),(VLOOKUP('USER INPUTS'!$B$30,DEFAULTS!$E$8:$F$69,2,FALSE))/10^6*(1/($D$5/100)))))))</f>
        <v>0</v>
      </c>
      <c r="P18" s="62">
        <f>IF(ISERROR(METHANE!$J32*(IF('USER INPUTS'!$B$30="Total landfill gas",(1/($D$5/100)),IF('USER INPUTS'!$B$30="Methane",1,IF('USER INPUTS'!$B$30="Carbon dioxide",((1/($D$5/100))-1),(VLOOKUP('USER INPUTS'!$B$30,DEFAULTS!$E$8:$F$69,2,FALSE))/10^6*(1/($D$5/100))))))),0,METHANE!$J32*(IF('USER INPUTS'!$B$30="Total landfill gas",(1/($D$5/100)),IF('USER INPUTS'!$B$30="Methane",1,IF('USER INPUTS'!$B$30="Carbon dioxide",((1/($D$5/100))-1),(VLOOKUP('USER INPUTS'!$B$30,DEFAULTS!$E$8:$F$69,2,FALSE))/10^6*(1/($D$5/100)))))))</f>
        <v>0</v>
      </c>
      <c r="Q18" s="162">
        <f>IF(Q$8="(short tons/year)",(O18*DEFAULTS!$B$55*DEFAULTS!$B$53/DEFAULTS!$B$54),IF(Q$8="(ft^3/year)",(P18*DEFAULTS!$B$57),IF(Q$8="(av ft^3/min)",(P18*DEFAULTS!$B$57/DEFAULTS!$B$58),0)))</f>
        <v>0</v>
      </c>
    </row>
    <row r="19" spans="1:17">
      <c r="A19" s="68">
        <f>METHANE!I33</f>
        <v>2028</v>
      </c>
      <c r="B19" s="66">
        <f>IF(METHANE!E33&gt;0,METHANE!E33,0)</f>
        <v>301406</v>
      </c>
      <c r="C19" s="66">
        <f>IF(METHANE!E33&gt;0,METHANE!E33*DEFAULTS!$B$55*DEFAULTS!$B$53/DEFAULTS!$B$54,0)</f>
        <v>331546.59999999998</v>
      </c>
      <c r="D19" s="66">
        <f>IF(METHANE!F33&gt;0,METHANE!F33,0)</f>
        <v>2450419</v>
      </c>
      <c r="E19" s="66">
        <f>IF(METHANE!F33&gt;0,METHANE!F33*DEFAULTS!$B$55*DEFAULTS!$B$53/DEFAULTS!$B$54,0)</f>
        <v>2695460.9</v>
      </c>
      <c r="F19" s="62">
        <f>IF(ISERROR(METHANE!$J33*DEFAULTS!$B$81*(IF('USER INPUTS'!$B$24="Total landfill gas",(1/($D$5/100)),IF('USER INPUTS'!$B$24="Methane",1,IF('USER INPUTS'!$B$24="Carbon dioxide",((1/($D$5/100))-1),(VLOOKUP('USER INPUTS'!$B$24,DEFAULTS!$E$8:$F$69,2,FALSE))/10^6*(1/($D$5/100))))))),0,METHANE!$J33*DEFAULTS!$B$81*(IF('USER INPUTS'!$B$24="Total landfill gas",(1/($D$5/100)),IF('USER INPUTS'!$B$24="Methane",1,IF('USER INPUTS'!$B$24="Carbon dioxide",((1/($D$5/100))-1),(VLOOKUP('USER INPUTS'!$B$24,DEFAULTS!$E$8:$F$69,2,FALSE))/10^6*(1/($D$5/100)))))))</f>
        <v>0</v>
      </c>
      <c r="G19" s="62">
        <f>IF(ISERROR(METHANE!$J33*(IF('USER INPUTS'!$B$24="Total landfill gas",(1/($D$5/100)),IF('USER INPUTS'!$B$24="Methane",1,IF('USER INPUTS'!$B$24="Carbon dioxide",((1/($D$5/100))-1),(VLOOKUP('USER INPUTS'!$B$24,DEFAULTS!$E$8:$F$69,2,FALSE))/10^6*(1/($D$5/100))))))),0,METHANE!$J33*(IF('USER INPUTS'!$B$24="Total landfill gas",(1/($D$5/100)),IF('USER INPUTS'!$B$24="Methane",1,IF('USER INPUTS'!$B$24="Carbon dioxide",((1/($D$5/100))-1),(VLOOKUP('USER INPUTS'!$B$24,DEFAULTS!$E$8:$F$69,2,FALSE))/10^6*(1/($D$5/100)))))))</f>
        <v>0</v>
      </c>
      <c r="H19" s="62">
        <f>IF(H$8="(short tons/year)",(F19*DEFAULTS!$B$55*DEFAULTS!$B$53/DEFAULTS!$B$54),IF(H$8="(ft^3/year)",(G19*DEFAULTS!$B$57),IF(H$8="(av ft^3/min)",(G19*DEFAULTS!$B$57/DEFAULTS!$B$58),0)))</f>
        <v>0</v>
      </c>
      <c r="I19" s="62">
        <f>IF(ISERROR(METHANE!$J33*DEFAULTS!$B$82*(IF('USER INPUTS'!$B$26="Total landfill gas",(1/($D$5/100)),IF('USER INPUTS'!$B$26="Methane",1,IF('USER INPUTS'!$B$26="Carbon dioxide",((1/($D$5/100))-1),(VLOOKUP('USER INPUTS'!$B$26,DEFAULTS!$E$8:$F$69,2,FALSE))/10^6*(1/($D$5/100))))))),0,METHANE!$J33*DEFAULTS!$B$82*(IF('USER INPUTS'!$B$26="Total landfill gas",(1/($D$5/100)),IF('USER INPUTS'!$B$26="Methane",1,IF('USER INPUTS'!$B$26="Carbon dioxide",((1/($D$5/100))-1),(VLOOKUP('USER INPUTS'!$B$26,DEFAULTS!$E$8:$F$69,2,FALSE))/10^6*(1/($D$5/100)))))))</f>
        <v>0</v>
      </c>
      <c r="J19" s="62">
        <f>IF(ISERROR(METHANE!$J33*(IF('USER INPUTS'!$B$26="Total landfill gas",(1/($D$5/100)),IF('USER INPUTS'!$B$26="Methane",1,IF('USER INPUTS'!$B$26="Carbon dioxide",((1/($D$5/100))-1),(VLOOKUP('USER INPUTS'!$B$26,DEFAULTS!$E$8:$F$69,2,FALSE))/10^6*(1/($D$5/100))))))),0,METHANE!$J33*(IF('USER INPUTS'!$B$26="Total landfill gas",(1/($D$5/100)),IF('USER INPUTS'!$B$26="Methane",1,IF('USER INPUTS'!$B$26="Carbon dioxide",((1/($D$5/100))-1),(VLOOKUP('USER INPUTS'!$B$26,DEFAULTS!$E$8:$F$69,2,FALSE))/10^6*(1/($D$5/100)))))))</f>
        <v>0</v>
      </c>
      <c r="K19" s="62">
        <f>IF(K$8="(short tons/year)",(I19*DEFAULTS!$B$55*DEFAULTS!$B$53/DEFAULTS!$B$54),IF(K$8="(ft^3/year)",(J19*DEFAULTS!$B$57),IF(K$8="(av ft^3/min)",(J19*DEFAULTS!$B$57/DEFAULTS!$B$58),0)))</f>
        <v>0</v>
      </c>
      <c r="L19" s="62">
        <f>IF(ISERROR(METHANE!$J33*DEFAULTS!$B$83*(IF('USER INPUTS'!$B$28="Total landfill gas",(1/($D$5/100)),IF('USER INPUTS'!$B$28="Methane",1,IF('USER INPUTS'!$B$28="Carbon dioxide",((1/($D$5/100))-1),(VLOOKUP('USER INPUTS'!$B$28,DEFAULTS!$E$8:$F$69,2,FALSE))/10^6*(1/($D$5/100))))))),0,METHANE!$J33*DEFAULTS!$B$83*(IF('USER INPUTS'!$B$28="Total landfill gas",(1/($D$5/100)),IF('USER INPUTS'!$B$28="Methane",1,IF('USER INPUTS'!$B$28="Carbon dioxide",((1/($D$5/100))-1),(VLOOKUP('USER INPUTS'!$B$28,DEFAULTS!$E$8:$F$69,2,FALSE))/10^6*(1/($D$5/100)))))))</f>
        <v>9959.5833338522516</v>
      </c>
      <c r="M19" s="62">
        <f>IF(ISERROR(METHANE!$J33*(IF('USER INPUTS'!$B$28="Total landfill gas",(1/($D$5/100)),IF('USER INPUTS'!$B$28="Methane",1,IF('USER INPUTS'!$B$28="Carbon dioxide",((1/($D$5/100))-1),(VLOOKUP('USER INPUTS'!$B$28,DEFAULTS!$E$8:$F$69,2,FALSE))/10^6*(1/($D$5/100))))))),0,METHANE!$J33*(IF('USER INPUTS'!$B$28="Total landfill gas",(1/($D$5/100)),IF('USER INPUTS'!$B$28="Methane",1,IF('USER INPUTS'!$B$28="Carbon dioxide",((1/($D$5/100))-1),(VLOOKUP('USER INPUTS'!$B$28,DEFAULTS!$E$8:$F$69,2,FALSE))/10^6*(1/($D$5/100)))))))</f>
        <v>5440912.2713228269</v>
      </c>
      <c r="N19" s="62">
        <f>IF(N$8="(short tons/year)",(L19*DEFAULTS!$B$55*DEFAULTS!$B$53/DEFAULTS!$B$54),IF(N$8="(ft^3/year)",(M19*DEFAULTS!$B$57),IF(N$8="(av ft^3/min)",(M19*DEFAULTS!$B$57/DEFAULTS!$B$58),0)))</f>
        <v>365.5742329942268</v>
      </c>
      <c r="O19" s="62">
        <f>IF(ISERROR(METHANE!$J33*DEFAULTS!$B$84*(IF('USER INPUTS'!$B$30="Total landfill gas",(1/($D$5/100)),IF('USER INPUTS'!$B$30="Methane",1,IF('USER INPUTS'!$B$30="Carbon dioxide",((1/($D$5/100))-1),(VLOOKUP('USER INPUTS'!$B$30,DEFAULTS!$E$8:$F$69,2,FALSE))/10^6*(1/($D$5/100))))))),0,METHANE!$J33*DEFAULTS!$B$84*(IF('USER INPUTS'!$B$30="Total landfill gas",(1/($D$5/100)),IF('USER INPUTS'!$B$30="Methane",1,IF('USER INPUTS'!$B$30="Carbon dioxide",((1/($D$5/100))-1),(VLOOKUP('USER INPUTS'!$B$30,DEFAULTS!$E$8:$F$69,2,FALSE))/10^6*(1/($D$5/100)))))))</f>
        <v>0</v>
      </c>
      <c r="P19" s="62">
        <f>IF(ISERROR(METHANE!$J33*(IF('USER INPUTS'!$B$30="Total landfill gas",(1/($D$5/100)),IF('USER INPUTS'!$B$30="Methane",1,IF('USER INPUTS'!$B$30="Carbon dioxide",((1/($D$5/100))-1),(VLOOKUP('USER INPUTS'!$B$30,DEFAULTS!$E$8:$F$69,2,FALSE))/10^6*(1/($D$5/100))))))),0,METHANE!$J33*(IF('USER INPUTS'!$B$30="Total landfill gas",(1/($D$5/100)),IF('USER INPUTS'!$B$30="Methane",1,IF('USER INPUTS'!$B$30="Carbon dioxide",((1/($D$5/100))-1),(VLOOKUP('USER INPUTS'!$B$30,DEFAULTS!$E$8:$F$69,2,FALSE))/10^6*(1/($D$5/100)))))))</f>
        <v>0</v>
      </c>
      <c r="Q19" s="162">
        <f>IF(Q$8="(short tons/year)",(O19*DEFAULTS!$B$55*DEFAULTS!$B$53/DEFAULTS!$B$54),IF(Q$8="(ft^3/year)",(P19*DEFAULTS!$B$57),IF(Q$8="(av ft^3/min)",(P19*DEFAULTS!$B$57/DEFAULTS!$B$58),0)))</f>
        <v>0</v>
      </c>
    </row>
    <row r="20" spans="1:17">
      <c r="A20" s="68">
        <f>METHANE!I34</f>
        <v>2029</v>
      </c>
      <c r="B20" s="66">
        <f>IF(METHANE!E34&gt;0,METHANE!E34,0)</f>
        <v>315793</v>
      </c>
      <c r="C20" s="66">
        <f>IF(METHANE!E34&gt;0,METHANE!E34*DEFAULTS!$B$55*DEFAULTS!$B$53/DEFAULTS!$B$54,0)</f>
        <v>347372.3</v>
      </c>
      <c r="D20" s="66">
        <f>IF(METHANE!F34&gt;0,METHANE!F34,0)</f>
        <v>2751825</v>
      </c>
      <c r="E20" s="66">
        <f>IF(METHANE!F34&gt;0,METHANE!F34*DEFAULTS!$B$55*DEFAULTS!$B$53/DEFAULTS!$B$54,0)</f>
        <v>3027007.5</v>
      </c>
      <c r="F20" s="62">
        <f>IF(ISERROR(METHANE!$J34*DEFAULTS!$B$81*(IF('USER INPUTS'!$B$24="Total landfill gas",(1/($D$5/100)),IF('USER INPUTS'!$B$24="Methane",1,IF('USER INPUTS'!$B$24="Carbon dioxide",((1/($D$5/100))-1),(VLOOKUP('USER INPUTS'!$B$24,DEFAULTS!$E$8:$F$69,2,FALSE))/10^6*(1/($D$5/100))))))),0,METHANE!$J34*DEFAULTS!$B$81*(IF('USER INPUTS'!$B$24="Total landfill gas",(1/($D$5/100)),IF('USER INPUTS'!$B$24="Methane",1,IF('USER INPUTS'!$B$24="Carbon dioxide",((1/($D$5/100))-1),(VLOOKUP('USER INPUTS'!$B$24,DEFAULTS!$E$8:$F$69,2,FALSE))/10^6*(1/($D$5/100)))))))</f>
        <v>0</v>
      </c>
      <c r="G20" s="62">
        <f>IF(ISERROR(METHANE!$J34*(IF('USER INPUTS'!$B$24="Total landfill gas",(1/($D$5/100)),IF('USER INPUTS'!$B$24="Methane",1,IF('USER INPUTS'!$B$24="Carbon dioxide",((1/($D$5/100))-1),(VLOOKUP('USER INPUTS'!$B$24,DEFAULTS!$E$8:$F$69,2,FALSE))/10^6*(1/($D$5/100))))))),0,METHANE!$J34*(IF('USER INPUTS'!$B$24="Total landfill gas",(1/($D$5/100)),IF('USER INPUTS'!$B$24="Methane",1,IF('USER INPUTS'!$B$24="Carbon dioxide",((1/($D$5/100))-1),(VLOOKUP('USER INPUTS'!$B$24,DEFAULTS!$E$8:$F$69,2,FALSE))/10^6*(1/($D$5/100)))))))</f>
        <v>0</v>
      </c>
      <c r="H20" s="62">
        <f>IF(H$8="(short tons/year)",(F20*DEFAULTS!$B$55*DEFAULTS!$B$53/DEFAULTS!$B$54),IF(H$8="(ft^3/year)",(G20*DEFAULTS!$B$57),IF(H$8="(av ft^3/min)",(G20*DEFAULTS!$B$57/DEFAULTS!$B$58),0)))</f>
        <v>0</v>
      </c>
      <c r="I20" s="62">
        <f>IF(ISERROR(METHANE!$J34*DEFAULTS!$B$82*(IF('USER INPUTS'!$B$26="Total landfill gas",(1/($D$5/100)),IF('USER INPUTS'!$B$26="Methane",1,IF('USER INPUTS'!$B$26="Carbon dioxide",((1/($D$5/100))-1),(VLOOKUP('USER INPUTS'!$B$26,DEFAULTS!$E$8:$F$69,2,FALSE))/10^6*(1/($D$5/100))))))),0,METHANE!$J34*DEFAULTS!$B$82*(IF('USER INPUTS'!$B$26="Total landfill gas",(1/($D$5/100)),IF('USER INPUTS'!$B$26="Methane",1,IF('USER INPUTS'!$B$26="Carbon dioxide",((1/($D$5/100))-1),(VLOOKUP('USER INPUTS'!$B$26,DEFAULTS!$E$8:$F$69,2,FALSE))/10^6*(1/($D$5/100)))))))</f>
        <v>0</v>
      </c>
      <c r="J20" s="62">
        <f>IF(ISERROR(METHANE!$J34*(IF('USER INPUTS'!$B$26="Total landfill gas",(1/($D$5/100)),IF('USER INPUTS'!$B$26="Methane",1,IF('USER INPUTS'!$B$26="Carbon dioxide",((1/($D$5/100))-1),(VLOOKUP('USER INPUTS'!$B$26,DEFAULTS!$E$8:$F$69,2,FALSE))/10^6*(1/($D$5/100))))))),0,METHANE!$J34*(IF('USER INPUTS'!$B$26="Total landfill gas",(1/($D$5/100)),IF('USER INPUTS'!$B$26="Methane",1,IF('USER INPUTS'!$B$26="Carbon dioxide",((1/($D$5/100))-1),(VLOOKUP('USER INPUTS'!$B$26,DEFAULTS!$E$8:$F$69,2,FALSE))/10^6*(1/($D$5/100)))))))</f>
        <v>0</v>
      </c>
      <c r="K20" s="62">
        <f>IF(K$8="(short tons/year)",(I20*DEFAULTS!$B$55*DEFAULTS!$B$53/DEFAULTS!$B$54),IF(K$8="(ft^3/year)",(J20*DEFAULTS!$B$57),IF(K$8="(av ft^3/min)",(J20*DEFAULTS!$B$57/DEFAULTS!$B$58),0)))</f>
        <v>0</v>
      </c>
      <c r="L20" s="62">
        <f>IF(ISERROR(METHANE!$J34*DEFAULTS!$B$83*(IF('USER INPUTS'!$B$28="Total landfill gas",(1/($D$5/100)),IF('USER INPUTS'!$B$28="Methane",1,IF('USER INPUTS'!$B$28="Carbon dioxide",((1/($D$5/100))-1),(VLOOKUP('USER INPUTS'!$B$28,DEFAULTS!$E$8:$F$69,2,FALSE))/10^6*(1/($D$5/100))))))),0,METHANE!$J34*DEFAULTS!$B$83*(IF('USER INPUTS'!$B$28="Total landfill gas",(1/($D$5/100)),IF('USER INPUTS'!$B$28="Methane",1,IF('USER INPUTS'!$B$28="Carbon dioxide",((1/($D$5/100))-1),(VLOOKUP('USER INPUTS'!$B$28,DEFAULTS!$E$8:$F$69,2,FALSE))/10^6*(1/($D$5/100)))))))</f>
        <v>11014.174242819399</v>
      </c>
      <c r="M20" s="62">
        <f>IF(ISERROR(METHANE!$J34*(IF('USER INPUTS'!$B$28="Total landfill gas",(1/($D$5/100)),IF('USER INPUTS'!$B$28="Methane",1,IF('USER INPUTS'!$B$28="Carbon dioxide",((1/($D$5/100))-1),(VLOOKUP('USER INPUTS'!$B$28,DEFAULTS!$E$8:$F$69,2,FALSE))/10^6*(1/($D$5/100))))))),0,METHANE!$J34*(IF('USER INPUTS'!$B$28="Total landfill gas",(1/($D$5/100)),IF('USER INPUTS'!$B$28="Methane",1,IF('USER INPUTS'!$B$28="Carbon dioxide",((1/($D$5/100))-1),(VLOOKUP('USER INPUTS'!$B$28,DEFAULTS!$E$8:$F$69,2,FALSE))/10^6*(1/($D$5/100)))))))</f>
        <v>6017034.426787083</v>
      </c>
      <c r="N20" s="62">
        <f>IF(N$8="(short tons/year)",(L20*DEFAULTS!$B$55*DEFAULTS!$B$53/DEFAULTS!$B$54),IF(N$8="(ft^3/year)",(M20*DEFAULTS!$B$57),IF(N$8="(av ft^3/min)",(M20*DEFAULTS!$B$57/DEFAULTS!$B$58),0)))</f>
        <v>404.28381046800956</v>
      </c>
      <c r="O20" s="62">
        <f>IF(ISERROR(METHANE!$J34*DEFAULTS!$B$84*(IF('USER INPUTS'!$B$30="Total landfill gas",(1/($D$5/100)),IF('USER INPUTS'!$B$30="Methane",1,IF('USER INPUTS'!$B$30="Carbon dioxide",((1/($D$5/100))-1),(VLOOKUP('USER INPUTS'!$B$30,DEFAULTS!$E$8:$F$69,2,FALSE))/10^6*(1/($D$5/100))))))),0,METHANE!$J34*DEFAULTS!$B$84*(IF('USER INPUTS'!$B$30="Total landfill gas",(1/($D$5/100)),IF('USER INPUTS'!$B$30="Methane",1,IF('USER INPUTS'!$B$30="Carbon dioxide",((1/($D$5/100))-1),(VLOOKUP('USER INPUTS'!$B$30,DEFAULTS!$E$8:$F$69,2,FALSE))/10^6*(1/($D$5/100)))))))</f>
        <v>0</v>
      </c>
      <c r="P20" s="62">
        <f>IF(ISERROR(METHANE!$J34*(IF('USER INPUTS'!$B$30="Total landfill gas",(1/($D$5/100)),IF('USER INPUTS'!$B$30="Methane",1,IF('USER INPUTS'!$B$30="Carbon dioxide",((1/($D$5/100))-1),(VLOOKUP('USER INPUTS'!$B$30,DEFAULTS!$E$8:$F$69,2,FALSE))/10^6*(1/($D$5/100))))))),0,METHANE!$J34*(IF('USER INPUTS'!$B$30="Total landfill gas",(1/($D$5/100)),IF('USER INPUTS'!$B$30="Methane",1,IF('USER INPUTS'!$B$30="Carbon dioxide",((1/($D$5/100))-1),(VLOOKUP('USER INPUTS'!$B$30,DEFAULTS!$E$8:$F$69,2,FALSE))/10^6*(1/($D$5/100)))))))</f>
        <v>0</v>
      </c>
      <c r="Q20" s="162">
        <f>IF(Q$8="(short tons/year)",(O20*DEFAULTS!$B$55*DEFAULTS!$B$53/DEFAULTS!$B$54),IF(Q$8="(ft^3/year)",(P20*DEFAULTS!$B$57),IF(Q$8="(av ft^3/min)",(P20*DEFAULTS!$B$57/DEFAULTS!$B$58),0)))</f>
        <v>0</v>
      </c>
    </row>
    <row r="21" spans="1:17">
      <c r="A21" s="68">
        <f>METHANE!I35</f>
        <v>2030</v>
      </c>
      <c r="B21" s="66">
        <f>IF(METHANE!E35&gt;0,METHANE!E35,0)</f>
        <v>330866</v>
      </c>
      <c r="C21" s="66">
        <f>IF(METHANE!E35&gt;0,METHANE!E35*DEFAULTS!$B$55*DEFAULTS!$B$53/DEFAULTS!$B$54,0)</f>
        <v>363952.6</v>
      </c>
      <c r="D21" s="66">
        <f>IF(METHANE!F35&gt;0,METHANE!F35,0)</f>
        <v>3067618</v>
      </c>
      <c r="E21" s="66">
        <f>IF(METHANE!F35&gt;0,METHANE!F35*DEFAULTS!$B$55*DEFAULTS!$B$53/DEFAULTS!$B$54,0)</f>
        <v>3374379.8</v>
      </c>
      <c r="F21" s="62">
        <f>IF(ISERROR(METHANE!$J35*DEFAULTS!$B$81*(IF('USER INPUTS'!$B$24="Total landfill gas",(1/($D$5/100)),IF('USER INPUTS'!$B$24="Methane",1,IF('USER INPUTS'!$B$24="Carbon dioxide",((1/($D$5/100))-1),(VLOOKUP('USER INPUTS'!$B$24,DEFAULTS!$E$8:$F$69,2,FALSE))/10^6*(1/($D$5/100))))))),0,METHANE!$J35*DEFAULTS!$B$81*(IF('USER INPUTS'!$B$24="Total landfill gas",(1/($D$5/100)),IF('USER INPUTS'!$B$24="Methane",1,IF('USER INPUTS'!$B$24="Carbon dioxide",((1/($D$5/100))-1),(VLOOKUP('USER INPUTS'!$B$24,DEFAULTS!$E$8:$F$69,2,FALSE))/10^6*(1/($D$5/100)))))))</f>
        <v>0</v>
      </c>
      <c r="G21" s="62">
        <f>IF(ISERROR(METHANE!$J35*(IF('USER INPUTS'!$B$24="Total landfill gas",(1/($D$5/100)),IF('USER INPUTS'!$B$24="Methane",1,IF('USER INPUTS'!$B$24="Carbon dioxide",((1/($D$5/100))-1),(VLOOKUP('USER INPUTS'!$B$24,DEFAULTS!$E$8:$F$69,2,FALSE))/10^6*(1/($D$5/100))))))),0,METHANE!$J35*(IF('USER INPUTS'!$B$24="Total landfill gas",(1/($D$5/100)),IF('USER INPUTS'!$B$24="Methane",1,IF('USER INPUTS'!$B$24="Carbon dioxide",((1/($D$5/100))-1),(VLOOKUP('USER INPUTS'!$B$24,DEFAULTS!$E$8:$F$69,2,FALSE))/10^6*(1/($D$5/100)))))))</f>
        <v>0</v>
      </c>
      <c r="H21" s="62">
        <f>IF(H$8="(short tons/year)",(F21*DEFAULTS!$B$55*DEFAULTS!$B$53/DEFAULTS!$B$54),IF(H$8="(ft^3/year)",(G21*DEFAULTS!$B$57),IF(H$8="(av ft^3/min)",(G21*DEFAULTS!$B$57/DEFAULTS!$B$58),0)))</f>
        <v>0</v>
      </c>
      <c r="I21" s="62">
        <f>IF(ISERROR(METHANE!$J35*DEFAULTS!$B$82*(IF('USER INPUTS'!$B$26="Total landfill gas",(1/($D$5/100)),IF('USER INPUTS'!$B$26="Methane",1,IF('USER INPUTS'!$B$26="Carbon dioxide",((1/($D$5/100))-1),(VLOOKUP('USER INPUTS'!$B$26,DEFAULTS!$E$8:$F$69,2,FALSE))/10^6*(1/($D$5/100))))))),0,METHANE!$J35*DEFAULTS!$B$82*(IF('USER INPUTS'!$B$26="Total landfill gas",(1/($D$5/100)),IF('USER INPUTS'!$B$26="Methane",1,IF('USER INPUTS'!$B$26="Carbon dioxide",((1/($D$5/100))-1),(VLOOKUP('USER INPUTS'!$B$26,DEFAULTS!$E$8:$F$69,2,FALSE))/10^6*(1/($D$5/100)))))))</f>
        <v>0</v>
      </c>
      <c r="J21" s="62">
        <f>IF(ISERROR(METHANE!$J35*(IF('USER INPUTS'!$B$26="Total landfill gas",(1/($D$5/100)),IF('USER INPUTS'!$B$26="Methane",1,IF('USER INPUTS'!$B$26="Carbon dioxide",((1/($D$5/100))-1),(VLOOKUP('USER INPUTS'!$B$26,DEFAULTS!$E$8:$F$69,2,FALSE))/10^6*(1/($D$5/100))))))),0,METHANE!$J35*(IF('USER INPUTS'!$B$26="Total landfill gas",(1/($D$5/100)),IF('USER INPUTS'!$B$26="Methane",1,IF('USER INPUTS'!$B$26="Carbon dioxide",((1/($D$5/100))-1),(VLOOKUP('USER INPUTS'!$B$26,DEFAULTS!$E$8:$F$69,2,FALSE))/10^6*(1/($D$5/100)))))))</f>
        <v>0</v>
      </c>
      <c r="K21" s="62">
        <f>IF(K$8="(short tons/year)",(I21*DEFAULTS!$B$55*DEFAULTS!$B$53/DEFAULTS!$B$54),IF(K$8="(ft^3/year)",(J21*DEFAULTS!$B$57),IF(K$8="(av ft^3/min)",(J21*DEFAULTS!$B$57/DEFAULTS!$B$58),0)))</f>
        <v>0</v>
      </c>
      <c r="L21" s="62">
        <f>IF(ISERROR(METHANE!$J35*DEFAULTS!$B$83*(IF('USER INPUTS'!$B$28="Total landfill gas",(1/($D$5/100)),IF('USER INPUTS'!$B$28="Methane",1,IF('USER INPUTS'!$B$28="Carbon dioxide",((1/($D$5/100))-1),(VLOOKUP('USER INPUTS'!$B$28,DEFAULTS!$E$8:$F$69,2,FALSE))/10^6*(1/($D$5/100))))))),0,METHANE!$J35*DEFAULTS!$B$83*(IF('USER INPUTS'!$B$28="Total landfill gas",(1/($D$5/100)),IF('USER INPUTS'!$B$28="Methane",1,IF('USER INPUTS'!$B$28="Carbon dioxide",((1/($D$5/100))-1),(VLOOKUP('USER INPUTS'!$B$28,DEFAULTS!$E$8:$F$69,2,FALSE))/10^6*(1/($D$5/100)))))))</f>
        <v>12096.393509890146</v>
      </c>
      <c r="M21" s="62">
        <f>IF(ISERROR(METHANE!$J35*(IF('USER INPUTS'!$B$28="Total landfill gas",(1/($D$5/100)),IF('USER INPUTS'!$B$28="Methane",1,IF('USER INPUTS'!$B$28="Carbon dioxide",((1/($D$5/100))-1),(VLOOKUP('USER INPUTS'!$B$28,DEFAULTS!$E$8:$F$69,2,FALSE))/10^6*(1/($D$5/100))))))),0,METHANE!$J35*(IF('USER INPUTS'!$B$28="Total landfill gas",(1/($D$5/100)),IF('USER INPUTS'!$B$28="Methane",1,IF('USER INPUTS'!$B$28="Carbon dioxide",((1/($D$5/100))-1),(VLOOKUP('USER INPUTS'!$B$28,DEFAULTS!$E$8:$F$69,2,FALSE))/10^6*(1/($D$5/100)))))))</f>
        <v>6608249.9318025643</v>
      </c>
      <c r="N21" s="62">
        <f>IF(N$8="(short tons/year)",(L21*DEFAULTS!$B$55*DEFAULTS!$B$53/DEFAULTS!$B$54),IF(N$8="(ft^3/year)",(M21*DEFAULTS!$B$57),IF(N$8="(av ft^3/min)",(M21*DEFAULTS!$B$57/DEFAULTS!$B$58),0)))</f>
        <v>444.00750826028832</v>
      </c>
      <c r="O21" s="62">
        <f>IF(ISERROR(METHANE!$J35*DEFAULTS!$B$84*(IF('USER INPUTS'!$B$30="Total landfill gas",(1/($D$5/100)),IF('USER INPUTS'!$B$30="Methane",1,IF('USER INPUTS'!$B$30="Carbon dioxide",((1/($D$5/100))-1),(VLOOKUP('USER INPUTS'!$B$30,DEFAULTS!$E$8:$F$69,2,FALSE))/10^6*(1/($D$5/100))))))),0,METHANE!$J35*DEFAULTS!$B$84*(IF('USER INPUTS'!$B$30="Total landfill gas",(1/($D$5/100)),IF('USER INPUTS'!$B$30="Methane",1,IF('USER INPUTS'!$B$30="Carbon dioxide",((1/($D$5/100))-1),(VLOOKUP('USER INPUTS'!$B$30,DEFAULTS!$E$8:$F$69,2,FALSE))/10^6*(1/($D$5/100)))))))</f>
        <v>0</v>
      </c>
      <c r="P21" s="62">
        <f>IF(ISERROR(METHANE!$J35*(IF('USER INPUTS'!$B$30="Total landfill gas",(1/($D$5/100)),IF('USER INPUTS'!$B$30="Methane",1,IF('USER INPUTS'!$B$30="Carbon dioxide",((1/($D$5/100))-1),(VLOOKUP('USER INPUTS'!$B$30,DEFAULTS!$E$8:$F$69,2,FALSE))/10^6*(1/($D$5/100))))))),0,METHANE!$J35*(IF('USER INPUTS'!$B$30="Total landfill gas",(1/($D$5/100)),IF('USER INPUTS'!$B$30="Methane",1,IF('USER INPUTS'!$B$30="Carbon dioxide",((1/($D$5/100))-1),(VLOOKUP('USER INPUTS'!$B$30,DEFAULTS!$E$8:$F$69,2,FALSE))/10^6*(1/($D$5/100)))))))</f>
        <v>0</v>
      </c>
      <c r="Q21" s="162">
        <f>IF(Q$8="(short tons/year)",(O21*DEFAULTS!$B$55*DEFAULTS!$B$53/DEFAULTS!$B$54),IF(Q$8="(ft^3/year)",(P21*DEFAULTS!$B$57),IF(Q$8="(av ft^3/min)",(P21*DEFAULTS!$B$57/DEFAULTS!$B$58),0)))</f>
        <v>0</v>
      </c>
    </row>
    <row r="22" spans="1:17">
      <c r="A22" s="68">
        <f>METHANE!I36</f>
        <v>2031</v>
      </c>
      <c r="B22" s="66">
        <f>IF(METHANE!E36&gt;0,METHANE!E36,0)</f>
        <v>346659</v>
      </c>
      <c r="C22" s="66">
        <f>IF(METHANE!E36&gt;0,METHANE!E36*DEFAULTS!$B$55*DEFAULTS!$B$53/DEFAULTS!$B$54,0)</f>
        <v>381324.9</v>
      </c>
      <c r="D22" s="66">
        <f>IF(METHANE!F36&gt;0,METHANE!F36,0)</f>
        <v>3398484</v>
      </c>
      <c r="E22" s="66">
        <f>IF(METHANE!F36&gt;0,METHANE!F36*DEFAULTS!$B$55*DEFAULTS!$B$53/DEFAULTS!$B$54,0)</f>
        <v>3738332.4</v>
      </c>
      <c r="F22" s="62">
        <f>IF(ISERROR(METHANE!$J36*DEFAULTS!$B$81*(IF('USER INPUTS'!$B$24="Total landfill gas",(1/($D$5/100)),IF('USER INPUTS'!$B$24="Methane",1,IF('USER INPUTS'!$B$24="Carbon dioxide",((1/($D$5/100))-1),(VLOOKUP('USER INPUTS'!$B$24,DEFAULTS!$E$8:$F$69,2,FALSE))/10^6*(1/($D$5/100))))))),0,METHANE!$J36*DEFAULTS!$B$81*(IF('USER INPUTS'!$B$24="Total landfill gas",(1/($D$5/100)),IF('USER INPUTS'!$B$24="Methane",1,IF('USER INPUTS'!$B$24="Carbon dioxide",((1/($D$5/100))-1),(VLOOKUP('USER INPUTS'!$B$24,DEFAULTS!$E$8:$F$69,2,FALSE))/10^6*(1/($D$5/100)))))))</f>
        <v>0</v>
      </c>
      <c r="G22" s="62">
        <f>IF(ISERROR(METHANE!$J36*(IF('USER INPUTS'!$B$24="Total landfill gas",(1/($D$5/100)),IF('USER INPUTS'!$B$24="Methane",1,IF('USER INPUTS'!$B$24="Carbon dioxide",((1/($D$5/100))-1),(VLOOKUP('USER INPUTS'!$B$24,DEFAULTS!$E$8:$F$69,2,FALSE))/10^6*(1/($D$5/100))))))),0,METHANE!$J36*(IF('USER INPUTS'!$B$24="Total landfill gas",(1/($D$5/100)),IF('USER INPUTS'!$B$24="Methane",1,IF('USER INPUTS'!$B$24="Carbon dioxide",((1/($D$5/100))-1),(VLOOKUP('USER INPUTS'!$B$24,DEFAULTS!$E$8:$F$69,2,FALSE))/10^6*(1/($D$5/100)))))))</f>
        <v>0</v>
      </c>
      <c r="H22" s="62">
        <f>IF(H$8="(short tons/year)",(F22*DEFAULTS!$B$55*DEFAULTS!$B$53/DEFAULTS!$B$54),IF(H$8="(ft^3/year)",(G22*DEFAULTS!$B$57),IF(H$8="(av ft^3/min)",(G22*DEFAULTS!$B$57/DEFAULTS!$B$58),0)))</f>
        <v>0</v>
      </c>
      <c r="I22" s="62">
        <f>IF(ISERROR(METHANE!$J36*DEFAULTS!$B$82*(IF('USER INPUTS'!$B$26="Total landfill gas",(1/($D$5/100)),IF('USER INPUTS'!$B$26="Methane",1,IF('USER INPUTS'!$B$26="Carbon dioxide",((1/($D$5/100))-1),(VLOOKUP('USER INPUTS'!$B$26,DEFAULTS!$E$8:$F$69,2,FALSE))/10^6*(1/($D$5/100))))))),0,METHANE!$J36*DEFAULTS!$B$82*(IF('USER INPUTS'!$B$26="Total landfill gas",(1/($D$5/100)),IF('USER INPUTS'!$B$26="Methane",1,IF('USER INPUTS'!$B$26="Carbon dioxide",((1/($D$5/100))-1),(VLOOKUP('USER INPUTS'!$B$26,DEFAULTS!$E$8:$F$69,2,FALSE))/10^6*(1/($D$5/100)))))))</f>
        <v>0</v>
      </c>
      <c r="J22" s="62">
        <f>IF(ISERROR(METHANE!$J36*(IF('USER INPUTS'!$B$26="Total landfill gas",(1/($D$5/100)),IF('USER INPUTS'!$B$26="Methane",1,IF('USER INPUTS'!$B$26="Carbon dioxide",((1/($D$5/100))-1),(VLOOKUP('USER INPUTS'!$B$26,DEFAULTS!$E$8:$F$69,2,FALSE))/10^6*(1/($D$5/100))))))),0,METHANE!$J36*(IF('USER INPUTS'!$B$26="Total landfill gas",(1/($D$5/100)),IF('USER INPUTS'!$B$26="Methane",1,IF('USER INPUTS'!$B$26="Carbon dioxide",((1/($D$5/100))-1),(VLOOKUP('USER INPUTS'!$B$26,DEFAULTS!$E$8:$F$69,2,FALSE))/10^6*(1/($D$5/100)))))))</f>
        <v>0</v>
      </c>
      <c r="K22" s="62">
        <f>IF(K$8="(short tons/year)",(I22*DEFAULTS!$B$55*DEFAULTS!$B$53/DEFAULTS!$B$54),IF(K$8="(ft^3/year)",(J22*DEFAULTS!$B$57),IF(K$8="(av ft^3/min)",(J22*DEFAULTS!$B$57/DEFAULTS!$B$58),0)))</f>
        <v>0</v>
      </c>
      <c r="L22" s="62">
        <f>IF(ISERROR(METHANE!$J36*DEFAULTS!$B$83*(IF('USER INPUTS'!$B$28="Total landfill gas",(1/($D$5/100)),IF('USER INPUTS'!$B$28="Methane",1,IF('USER INPUTS'!$B$28="Carbon dioxide",((1/($D$5/100))-1),(VLOOKUP('USER INPUTS'!$B$28,DEFAULTS!$E$8:$F$69,2,FALSE))/10^6*(1/($D$5/100))))))),0,METHANE!$J36*DEFAULTS!$B$83*(IF('USER INPUTS'!$B$28="Total landfill gas",(1/($D$5/100)),IF('USER INPUTS'!$B$28="Methane",1,IF('USER INPUTS'!$B$28="Carbon dioxide",((1/($D$5/100))-1),(VLOOKUP('USER INPUTS'!$B$28,DEFAULTS!$E$8:$F$69,2,FALSE))/10^6*(1/($D$5/100)))))))</f>
        <v>13208.446885739062</v>
      </c>
      <c r="M22" s="62">
        <f>IF(ISERROR(METHANE!$J36*(IF('USER INPUTS'!$B$28="Total landfill gas",(1/($D$5/100)),IF('USER INPUTS'!$B$28="Methane",1,IF('USER INPUTS'!$B$28="Carbon dioxide",((1/($D$5/100))-1),(VLOOKUP('USER INPUTS'!$B$28,DEFAULTS!$E$8:$F$69,2,FALSE))/10^6*(1/($D$5/100))))))),0,METHANE!$J36*(IF('USER INPUTS'!$B$28="Total landfill gas",(1/($D$5/100)),IF('USER INPUTS'!$B$28="Methane",1,IF('USER INPUTS'!$B$28="Carbon dioxide",((1/($D$5/100))-1),(VLOOKUP('USER INPUTS'!$B$28,DEFAULTS!$E$8:$F$69,2,FALSE))/10^6*(1/($D$5/100)))))))</f>
        <v>7215763.7861679997</v>
      </c>
      <c r="N22" s="62">
        <f>IF(N$8="(short tons/year)",(L22*DEFAULTS!$B$55*DEFAULTS!$B$53/DEFAULTS!$B$54),IF(N$8="(ft^3/year)",(M22*DEFAULTS!$B$57),IF(N$8="(av ft^3/min)",(M22*DEFAULTS!$B$57/DEFAULTS!$B$58),0)))</f>
        <v>484.82629016081222</v>
      </c>
      <c r="O22" s="62">
        <f>IF(ISERROR(METHANE!$J36*DEFAULTS!$B$84*(IF('USER INPUTS'!$B$30="Total landfill gas",(1/($D$5/100)),IF('USER INPUTS'!$B$30="Methane",1,IF('USER INPUTS'!$B$30="Carbon dioxide",((1/($D$5/100))-1),(VLOOKUP('USER INPUTS'!$B$30,DEFAULTS!$E$8:$F$69,2,FALSE))/10^6*(1/($D$5/100))))))),0,METHANE!$J36*DEFAULTS!$B$84*(IF('USER INPUTS'!$B$30="Total landfill gas",(1/($D$5/100)),IF('USER INPUTS'!$B$30="Methane",1,IF('USER INPUTS'!$B$30="Carbon dioxide",((1/($D$5/100))-1),(VLOOKUP('USER INPUTS'!$B$30,DEFAULTS!$E$8:$F$69,2,FALSE))/10^6*(1/($D$5/100)))))))</f>
        <v>0</v>
      </c>
      <c r="P22" s="62">
        <f>IF(ISERROR(METHANE!$J36*(IF('USER INPUTS'!$B$30="Total landfill gas",(1/($D$5/100)),IF('USER INPUTS'!$B$30="Methane",1,IF('USER INPUTS'!$B$30="Carbon dioxide",((1/($D$5/100))-1),(VLOOKUP('USER INPUTS'!$B$30,DEFAULTS!$E$8:$F$69,2,FALSE))/10^6*(1/($D$5/100))))))),0,METHANE!$J36*(IF('USER INPUTS'!$B$30="Total landfill gas",(1/($D$5/100)),IF('USER INPUTS'!$B$30="Methane",1,IF('USER INPUTS'!$B$30="Carbon dioxide",((1/($D$5/100))-1),(VLOOKUP('USER INPUTS'!$B$30,DEFAULTS!$E$8:$F$69,2,FALSE))/10^6*(1/($D$5/100)))))))</f>
        <v>0</v>
      </c>
      <c r="Q22" s="162">
        <f>IF(Q$8="(short tons/year)",(O22*DEFAULTS!$B$55*DEFAULTS!$B$53/DEFAULTS!$B$54),IF(Q$8="(ft^3/year)",(P22*DEFAULTS!$B$57),IF(Q$8="(av ft^3/min)",(P22*DEFAULTS!$B$57/DEFAULTS!$B$58),0)))</f>
        <v>0</v>
      </c>
    </row>
    <row r="23" spans="1:17">
      <c r="A23" s="68">
        <f>METHANE!I37</f>
        <v>2032</v>
      </c>
      <c r="B23" s="66">
        <f>IF(METHANE!E37&gt;0,METHANE!E37,0)</f>
        <v>363206</v>
      </c>
      <c r="C23" s="66">
        <f>IF(METHANE!E37&gt;0,METHANE!E37*DEFAULTS!$B$55*DEFAULTS!$B$53/DEFAULTS!$B$54,0)</f>
        <v>399526.6</v>
      </c>
      <c r="D23" s="66">
        <f>IF(METHANE!F37&gt;0,METHANE!F37,0)</f>
        <v>3745143</v>
      </c>
      <c r="E23" s="66">
        <f>IF(METHANE!F37&gt;0,METHANE!F37*DEFAULTS!$B$55*DEFAULTS!$B$53/DEFAULTS!$B$54,0)</f>
        <v>4119657.3000000003</v>
      </c>
      <c r="F23" s="62">
        <f>IF(ISERROR(METHANE!$J37*DEFAULTS!$B$81*(IF('USER INPUTS'!$B$24="Total landfill gas",(1/($D$5/100)),IF('USER INPUTS'!$B$24="Methane",1,IF('USER INPUTS'!$B$24="Carbon dioxide",((1/($D$5/100))-1),(VLOOKUP('USER INPUTS'!$B$24,DEFAULTS!$E$8:$F$69,2,FALSE))/10^6*(1/($D$5/100))))))),0,METHANE!$J37*DEFAULTS!$B$81*(IF('USER INPUTS'!$B$24="Total landfill gas",(1/($D$5/100)),IF('USER INPUTS'!$B$24="Methane",1,IF('USER INPUTS'!$B$24="Carbon dioxide",((1/($D$5/100))-1),(VLOOKUP('USER INPUTS'!$B$24,DEFAULTS!$E$8:$F$69,2,FALSE))/10^6*(1/($D$5/100)))))))</f>
        <v>0</v>
      </c>
      <c r="G23" s="62">
        <f>IF(ISERROR(METHANE!$J37*(IF('USER INPUTS'!$B$24="Total landfill gas",(1/($D$5/100)),IF('USER INPUTS'!$B$24="Methane",1,IF('USER INPUTS'!$B$24="Carbon dioxide",((1/($D$5/100))-1),(VLOOKUP('USER INPUTS'!$B$24,DEFAULTS!$E$8:$F$69,2,FALSE))/10^6*(1/($D$5/100))))))),0,METHANE!$J37*(IF('USER INPUTS'!$B$24="Total landfill gas",(1/($D$5/100)),IF('USER INPUTS'!$B$24="Methane",1,IF('USER INPUTS'!$B$24="Carbon dioxide",((1/($D$5/100))-1),(VLOOKUP('USER INPUTS'!$B$24,DEFAULTS!$E$8:$F$69,2,FALSE))/10^6*(1/($D$5/100)))))))</f>
        <v>0</v>
      </c>
      <c r="H23" s="62">
        <f>IF(H$8="(short tons/year)",(F23*DEFAULTS!$B$55*DEFAULTS!$B$53/DEFAULTS!$B$54),IF(H$8="(ft^3/year)",(G23*DEFAULTS!$B$57),IF(H$8="(av ft^3/min)",(G23*DEFAULTS!$B$57/DEFAULTS!$B$58),0)))</f>
        <v>0</v>
      </c>
      <c r="I23" s="62">
        <f>IF(ISERROR(METHANE!$J37*DEFAULTS!$B$82*(IF('USER INPUTS'!$B$26="Total landfill gas",(1/($D$5/100)),IF('USER INPUTS'!$B$26="Methane",1,IF('USER INPUTS'!$B$26="Carbon dioxide",((1/($D$5/100))-1),(VLOOKUP('USER INPUTS'!$B$26,DEFAULTS!$E$8:$F$69,2,FALSE))/10^6*(1/($D$5/100))))))),0,METHANE!$J37*DEFAULTS!$B$82*(IF('USER INPUTS'!$B$26="Total landfill gas",(1/($D$5/100)),IF('USER INPUTS'!$B$26="Methane",1,IF('USER INPUTS'!$B$26="Carbon dioxide",((1/($D$5/100))-1),(VLOOKUP('USER INPUTS'!$B$26,DEFAULTS!$E$8:$F$69,2,FALSE))/10^6*(1/($D$5/100)))))))</f>
        <v>0</v>
      </c>
      <c r="J23" s="62">
        <f>IF(ISERROR(METHANE!$J37*(IF('USER INPUTS'!$B$26="Total landfill gas",(1/($D$5/100)),IF('USER INPUTS'!$B$26="Methane",1,IF('USER INPUTS'!$B$26="Carbon dioxide",((1/($D$5/100))-1),(VLOOKUP('USER INPUTS'!$B$26,DEFAULTS!$E$8:$F$69,2,FALSE))/10^6*(1/($D$5/100))))))),0,METHANE!$J37*(IF('USER INPUTS'!$B$26="Total landfill gas",(1/($D$5/100)),IF('USER INPUTS'!$B$26="Methane",1,IF('USER INPUTS'!$B$26="Carbon dioxide",((1/($D$5/100))-1),(VLOOKUP('USER INPUTS'!$B$26,DEFAULTS!$E$8:$F$69,2,FALSE))/10^6*(1/($D$5/100)))))))</f>
        <v>0</v>
      </c>
      <c r="K23" s="62">
        <f>IF(K$8="(short tons/year)",(I23*DEFAULTS!$B$55*DEFAULTS!$B$53/DEFAULTS!$B$54),IF(K$8="(ft^3/year)",(J23*DEFAULTS!$B$57),IF(K$8="(av ft^3/min)",(J23*DEFAULTS!$B$57/DEFAULTS!$B$58),0)))</f>
        <v>0</v>
      </c>
      <c r="L23" s="62">
        <f>IF(ISERROR(METHANE!$J37*DEFAULTS!$B$83*(IF('USER INPUTS'!$B$28="Total landfill gas",(1/($D$5/100)),IF('USER INPUTS'!$B$28="Methane",1,IF('USER INPUTS'!$B$28="Carbon dioxide",((1/($D$5/100))-1),(VLOOKUP('USER INPUTS'!$B$28,DEFAULTS!$E$8:$F$69,2,FALSE))/10^6*(1/($D$5/100))))))),0,METHANE!$J37*DEFAULTS!$B$83*(IF('USER INPUTS'!$B$28="Total landfill gas",(1/($D$5/100)),IF('USER INPUTS'!$B$28="Methane",1,IF('USER INPUTS'!$B$28="Carbon dioxide",((1/($D$5/100))-1),(VLOOKUP('USER INPUTS'!$B$28,DEFAULTS!$E$8:$F$69,2,FALSE))/10^6*(1/($D$5/100)))))))</f>
        <v>14352.616647653642</v>
      </c>
      <c r="M23" s="62">
        <f>IF(ISERROR(METHANE!$J37*(IF('USER INPUTS'!$B$28="Total landfill gas",(1/($D$5/100)),IF('USER INPUTS'!$B$28="Methane",1,IF('USER INPUTS'!$B$28="Carbon dioxide",((1/($D$5/100))-1),(VLOOKUP('USER INPUTS'!$B$28,DEFAULTS!$E$8:$F$69,2,FALSE))/10^6*(1/($D$5/100))))))),0,METHANE!$J37*(IF('USER INPUTS'!$B$28="Total landfill gas",(1/($D$5/100)),IF('USER INPUTS'!$B$28="Methane",1,IF('USER INPUTS'!$B$28="Carbon dioxide",((1/($D$5/100))-1),(VLOOKUP('USER INPUTS'!$B$28,DEFAULTS!$E$8:$F$69,2,FALSE))/10^6*(1/($D$5/100)))))))</f>
        <v>7840822.7961084964</v>
      </c>
      <c r="N23" s="62">
        <f>IF(N$8="(short tons/year)",(L23*DEFAULTS!$B$55*DEFAULTS!$B$53/DEFAULTS!$B$54),IF(N$8="(ft^3/year)",(M23*DEFAULTS!$B$57),IF(N$8="(av ft^3/min)",(M23*DEFAULTS!$B$57/DEFAULTS!$B$58),0)))</f>
        <v>526.82392892802795</v>
      </c>
      <c r="O23" s="62">
        <f>IF(ISERROR(METHANE!$J37*DEFAULTS!$B$84*(IF('USER INPUTS'!$B$30="Total landfill gas",(1/($D$5/100)),IF('USER INPUTS'!$B$30="Methane",1,IF('USER INPUTS'!$B$30="Carbon dioxide",((1/($D$5/100))-1),(VLOOKUP('USER INPUTS'!$B$30,DEFAULTS!$E$8:$F$69,2,FALSE))/10^6*(1/($D$5/100))))))),0,METHANE!$J37*DEFAULTS!$B$84*(IF('USER INPUTS'!$B$30="Total landfill gas",(1/($D$5/100)),IF('USER INPUTS'!$B$30="Methane",1,IF('USER INPUTS'!$B$30="Carbon dioxide",((1/($D$5/100))-1),(VLOOKUP('USER INPUTS'!$B$30,DEFAULTS!$E$8:$F$69,2,FALSE))/10^6*(1/($D$5/100)))))))</f>
        <v>0</v>
      </c>
      <c r="P23" s="62">
        <f>IF(ISERROR(METHANE!$J37*(IF('USER INPUTS'!$B$30="Total landfill gas",(1/($D$5/100)),IF('USER INPUTS'!$B$30="Methane",1,IF('USER INPUTS'!$B$30="Carbon dioxide",((1/($D$5/100))-1),(VLOOKUP('USER INPUTS'!$B$30,DEFAULTS!$E$8:$F$69,2,FALSE))/10^6*(1/($D$5/100))))))),0,METHANE!$J37*(IF('USER INPUTS'!$B$30="Total landfill gas",(1/($D$5/100)),IF('USER INPUTS'!$B$30="Methane",1,IF('USER INPUTS'!$B$30="Carbon dioxide",((1/($D$5/100))-1),(VLOOKUP('USER INPUTS'!$B$30,DEFAULTS!$E$8:$F$69,2,FALSE))/10^6*(1/($D$5/100)))))))</f>
        <v>0</v>
      </c>
      <c r="Q23" s="162">
        <f>IF(Q$8="(short tons/year)",(O23*DEFAULTS!$B$55*DEFAULTS!$B$53/DEFAULTS!$B$54),IF(Q$8="(ft^3/year)",(P23*DEFAULTS!$B$57),IF(Q$8="(av ft^3/min)",(P23*DEFAULTS!$B$57/DEFAULTS!$B$58),0)))</f>
        <v>0</v>
      </c>
    </row>
    <row r="24" spans="1:17">
      <c r="A24" s="68">
        <f>METHANE!I38</f>
        <v>2033</v>
      </c>
      <c r="B24" s="66">
        <f>IF(METHANE!E38&gt;0,METHANE!E38,0)</f>
        <v>380542</v>
      </c>
      <c r="C24" s="66">
        <f>IF(METHANE!E38&gt;0,METHANE!E38*DEFAULTS!$B$55*DEFAULTS!$B$53/DEFAULTS!$B$54,0)</f>
        <v>418596.2</v>
      </c>
      <c r="D24" s="66">
        <f>IF(METHANE!F38&gt;0,METHANE!F38,0)</f>
        <v>4108349</v>
      </c>
      <c r="E24" s="66">
        <f>IF(METHANE!F38&gt;0,METHANE!F38*DEFAULTS!$B$55*DEFAULTS!$B$53/DEFAULTS!$B$54,0)</f>
        <v>4519183.9000000004</v>
      </c>
      <c r="F24" s="62">
        <f>IF(ISERROR(METHANE!$J38*DEFAULTS!$B$81*(IF('USER INPUTS'!$B$24="Total landfill gas",(1/($D$5/100)),IF('USER INPUTS'!$B$24="Methane",1,IF('USER INPUTS'!$B$24="Carbon dioxide",((1/($D$5/100))-1),(VLOOKUP('USER INPUTS'!$B$24,DEFAULTS!$E$8:$F$69,2,FALSE))/10^6*(1/($D$5/100))))))),0,METHANE!$J38*DEFAULTS!$B$81*(IF('USER INPUTS'!$B$24="Total landfill gas",(1/($D$5/100)),IF('USER INPUTS'!$B$24="Methane",1,IF('USER INPUTS'!$B$24="Carbon dioxide",((1/($D$5/100))-1),(VLOOKUP('USER INPUTS'!$B$24,DEFAULTS!$E$8:$F$69,2,FALSE))/10^6*(1/($D$5/100)))))))</f>
        <v>0</v>
      </c>
      <c r="G24" s="62">
        <f>IF(ISERROR(METHANE!$J38*(IF('USER INPUTS'!$B$24="Total landfill gas",(1/($D$5/100)),IF('USER INPUTS'!$B$24="Methane",1,IF('USER INPUTS'!$B$24="Carbon dioxide",((1/($D$5/100))-1),(VLOOKUP('USER INPUTS'!$B$24,DEFAULTS!$E$8:$F$69,2,FALSE))/10^6*(1/($D$5/100))))))),0,METHANE!$J38*(IF('USER INPUTS'!$B$24="Total landfill gas",(1/($D$5/100)),IF('USER INPUTS'!$B$24="Methane",1,IF('USER INPUTS'!$B$24="Carbon dioxide",((1/($D$5/100))-1),(VLOOKUP('USER INPUTS'!$B$24,DEFAULTS!$E$8:$F$69,2,FALSE))/10^6*(1/($D$5/100)))))))</f>
        <v>0</v>
      </c>
      <c r="H24" s="62">
        <f>IF(H$8="(short tons/year)",(F24*DEFAULTS!$B$55*DEFAULTS!$B$53/DEFAULTS!$B$54),IF(H$8="(ft^3/year)",(G24*DEFAULTS!$B$57),IF(H$8="(av ft^3/min)",(G24*DEFAULTS!$B$57/DEFAULTS!$B$58),0)))</f>
        <v>0</v>
      </c>
      <c r="I24" s="62">
        <f>IF(ISERROR(METHANE!$J38*DEFAULTS!$B$82*(IF('USER INPUTS'!$B$26="Total landfill gas",(1/($D$5/100)),IF('USER INPUTS'!$B$26="Methane",1,IF('USER INPUTS'!$B$26="Carbon dioxide",((1/($D$5/100))-1),(VLOOKUP('USER INPUTS'!$B$26,DEFAULTS!$E$8:$F$69,2,FALSE))/10^6*(1/($D$5/100))))))),0,METHANE!$J38*DEFAULTS!$B$82*(IF('USER INPUTS'!$B$26="Total landfill gas",(1/($D$5/100)),IF('USER INPUTS'!$B$26="Methane",1,IF('USER INPUTS'!$B$26="Carbon dioxide",((1/($D$5/100))-1),(VLOOKUP('USER INPUTS'!$B$26,DEFAULTS!$E$8:$F$69,2,FALSE))/10^6*(1/($D$5/100)))))))</f>
        <v>0</v>
      </c>
      <c r="J24" s="62">
        <f>IF(ISERROR(METHANE!$J38*(IF('USER INPUTS'!$B$26="Total landfill gas",(1/($D$5/100)),IF('USER INPUTS'!$B$26="Methane",1,IF('USER INPUTS'!$B$26="Carbon dioxide",((1/($D$5/100))-1),(VLOOKUP('USER INPUTS'!$B$26,DEFAULTS!$E$8:$F$69,2,FALSE))/10^6*(1/($D$5/100))))))),0,METHANE!$J38*(IF('USER INPUTS'!$B$26="Total landfill gas",(1/($D$5/100)),IF('USER INPUTS'!$B$26="Methane",1,IF('USER INPUTS'!$B$26="Carbon dioxide",((1/($D$5/100))-1),(VLOOKUP('USER INPUTS'!$B$26,DEFAULTS!$E$8:$F$69,2,FALSE))/10^6*(1/($D$5/100)))))))</f>
        <v>0</v>
      </c>
      <c r="K24" s="62">
        <f>IF(K$8="(short tons/year)",(I24*DEFAULTS!$B$55*DEFAULTS!$B$53/DEFAULTS!$B$54),IF(K$8="(ft^3/year)",(J24*DEFAULTS!$B$57),IF(K$8="(av ft^3/min)",(J24*DEFAULTS!$B$57/DEFAULTS!$B$58),0)))</f>
        <v>0</v>
      </c>
      <c r="L24" s="62">
        <f>IF(ISERROR(METHANE!$J38*DEFAULTS!$B$83*(IF('USER INPUTS'!$B$28="Total landfill gas",(1/($D$5/100)),IF('USER INPUTS'!$B$28="Methane",1,IF('USER INPUTS'!$B$28="Carbon dioxide",((1/($D$5/100))-1),(VLOOKUP('USER INPUTS'!$B$28,DEFAULTS!$E$8:$F$69,2,FALSE))/10^6*(1/($D$5/100))))))),0,METHANE!$J38*DEFAULTS!$B$83*(IF('USER INPUTS'!$B$28="Total landfill gas",(1/($D$5/100)),IF('USER INPUTS'!$B$28="Methane",1,IF('USER INPUTS'!$B$28="Carbon dioxide",((1/($D$5/100))-1),(VLOOKUP('USER INPUTS'!$B$28,DEFAULTS!$E$8:$F$69,2,FALSE))/10^6*(1/($D$5/100)))))))</f>
        <v>15531.258598882889</v>
      </c>
      <c r="M24" s="62">
        <f>IF(ISERROR(METHANE!$J38*(IF('USER INPUTS'!$B$28="Total landfill gas",(1/($D$5/100)),IF('USER INPUTS'!$B$28="Methane",1,IF('USER INPUTS'!$B$28="Carbon dioxide",((1/($D$5/100))-1),(VLOOKUP('USER INPUTS'!$B$28,DEFAULTS!$E$8:$F$69,2,FALSE))/10^6*(1/($D$5/100))))))),0,METHANE!$J38*(IF('USER INPUTS'!$B$28="Total landfill gas",(1/($D$5/100)),IF('USER INPUTS'!$B$28="Methane",1,IF('USER INPUTS'!$B$28="Carbon dioxide",((1/($D$5/100))-1),(VLOOKUP('USER INPUTS'!$B$28,DEFAULTS!$E$8:$F$69,2,FALSE))/10^6*(1/($D$5/100)))))))</f>
        <v>8484713.9350221027</v>
      </c>
      <c r="N24" s="62">
        <f>IF(N$8="(short tons/year)",(L24*DEFAULTS!$B$55*DEFAULTS!$B$53/DEFAULTS!$B$54),IF(N$8="(ft^3/year)",(M24*DEFAULTS!$B$57),IF(N$8="(av ft^3/min)",(M24*DEFAULTS!$B$57/DEFAULTS!$B$58),0)))</f>
        <v>570.08689614784157</v>
      </c>
      <c r="O24" s="62">
        <f>IF(ISERROR(METHANE!$J38*DEFAULTS!$B$84*(IF('USER INPUTS'!$B$30="Total landfill gas",(1/($D$5/100)),IF('USER INPUTS'!$B$30="Methane",1,IF('USER INPUTS'!$B$30="Carbon dioxide",((1/($D$5/100))-1),(VLOOKUP('USER INPUTS'!$B$30,DEFAULTS!$E$8:$F$69,2,FALSE))/10^6*(1/($D$5/100))))))),0,METHANE!$J38*DEFAULTS!$B$84*(IF('USER INPUTS'!$B$30="Total landfill gas",(1/($D$5/100)),IF('USER INPUTS'!$B$30="Methane",1,IF('USER INPUTS'!$B$30="Carbon dioxide",((1/($D$5/100))-1),(VLOOKUP('USER INPUTS'!$B$30,DEFAULTS!$E$8:$F$69,2,FALSE))/10^6*(1/($D$5/100)))))))</f>
        <v>0</v>
      </c>
      <c r="P24" s="62">
        <f>IF(ISERROR(METHANE!$J38*(IF('USER INPUTS'!$B$30="Total landfill gas",(1/($D$5/100)),IF('USER INPUTS'!$B$30="Methane",1,IF('USER INPUTS'!$B$30="Carbon dioxide",((1/($D$5/100))-1),(VLOOKUP('USER INPUTS'!$B$30,DEFAULTS!$E$8:$F$69,2,FALSE))/10^6*(1/($D$5/100))))))),0,METHANE!$J38*(IF('USER INPUTS'!$B$30="Total landfill gas",(1/($D$5/100)),IF('USER INPUTS'!$B$30="Methane",1,IF('USER INPUTS'!$B$30="Carbon dioxide",((1/($D$5/100))-1),(VLOOKUP('USER INPUTS'!$B$30,DEFAULTS!$E$8:$F$69,2,FALSE))/10^6*(1/($D$5/100)))))))</f>
        <v>0</v>
      </c>
      <c r="Q24" s="162">
        <f>IF(Q$8="(short tons/year)",(O24*DEFAULTS!$B$55*DEFAULTS!$B$53/DEFAULTS!$B$54),IF(Q$8="(ft^3/year)",(P24*DEFAULTS!$B$57),IF(Q$8="(av ft^3/min)",(P24*DEFAULTS!$B$57/DEFAULTS!$B$58),0)))</f>
        <v>0</v>
      </c>
    </row>
    <row r="25" spans="1:17">
      <c r="A25" s="68">
        <f>METHANE!I39</f>
        <v>2034</v>
      </c>
      <c r="B25" s="66">
        <f>IF(METHANE!E39&gt;0,METHANE!E39,0)</f>
        <v>398706</v>
      </c>
      <c r="C25" s="66">
        <f>IF(METHANE!E39&gt;0,METHANE!E39*DEFAULTS!$B$55*DEFAULTS!$B$53/DEFAULTS!$B$54,0)</f>
        <v>438576.6</v>
      </c>
      <c r="D25" s="66">
        <f>IF(METHANE!F39&gt;0,METHANE!F39,0)</f>
        <v>4488891</v>
      </c>
      <c r="E25" s="66">
        <f>IF(METHANE!F39&gt;0,METHANE!F39*DEFAULTS!$B$55*DEFAULTS!$B$53/DEFAULTS!$B$54,0)</f>
        <v>4937780.0999999996</v>
      </c>
      <c r="F25" s="62">
        <f>IF(ISERROR(METHANE!$J39*DEFAULTS!$B$81*(IF('USER INPUTS'!$B$24="Total landfill gas",(1/($D$5/100)),IF('USER INPUTS'!$B$24="Methane",1,IF('USER INPUTS'!$B$24="Carbon dioxide",((1/($D$5/100))-1),(VLOOKUP('USER INPUTS'!$B$24,DEFAULTS!$E$8:$F$69,2,FALSE))/10^6*(1/($D$5/100))))))),0,METHANE!$J39*DEFAULTS!$B$81*(IF('USER INPUTS'!$B$24="Total landfill gas",(1/($D$5/100)),IF('USER INPUTS'!$B$24="Methane",1,IF('USER INPUTS'!$B$24="Carbon dioxide",((1/($D$5/100))-1),(VLOOKUP('USER INPUTS'!$B$24,DEFAULTS!$E$8:$F$69,2,FALSE))/10^6*(1/($D$5/100)))))))</f>
        <v>0</v>
      </c>
      <c r="G25" s="62">
        <f>IF(ISERROR(METHANE!$J39*(IF('USER INPUTS'!$B$24="Total landfill gas",(1/($D$5/100)),IF('USER INPUTS'!$B$24="Methane",1,IF('USER INPUTS'!$B$24="Carbon dioxide",((1/($D$5/100))-1),(VLOOKUP('USER INPUTS'!$B$24,DEFAULTS!$E$8:$F$69,2,FALSE))/10^6*(1/($D$5/100))))))),0,METHANE!$J39*(IF('USER INPUTS'!$B$24="Total landfill gas",(1/($D$5/100)),IF('USER INPUTS'!$B$24="Methane",1,IF('USER INPUTS'!$B$24="Carbon dioxide",((1/($D$5/100))-1),(VLOOKUP('USER INPUTS'!$B$24,DEFAULTS!$E$8:$F$69,2,FALSE))/10^6*(1/($D$5/100)))))))</f>
        <v>0</v>
      </c>
      <c r="H25" s="62">
        <f>IF(H$8="(short tons/year)",(F25*DEFAULTS!$B$55*DEFAULTS!$B$53/DEFAULTS!$B$54),IF(H$8="(ft^3/year)",(G25*DEFAULTS!$B$57),IF(H$8="(av ft^3/min)",(G25*DEFAULTS!$B$57/DEFAULTS!$B$58),0)))</f>
        <v>0</v>
      </c>
      <c r="I25" s="62">
        <f>IF(ISERROR(METHANE!$J39*DEFAULTS!$B$82*(IF('USER INPUTS'!$B$26="Total landfill gas",(1/($D$5/100)),IF('USER INPUTS'!$B$26="Methane",1,IF('USER INPUTS'!$B$26="Carbon dioxide",((1/($D$5/100))-1),(VLOOKUP('USER INPUTS'!$B$26,DEFAULTS!$E$8:$F$69,2,FALSE))/10^6*(1/($D$5/100))))))),0,METHANE!$J39*DEFAULTS!$B$82*(IF('USER INPUTS'!$B$26="Total landfill gas",(1/($D$5/100)),IF('USER INPUTS'!$B$26="Methane",1,IF('USER INPUTS'!$B$26="Carbon dioxide",((1/($D$5/100))-1),(VLOOKUP('USER INPUTS'!$B$26,DEFAULTS!$E$8:$F$69,2,FALSE))/10^6*(1/($D$5/100)))))))</f>
        <v>0</v>
      </c>
      <c r="J25" s="62">
        <f>IF(ISERROR(METHANE!$J39*(IF('USER INPUTS'!$B$26="Total landfill gas",(1/($D$5/100)),IF('USER INPUTS'!$B$26="Methane",1,IF('USER INPUTS'!$B$26="Carbon dioxide",((1/($D$5/100))-1),(VLOOKUP('USER INPUTS'!$B$26,DEFAULTS!$E$8:$F$69,2,FALSE))/10^6*(1/($D$5/100))))))),0,METHANE!$J39*(IF('USER INPUTS'!$B$26="Total landfill gas",(1/($D$5/100)),IF('USER INPUTS'!$B$26="Methane",1,IF('USER INPUTS'!$B$26="Carbon dioxide",((1/($D$5/100))-1),(VLOOKUP('USER INPUTS'!$B$26,DEFAULTS!$E$8:$F$69,2,FALSE))/10^6*(1/($D$5/100)))))))</f>
        <v>0</v>
      </c>
      <c r="K25" s="62">
        <f>IF(K$8="(short tons/year)",(I25*DEFAULTS!$B$55*DEFAULTS!$B$53/DEFAULTS!$B$54),IF(K$8="(ft^3/year)",(J25*DEFAULTS!$B$57),IF(K$8="(av ft^3/min)",(J25*DEFAULTS!$B$57/DEFAULTS!$B$58),0)))</f>
        <v>0</v>
      </c>
      <c r="L25" s="62">
        <f>IF(ISERROR(METHANE!$J39*DEFAULTS!$B$83*(IF('USER INPUTS'!$B$28="Total landfill gas",(1/($D$5/100)),IF('USER INPUTS'!$B$28="Methane",1,IF('USER INPUTS'!$B$28="Carbon dioxide",((1/($D$5/100))-1),(VLOOKUP('USER INPUTS'!$B$28,DEFAULTS!$E$8:$F$69,2,FALSE))/10^6*(1/($D$5/100))))))),0,METHANE!$J39*DEFAULTS!$B$83*(IF('USER INPUTS'!$B$28="Total landfill gas",(1/($D$5/100)),IF('USER INPUTS'!$B$28="Methane",1,IF('USER INPUTS'!$B$28="Carbon dioxide",((1/($D$5/100))-1),(VLOOKUP('USER INPUTS'!$B$28,DEFAULTS!$E$8:$F$69,2,FALSE))/10^6*(1/($D$5/100)))))))</f>
        <v>16746.803980211764</v>
      </c>
      <c r="M25" s="62">
        <f>IF(ISERROR(METHANE!$J39*(IF('USER INPUTS'!$B$28="Total landfill gas",(1/($D$5/100)),IF('USER INPUTS'!$B$28="Methane",1,IF('USER INPUTS'!$B$28="Carbon dioxide",((1/($D$5/100))-1),(VLOOKUP('USER INPUTS'!$B$28,DEFAULTS!$E$8:$F$69,2,FALSE))/10^6*(1/($D$5/100))))))),0,METHANE!$J39*(IF('USER INPUTS'!$B$28="Total landfill gas",(1/($D$5/100)),IF('USER INPUTS'!$B$28="Methane",1,IF('USER INPUTS'!$B$28="Carbon dioxide",((1/($D$5/100))-1),(VLOOKUP('USER INPUTS'!$B$28,DEFAULTS!$E$8:$F$69,2,FALSE))/10^6*(1/($D$5/100)))))))</f>
        <v>9148765.3877713773</v>
      </c>
      <c r="N25" s="62">
        <f>IF(N$8="(short tons/year)",(L25*DEFAULTS!$B$55*DEFAULTS!$B$53/DEFAULTS!$B$54),IF(N$8="(ft^3/year)",(M25*DEFAULTS!$B$57),IF(N$8="(av ft^3/min)",(M25*DEFAULTS!$B$57/DEFAULTS!$B$58),0)))</f>
        <v>614.70443239944098</v>
      </c>
      <c r="O25" s="62">
        <f>IF(ISERROR(METHANE!$J39*DEFAULTS!$B$84*(IF('USER INPUTS'!$B$30="Total landfill gas",(1/($D$5/100)),IF('USER INPUTS'!$B$30="Methane",1,IF('USER INPUTS'!$B$30="Carbon dioxide",((1/($D$5/100))-1),(VLOOKUP('USER INPUTS'!$B$30,DEFAULTS!$E$8:$F$69,2,FALSE))/10^6*(1/($D$5/100))))))),0,METHANE!$J39*DEFAULTS!$B$84*(IF('USER INPUTS'!$B$30="Total landfill gas",(1/($D$5/100)),IF('USER INPUTS'!$B$30="Methane",1,IF('USER INPUTS'!$B$30="Carbon dioxide",((1/($D$5/100))-1),(VLOOKUP('USER INPUTS'!$B$30,DEFAULTS!$E$8:$F$69,2,FALSE))/10^6*(1/($D$5/100)))))))</f>
        <v>0</v>
      </c>
      <c r="P25" s="62">
        <f>IF(ISERROR(METHANE!$J39*(IF('USER INPUTS'!$B$30="Total landfill gas",(1/($D$5/100)),IF('USER INPUTS'!$B$30="Methane",1,IF('USER INPUTS'!$B$30="Carbon dioxide",((1/($D$5/100))-1),(VLOOKUP('USER INPUTS'!$B$30,DEFAULTS!$E$8:$F$69,2,FALSE))/10^6*(1/($D$5/100))))))),0,METHANE!$J39*(IF('USER INPUTS'!$B$30="Total landfill gas",(1/($D$5/100)),IF('USER INPUTS'!$B$30="Methane",1,IF('USER INPUTS'!$B$30="Carbon dioxide",((1/($D$5/100))-1),(VLOOKUP('USER INPUTS'!$B$30,DEFAULTS!$E$8:$F$69,2,FALSE))/10^6*(1/($D$5/100)))))))</f>
        <v>0</v>
      </c>
      <c r="Q25" s="162">
        <f>IF(Q$8="(short tons/year)",(O25*DEFAULTS!$B$55*DEFAULTS!$B$53/DEFAULTS!$B$54),IF(Q$8="(ft^3/year)",(P25*DEFAULTS!$B$57),IF(Q$8="(av ft^3/min)",(P25*DEFAULTS!$B$57/DEFAULTS!$B$58),0)))</f>
        <v>0</v>
      </c>
    </row>
    <row r="26" spans="1:17">
      <c r="A26" s="68">
        <f>METHANE!I40</f>
        <v>2035</v>
      </c>
      <c r="B26" s="66">
        <f>IF(METHANE!E40&gt;0,METHANE!E40,0)</f>
        <v>417737</v>
      </c>
      <c r="C26" s="66">
        <f>IF(METHANE!E40&gt;0,METHANE!E40*DEFAULTS!$B$55*DEFAULTS!$B$53/DEFAULTS!$B$54,0)</f>
        <v>459510.7</v>
      </c>
      <c r="D26" s="66">
        <f>IF(METHANE!F40&gt;0,METHANE!F40,0)</f>
        <v>4887597</v>
      </c>
      <c r="E26" s="66">
        <f>IF(METHANE!F40&gt;0,METHANE!F40*DEFAULTS!$B$55*DEFAULTS!$B$53/DEFAULTS!$B$54,0)</f>
        <v>5376356.7000000002</v>
      </c>
      <c r="F26" s="62">
        <f>IF(ISERROR(METHANE!$J40*DEFAULTS!$B$81*(IF('USER INPUTS'!$B$24="Total landfill gas",(1/($D$5/100)),IF('USER INPUTS'!$B$24="Methane",1,IF('USER INPUTS'!$B$24="Carbon dioxide",((1/($D$5/100))-1),(VLOOKUP('USER INPUTS'!$B$24,DEFAULTS!$E$8:$F$69,2,FALSE))/10^6*(1/($D$5/100))))))),0,METHANE!$J40*DEFAULTS!$B$81*(IF('USER INPUTS'!$B$24="Total landfill gas",(1/($D$5/100)),IF('USER INPUTS'!$B$24="Methane",1,IF('USER INPUTS'!$B$24="Carbon dioxide",((1/($D$5/100))-1),(VLOOKUP('USER INPUTS'!$B$24,DEFAULTS!$E$8:$F$69,2,FALSE))/10^6*(1/($D$5/100)))))))</f>
        <v>0</v>
      </c>
      <c r="G26" s="62">
        <f>IF(ISERROR(METHANE!$J40*(IF('USER INPUTS'!$B$24="Total landfill gas",(1/($D$5/100)),IF('USER INPUTS'!$B$24="Methane",1,IF('USER INPUTS'!$B$24="Carbon dioxide",((1/($D$5/100))-1),(VLOOKUP('USER INPUTS'!$B$24,DEFAULTS!$E$8:$F$69,2,FALSE))/10^6*(1/($D$5/100))))))),0,METHANE!$J40*(IF('USER INPUTS'!$B$24="Total landfill gas",(1/($D$5/100)),IF('USER INPUTS'!$B$24="Methane",1,IF('USER INPUTS'!$B$24="Carbon dioxide",((1/($D$5/100))-1),(VLOOKUP('USER INPUTS'!$B$24,DEFAULTS!$E$8:$F$69,2,FALSE))/10^6*(1/($D$5/100)))))))</f>
        <v>0</v>
      </c>
      <c r="H26" s="62">
        <f>IF(H$8="(short tons/year)",(F26*DEFAULTS!$B$55*DEFAULTS!$B$53/DEFAULTS!$B$54),IF(H$8="(ft^3/year)",(G26*DEFAULTS!$B$57),IF(H$8="(av ft^3/min)",(G26*DEFAULTS!$B$57/DEFAULTS!$B$58),0)))</f>
        <v>0</v>
      </c>
      <c r="I26" s="62">
        <f>IF(ISERROR(METHANE!$J40*DEFAULTS!$B$82*(IF('USER INPUTS'!$B$26="Total landfill gas",(1/($D$5/100)),IF('USER INPUTS'!$B$26="Methane",1,IF('USER INPUTS'!$B$26="Carbon dioxide",((1/($D$5/100))-1),(VLOOKUP('USER INPUTS'!$B$26,DEFAULTS!$E$8:$F$69,2,FALSE))/10^6*(1/($D$5/100))))))),0,METHANE!$J40*DEFAULTS!$B$82*(IF('USER INPUTS'!$B$26="Total landfill gas",(1/($D$5/100)),IF('USER INPUTS'!$B$26="Methane",1,IF('USER INPUTS'!$B$26="Carbon dioxide",((1/($D$5/100))-1),(VLOOKUP('USER INPUTS'!$B$26,DEFAULTS!$E$8:$F$69,2,FALSE))/10^6*(1/($D$5/100)))))))</f>
        <v>0</v>
      </c>
      <c r="J26" s="62">
        <f>IF(ISERROR(METHANE!$J40*(IF('USER INPUTS'!$B$26="Total landfill gas",(1/($D$5/100)),IF('USER INPUTS'!$B$26="Methane",1,IF('USER INPUTS'!$B$26="Carbon dioxide",((1/($D$5/100))-1),(VLOOKUP('USER INPUTS'!$B$26,DEFAULTS!$E$8:$F$69,2,FALSE))/10^6*(1/($D$5/100))))))),0,METHANE!$J40*(IF('USER INPUTS'!$B$26="Total landfill gas",(1/($D$5/100)),IF('USER INPUTS'!$B$26="Methane",1,IF('USER INPUTS'!$B$26="Carbon dioxide",((1/($D$5/100))-1),(VLOOKUP('USER INPUTS'!$B$26,DEFAULTS!$E$8:$F$69,2,FALSE))/10^6*(1/($D$5/100)))))))</f>
        <v>0</v>
      </c>
      <c r="K26" s="62">
        <f>IF(K$8="(short tons/year)",(I26*DEFAULTS!$B$55*DEFAULTS!$B$53/DEFAULTS!$B$54),IF(K$8="(ft^3/year)",(J26*DEFAULTS!$B$57),IF(K$8="(av ft^3/min)",(J26*DEFAULTS!$B$57/DEFAULTS!$B$58),0)))</f>
        <v>0</v>
      </c>
      <c r="L26" s="62">
        <f>IF(ISERROR(METHANE!$J40*DEFAULTS!$B$83*(IF('USER INPUTS'!$B$28="Total landfill gas",(1/($D$5/100)),IF('USER INPUTS'!$B$28="Methane",1,IF('USER INPUTS'!$B$28="Carbon dioxide",((1/($D$5/100))-1),(VLOOKUP('USER INPUTS'!$B$28,DEFAULTS!$E$8:$F$69,2,FALSE))/10^6*(1/($D$5/100))))))),0,METHANE!$J40*DEFAULTS!$B$83*(IF('USER INPUTS'!$B$28="Total landfill gas",(1/($D$5/100)),IF('USER INPUTS'!$B$28="Methane",1,IF('USER INPUTS'!$B$28="Carbon dioxide",((1/($D$5/100))-1),(VLOOKUP('USER INPUTS'!$B$28,DEFAULTS!$E$8:$F$69,2,FALSE))/10^6*(1/($D$5/100)))))))</f>
        <v>18001.775690287686</v>
      </c>
      <c r="M26" s="62">
        <f>IF(ISERROR(METHANE!$J40*(IF('USER INPUTS'!$B$28="Total landfill gas",(1/($D$5/100)),IF('USER INPUTS'!$B$28="Methane",1,IF('USER INPUTS'!$B$28="Carbon dioxide",((1/($D$5/100))-1),(VLOOKUP('USER INPUTS'!$B$28,DEFAULTS!$E$8:$F$69,2,FALSE))/10^6*(1/($D$5/100))))))),0,METHANE!$J40*(IF('USER INPUTS'!$B$28="Total landfill gas",(1/($D$5/100)),IF('USER INPUTS'!$B$28="Methane",1,IF('USER INPUTS'!$B$28="Carbon dioxide",((1/($D$5/100))-1),(VLOOKUP('USER INPUTS'!$B$28,DEFAULTS!$E$8:$F$69,2,FALSE))/10^6*(1/($D$5/100)))))))</f>
        <v>9834355.4118345641</v>
      </c>
      <c r="N26" s="62">
        <f>IF(N$8="(short tons/year)",(L26*DEFAULTS!$B$55*DEFAULTS!$B$53/DEFAULTS!$B$54),IF(N$8="(ft^3/year)",(M26*DEFAULTS!$B$57),IF(N$8="(av ft^3/min)",(M26*DEFAULTS!$B$57/DEFAULTS!$B$58),0)))</f>
        <v>660.76914263496496</v>
      </c>
      <c r="O26" s="62">
        <f>IF(ISERROR(METHANE!$J40*DEFAULTS!$B$84*(IF('USER INPUTS'!$B$30="Total landfill gas",(1/($D$5/100)),IF('USER INPUTS'!$B$30="Methane",1,IF('USER INPUTS'!$B$30="Carbon dioxide",((1/($D$5/100))-1),(VLOOKUP('USER INPUTS'!$B$30,DEFAULTS!$E$8:$F$69,2,FALSE))/10^6*(1/($D$5/100))))))),0,METHANE!$J40*DEFAULTS!$B$84*(IF('USER INPUTS'!$B$30="Total landfill gas",(1/($D$5/100)),IF('USER INPUTS'!$B$30="Methane",1,IF('USER INPUTS'!$B$30="Carbon dioxide",((1/($D$5/100))-1),(VLOOKUP('USER INPUTS'!$B$30,DEFAULTS!$E$8:$F$69,2,FALSE))/10^6*(1/($D$5/100)))))))</f>
        <v>0</v>
      </c>
      <c r="P26" s="62">
        <f>IF(ISERROR(METHANE!$J40*(IF('USER INPUTS'!$B$30="Total landfill gas",(1/($D$5/100)),IF('USER INPUTS'!$B$30="Methane",1,IF('USER INPUTS'!$B$30="Carbon dioxide",((1/($D$5/100))-1),(VLOOKUP('USER INPUTS'!$B$30,DEFAULTS!$E$8:$F$69,2,FALSE))/10^6*(1/($D$5/100))))))),0,METHANE!$J40*(IF('USER INPUTS'!$B$30="Total landfill gas",(1/($D$5/100)),IF('USER INPUTS'!$B$30="Methane",1,IF('USER INPUTS'!$B$30="Carbon dioxide",((1/($D$5/100))-1),(VLOOKUP('USER INPUTS'!$B$30,DEFAULTS!$E$8:$F$69,2,FALSE))/10^6*(1/($D$5/100)))))))</f>
        <v>0</v>
      </c>
      <c r="Q26" s="162">
        <f>IF(Q$8="(short tons/year)",(O26*DEFAULTS!$B$55*DEFAULTS!$B$53/DEFAULTS!$B$54),IF(Q$8="(ft^3/year)",(P26*DEFAULTS!$B$57),IF(Q$8="(av ft^3/min)",(P26*DEFAULTS!$B$57/DEFAULTS!$B$58),0)))</f>
        <v>0</v>
      </c>
    </row>
    <row r="27" spans="1:17">
      <c r="A27" s="68">
        <f>METHANE!I41</f>
        <v>2036</v>
      </c>
      <c r="B27" s="66">
        <f>IF(METHANE!E41&gt;0,METHANE!E41,0)</f>
        <v>437677</v>
      </c>
      <c r="C27" s="66">
        <f>IF(METHANE!E41&gt;0,METHANE!E41*DEFAULTS!$B$55*DEFAULTS!$B$53/DEFAULTS!$B$54,0)</f>
        <v>481444.7</v>
      </c>
      <c r="D27" s="66">
        <f>IF(METHANE!F41&gt;0,METHANE!F41,0)</f>
        <v>5305334</v>
      </c>
      <c r="E27" s="66">
        <f>IF(METHANE!F41&gt;0,METHANE!F41*DEFAULTS!$B$55*DEFAULTS!$B$53/DEFAULTS!$B$54,0)</f>
        <v>5835867.4000000004</v>
      </c>
      <c r="F27" s="62">
        <f>IF(ISERROR(METHANE!$J41*DEFAULTS!$B$81*(IF('USER INPUTS'!$B$24="Total landfill gas",(1/($D$5/100)),IF('USER INPUTS'!$B$24="Methane",1,IF('USER INPUTS'!$B$24="Carbon dioxide",((1/($D$5/100))-1),(VLOOKUP('USER INPUTS'!$B$24,DEFAULTS!$E$8:$F$69,2,FALSE))/10^6*(1/($D$5/100))))))),0,METHANE!$J41*DEFAULTS!$B$81*(IF('USER INPUTS'!$B$24="Total landfill gas",(1/($D$5/100)),IF('USER INPUTS'!$B$24="Methane",1,IF('USER INPUTS'!$B$24="Carbon dioxide",((1/($D$5/100))-1),(VLOOKUP('USER INPUTS'!$B$24,DEFAULTS!$E$8:$F$69,2,FALSE))/10^6*(1/($D$5/100)))))))</f>
        <v>0</v>
      </c>
      <c r="G27" s="62">
        <f>IF(ISERROR(METHANE!$J41*(IF('USER INPUTS'!$B$24="Total landfill gas",(1/($D$5/100)),IF('USER INPUTS'!$B$24="Methane",1,IF('USER INPUTS'!$B$24="Carbon dioxide",((1/($D$5/100))-1),(VLOOKUP('USER INPUTS'!$B$24,DEFAULTS!$E$8:$F$69,2,FALSE))/10^6*(1/($D$5/100))))))),0,METHANE!$J41*(IF('USER INPUTS'!$B$24="Total landfill gas",(1/($D$5/100)),IF('USER INPUTS'!$B$24="Methane",1,IF('USER INPUTS'!$B$24="Carbon dioxide",((1/($D$5/100))-1),(VLOOKUP('USER INPUTS'!$B$24,DEFAULTS!$E$8:$F$69,2,FALSE))/10^6*(1/($D$5/100)))))))</f>
        <v>0</v>
      </c>
      <c r="H27" s="62">
        <f>IF(H$8="(short tons/year)",(F27*DEFAULTS!$B$55*DEFAULTS!$B$53/DEFAULTS!$B$54),IF(H$8="(ft^3/year)",(G27*DEFAULTS!$B$57),IF(H$8="(av ft^3/min)",(G27*DEFAULTS!$B$57/DEFAULTS!$B$58),0)))</f>
        <v>0</v>
      </c>
      <c r="I27" s="62">
        <f>IF(ISERROR(METHANE!$J41*DEFAULTS!$B$82*(IF('USER INPUTS'!$B$26="Total landfill gas",(1/($D$5/100)),IF('USER INPUTS'!$B$26="Methane",1,IF('USER INPUTS'!$B$26="Carbon dioxide",((1/($D$5/100))-1),(VLOOKUP('USER INPUTS'!$B$26,DEFAULTS!$E$8:$F$69,2,FALSE))/10^6*(1/($D$5/100))))))),0,METHANE!$J41*DEFAULTS!$B$82*(IF('USER INPUTS'!$B$26="Total landfill gas",(1/($D$5/100)),IF('USER INPUTS'!$B$26="Methane",1,IF('USER INPUTS'!$B$26="Carbon dioxide",((1/($D$5/100))-1),(VLOOKUP('USER INPUTS'!$B$26,DEFAULTS!$E$8:$F$69,2,FALSE))/10^6*(1/($D$5/100)))))))</f>
        <v>0</v>
      </c>
      <c r="J27" s="62">
        <f>IF(ISERROR(METHANE!$J41*(IF('USER INPUTS'!$B$26="Total landfill gas",(1/($D$5/100)),IF('USER INPUTS'!$B$26="Methane",1,IF('USER INPUTS'!$B$26="Carbon dioxide",((1/($D$5/100))-1),(VLOOKUP('USER INPUTS'!$B$26,DEFAULTS!$E$8:$F$69,2,FALSE))/10^6*(1/($D$5/100))))))),0,METHANE!$J41*(IF('USER INPUTS'!$B$26="Total landfill gas",(1/($D$5/100)),IF('USER INPUTS'!$B$26="Methane",1,IF('USER INPUTS'!$B$26="Carbon dioxide",((1/($D$5/100))-1),(VLOOKUP('USER INPUTS'!$B$26,DEFAULTS!$E$8:$F$69,2,FALSE))/10^6*(1/($D$5/100)))))))</f>
        <v>0</v>
      </c>
      <c r="K27" s="62">
        <f>IF(K$8="(short tons/year)",(I27*DEFAULTS!$B$55*DEFAULTS!$B$53/DEFAULTS!$B$54),IF(K$8="(ft^3/year)",(J27*DEFAULTS!$B$57),IF(K$8="(av ft^3/min)",(J27*DEFAULTS!$B$57/DEFAULTS!$B$58),0)))</f>
        <v>0</v>
      </c>
      <c r="L27" s="62">
        <f>IF(ISERROR(METHANE!$J41*DEFAULTS!$B$83*(IF('USER INPUTS'!$B$28="Total landfill gas",(1/($D$5/100)),IF('USER INPUTS'!$B$28="Methane",1,IF('USER INPUTS'!$B$28="Carbon dioxide",((1/($D$5/100))-1),(VLOOKUP('USER INPUTS'!$B$28,DEFAULTS!$E$8:$F$69,2,FALSE))/10^6*(1/($D$5/100))))))),0,METHANE!$J41*DEFAULTS!$B$83*(IF('USER INPUTS'!$B$28="Total landfill gas",(1/($D$5/100)),IF('USER INPUTS'!$B$28="Methane",1,IF('USER INPUTS'!$B$28="Carbon dioxide",((1/($D$5/100))-1),(VLOOKUP('USER INPUTS'!$B$28,DEFAULTS!$E$8:$F$69,2,FALSE))/10^6*(1/($D$5/100)))))))</f>
        <v>19298.784691664354</v>
      </c>
      <c r="M27" s="62">
        <f>IF(ISERROR(METHANE!$J41*(IF('USER INPUTS'!$B$28="Total landfill gas",(1/($D$5/100)),IF('USER INPUTS'!$B$28="Methane",1,IF('USER INPUTS'!$B$28="Carbon dioxide",((1/($D$5/100))-1),(VLOOKUP('USER INPUTS'!$B$28,DEFAULTS!$E$8:$F$69,2,FALSE))/10^6*(1/($D$5/100))))))),0,METHANE!$J41*(IF('USER INPUTS'!$B$28="Total landfill gas",(1/($D$5/100)),IF('USER INPUTS'!$B$28="Methane",1,IF('USER INPUTS'!$B$28="Carbon dioxide",((1/($D$5/100))-1),(VLOOKUP('USER INPUTS'!$B$28,DEFAULTS!$E$8:$F$69,2,FALSE))/10^6*(1/($D$5/100)))))))</f>
        <v>10542910.373930248</v>
      </c>
      <c r="N27" s="62">
        <f>IF(N$8="(short tons/year)",(L27*DEFAULTS!$B$55*DEFAULTS!$B$53/DEFAULTS!$B$54),IF(N$8="(ft^3/year)",(M27*DEFAULTS!$B$57),IF(N$8="(av ft^3/min)",(M27*DEFAULTS!$B$57/DEFAULTS!$B$58),0)))</f>
        <v>708.37686426055302</v>
      </c>
      <c r="O27" s="62">
        <f>IF(ISERROR(METHANE!$J41*DEFAULTS!$B$84*(IF('USER INPUTS'!$B$30="Total landfill gas",(1/($D$5/100)),IF('USER INPUTS'!$B$30="Methane",1,IF('USER INPUTS'!$B$30="Carbon dioxide",((1/($D$5/100))-1),(VLOOKUP('USER INPUTS'!$B$30,DEFAULTS!$E$8:$F$69,2,FALSE))/10^6*(1/($D$5/100))))))),0,METHANE!$J41*DEFAULTS!$B$84*(IF('USER INPUTS'!$B$30="Total landfill gas",(1/($D$5/100)),IF('USER INPUTS'!$B$30="Methane",1,IF('USER INPUTS'!$B$30="Carbon dioxide",((1/($D$5/100))-1),(VLOOKUP('USER INPUTS'!$B$30,DEFAULTS!$E$8:$F$69,2,FALSE))/10^6*(1/($D$5/100)))))))</f>
        <v>0</v>
      </c>
      <c r="P27" s="62">
        <f>IF(ISERROR(METHANE!$J41*(IF('USER INPUTS'!$B$30="Total landfill gas",(1/($D$5/100)),IF('USER INPUTS'!$B$30="Methane",1,IF('USER INPUTS'!$B$30="Carbon dioxide",((1/($D$5/100))-1),(VLOOKUP('USER INPUTS'!$B$30,DEFAULTS!$E$8:$F$69,2,FALSE))/10^6*(1/($D$5/100))))))),0,METHANE!$J41*(IF('USER INPUTS'!$B$30="Total landfill gas",(1/($D$5/100)),IF('USER INPUTS'!$B$30="Methane",1,IF('USER INPUTS'!$B$30="Carbon dioxide",((1/($D$5/100))-1),(VLOOKUP('USER INPUTS'!$B$30,DEFAULTS!$E$8:$F$69,2,FALSE))/10^6*(1/($D$5/100)))))))</f>
        <v>0</v>
      </c>
      <c r="Q27" s="162">
        <f>IF(Q$8="(short tons/year)",(O27*DEFAULTS!$B$55*DEFAULTS!$B$53/DEFAULTS!$B$54),IF(Q$8="(ft^3/year)",(P27*DEFAULTS!$B$57),IF(Q$8="(av ft^3/min)",(P27*DEFAULTS!$B$57/DEFAULTS!$B$58),0)))</f>
        <v>0</v>
      </c>
    </row>
    <row r="28" spans="1:17">
      <c r="A28" s="68">
        <f>METHANE!I42</f>
        <v>2037</v>
      </c>
      <c r="B28" s="66">
        <f>IF(METHANE!E42&gt;0,METHANE!E42,0)</f>
        <v>458568</v>
      </c>
      <c r="C28" s="66">
        <f>IF(METHANE!E42&gt;0,METHANE!E42*DEFAULTS!$B$55*DEFAULTS!$B$53/DEFAULTS!$B$54,0)</f>
        <v>504424.80000000005</v>
      </c>
      <c r="D28" s="66">
        <f>IF(METHANE!F42&gt;0,METHANE!F42,0)</f>
        <v>5743011</v>
      </c>
      <c r="E28" s="66">
        <f>IF(METHANE!F42&gt;0,METHANE!F42*DEFAULTS!$B$55*DEFAULTS!$B$53/DEFAULTS!$B$54,0)</f>
        <v>6317312.0999999996</v>
      </c>
      <c r="F28" s="62">
        <f>IF(ISERROR(METHANE!$J42*DEFAULTS!$B$81*(IF('USER INPUTS'!$B$24="Total landfill gas",(1/($D$5/100)),IF('USER INPUTS'!$B$24="Methane",1,IF('USER INPUTS'!$B$24="Carbon dioxide",((1/($D$5/100))-1),(VLOOKUP('USER INPUTS'!$B$24,DEFAULTS!$E$8:$F$69,2,FALSE))/10^6*(1/($D$5/100))))))),0,METHANE!$J42*DEFAULTS!$B$81*(IF('USER INPUTS'!$B$24="Total landfill gas",(1/($D$5/100)),IF('USER INPUTS'!$B$24="Methane",1,IF('USER INPUTS'!$B$24="Carbon dioxide",((1/($D$5/100))-1),(VLOOKUP('USER INPUTS'!$B$24,DEFAULTS!$E$8:$F$69,2,FALSE))/10^6*(1/($D$5/100)))))))</f>
        <v>0</v>
      </c>
      <c r="G28" s="62">
        <f>IF(ISERROR(METHANE!$J42*(IF('USER INPUTS'!$B$24="Total landfill gas",(1/($D$5/100)),IF('USER INPUTS'!$B$24="Methane",1,IF('USER INPUTS'!$B$24="Carbon dioxide",((1/($D$5/100))-1),(VLOOKUP('USER INPUTS'!$B$24,DEFAULTS!$E$8:$F$69,2,FALSE))/10^6*(1/($D$5/100))))))),0,METHANE!$J42*(IF('USER INPUTS'!$B$24="Total landfill gas",(1/($D$5/100)),IF('USER INPUTS'!$B$24="Methane",1,IF('USER INPUTS'!$B$24="Carbon dioxide",((1/($D$5/100))-1),(VLOOKUP('USER INPUTS'!$B$24,DEFAULTS!$E$8:$F$69,2,FALSE))/10^6*(1/($D$5/100)))))))</f>
        <v>0</v>
      </c>
      <c r="H28" s="62">
        <f>IF(H$8="(short tons/year)",(F28*DEFAULTS!$B$55*DEFAULTS!$B$53/DEFAULTS!$B$54),IF(H$8="(ft^3/year)",(G28*DEFAULTS!$B$57),IF(H$8="(av ft^3/min)",(G28*DEFAULTS!$B$57/DEFAULTS!$B$58),0)))</f>
        <v>0</v>
      </c>
      <c r="I28" s="62">
        <f>IF(ISERROR(METHANE!$J42*DEFAULTS!$B$82*(IF('USER INPUTS'!$B$26="Total landfill gas",(1/($D$5/100)),IF('USER INPUTS'!$B$26="Methane",1,IF('USER INPUTS'!$B$26="Carbon dioxide",((1/($D$5/100))-1),(VLOOKUP('USER INPUTS'!$B$26,DEFAULTS!$E$8:$F$69,2,FALSE))/10^6*(1/($D$5/100))))))),0,METHANE!$J42*DEFAULTS!$B$82*(IF('USER INPUTS'!$B$26="Total landfill gas",(1/($D$5/100)),IF('USER INPUTS'!$B$26="Methane",1,IF('USER INPUTS'!$B$26="Carbon dioxide",((1/($D$5/100))-1),(VLOOKUP('USER INPUTS'!$B$26,DEFAULTS!$E$8:$F$69,2,FALSE))/10^6*(1/($D$5/100)))))))</f>
        <v>0</v>
      </c>
      <c r="J28" s="62">
        <f>IF(ISERROR(METHANE!$J42*(IF('USER INPUTS'!$B$26="Total landfill gas",(1/($D$5/100)),IF('USER INPUTS'!$B$26="Methane",1,IF('USER INPUTS'!$B$26="Carbon dioxide",((1/($D$5/100))-1),(VLOOKUP('USER INPUTS'!$B$26,DEFAULTS!$E$8:$F$69,2,FALSE))/10^6*(1/($D$5/100))))))),0,METHANE!$J42*(IF('USER INPUTS'!$B$26="Total landfill gas",(1/($D$5/100)),IF('USER INPUTS'!$B$26="Methane",1,IF('USER INPUTS'!$B$26="Carbon dioxide",((1/($D$5/100))-1),(VLOOKUP('USER INPUTS'!$B$26,DEFAULTS!$E$8:$F$69,2,FALSE))/10^6*(1/($D$5/100)))))))</f>
        <v>0</v>
      </c>
      <c r="K28" s="62">
        <f>IF(K$8="(short tons/year)",(I28*DEFAULTS!$B$55*DEFAULTS!$B$53/DEFAULTS!$B$54),IF(K$8="(ft^3/year)",(J28*DEFAULTS!$B$57),IF(K$8="(av ft^3/min)",(J28*DEFAULTS!$B$57/DEFAULTS!$B$58),0)))</f>
        <v>0</v>
      </c>
      <c r="L28" s="62">
        <f>IF(ISERROR(METHANE!$J42*DEFAULTS!$B$83*(IF('USER INPUTS'!$B$28="Total landfill gas",(1/($D$5/100)),IF('USER INPUTS'!$B$28="Methane",1,IF('USER INPUTS'!$B$28="Carbon dioxide",((1/($D$5/100))-1),(VLOOKUP('USER INPUTS'!$B$28,DEFAULTS!$E$8:$F$69,2,FALSE))/10^6*(1/($D$5/100))))))),0,METHANE!$J42*DEFAULTS!$B$83*(IF('USER INPUTS'!$B$28="Total landfill gas",(1/($D$5/100)),IF('USER INPUTS'!$B$28="Methane",1,IF('USER INPUTS'!$B$28="Carbon dioxide",((1/($D$5/100))-1),(VLOOKUP('USER INPUTS'!$B$28,DEFAULTS!$E$8:$F$69,2,FALSE))/10^6*(1/($D$5/100)))))))</f>
        <v>20640.540941472504</v>
      </c>
      <c r="M28" s="62">
        <f>IF(ISERROR(METHANE!$J42*(IF('USER INPUTS'!$B$28="Total landfill gas",(1/($D$5/100)),IF('USER INPUTS'!$B$28="Methane",1,IF('USER INPUTS'!$B$28="Carbon dioxide",((1/($D$5/100))-1),(VLOOKUP('USER INPUTS'!$B$28,DEFAULTS!$E$8:$F$69,2,FALSE))/10^6*(1/($D$5/100))))))),0,METHANE!$J42*(IF('USER INPUTS'!$B$28="Total landfill gas",(1/($D$5/100)),IF('USER INPUTS'!$B$28="Methane",1,IF('USER INPUTS'!$B$28="Carbon dioxide",((1/($D$5/100))-1),(VLOOKUP('USER INPUTS'!$B$28,DEFAULTS!$E$8:$F$69,2,FALSE))/10^6*(1/($D$5/100)))))))</f>
        <v>11275910.721433897</v>
      </c>
      <c r="N28" s="62">
        <f>IF(N$8="(short tons/year)",(L28*DEFAULTS!$B$55*DEFAULTS!$B$53/DEFAULTS!$B$54),IF(N$8="(ft^3/year)",(M28*DEFAULTS!$B$57),IF(N$8="(av ft^3/min)",(M28*DEFAULTS!$B$57/DEFAULTS!$B$58),0)))</f>
        <v>757.62706835509516</v>
      </c>
      <c r="O28" s="62">
        <f>IF(ISERROR(METHANE!$J42*DEFAULTS!$B$84*(IF('USER INPUTS'!$B$30="Total landfill gas",(1/($D$5/100)),IF('USER INPUTS'!$B$30="Methane",1,IF('USER INPUTS'!$B$30="Carbon dioxide",((1/($D$5/100))-1),(VLOOKUP('USER INPUTS'!$B$30,DEFAULTS!$E$8:$F$69,2,FALSE))/10^6*(1/($D$5/100))))))),0,METHANE!$J42*DEFAULTS!$B$84*(IF('USER INPUTS'!$B$30="Total landfill gas",(1/($D$5/100)),IF('USER INPUTS'!$B$30="Methane",1,IF('USER INPUTS'!$B$30="Carbon dioxide",((1/($D$5/100))-1),(VLOOKUP('USER INPUTS'!$B$30,DEFAULTS!$E$8:$F$69,2,FALSE))/10^6*(1/($D$5/100)))))))</f>
        <v>0</v>
      </c>
      <c r="P28" s="62">
        <f>IF(ISERROR(METHANE!$J42*(IF('USER INPUTS'!$B$30="Total landfill gas",(1/($D$5/100)),IF('USER INPUTS'!$B$30="Methane",1,IF('USER INPUTS'!$B$30="Carbon dioxide",((1/($D$5/100))-1),(VLOOKUP('USER INPUTS'!$B$30,DEFAULTS!$E$8:$F$69,2,FALSE))/10^6*(1/($D$5/100))))))),0,METHANE!$J42*(IF('USER INPUTS'!$B$30="Total landfill gas",(1/($D$5/100)),IF('USER INPUTS'!$B$30="Methane",1,IF('USER INPUTS'!$B$30="Carbon dioxide",((1/($D$5/100))-1),(VLOOKUP('USER INPUTS'!$B$30,DEFAULTS!$E$8:$F$69,2,FALSE))/10^6*(1/($D$5/100)))))))</f>
        <v>0</v>
      </c>
      <c r="Q28" s="162">
        <f>IF(Q$8="(short tons/year)",(O28*DEFAULTS!$B$55*DEFAULTS!$B$53/DEFAULTS!$B$54),IF(Q$8="(ft^3/year)",(P28*DEFAULTS!$B$57),IF(Q$8="(av ft^3/min)",(P28*DEFAULTS!$B$57/DEFAULTS!$B$58),0)))</f>
        <v>0</v>
      </c>
    </row>
    <row r="29" spans="1:17">
      <c r="A29" s="68">
        <f>METHANE!I43</f>
        <v>2038</v>
      </c>
      <c r="B29" s="66">
        <f>IF(METHANE!E43&gt;0,METHANE!E43,0)</f>
        <v>480456</v>
      </c>
      <c r="C29" s="66">
        <f>IF(METHANE!E43&gt;0,METHANE!E43*DEFAULTS!$B$55*DEFAULTS!$B$53/DEFAULTS!$B$54,0)</f>
        <v>528501.60000000009</v>
      </c>
      <c r="D29" s="66">
        <f>IF(METHANE!F43&gt;0,METHANE!F43,0)</f>
        <v>6201579</v>
      </c>
      <c r="E29" s="66">
        <f>IF(METHANE!F43&gt;0,METHANE!F43*DEFAULTS!$B$55*DEFAULTS!$B$53/DEFAULTS!$B$54,0)</f>
        <v>6821736.9000000004</v>
      </c>
      <c r="F29" s="62">
        <f>IF(ISERROR(METHANE!$J43*DEFAULTS!$B$81*(IF('USER INPUTS'!$B$24="Total landfill gas",(1/($D$5/100)),IF('USER INPUTS'!$B$24="Methane",1,IF('USER INPUTS'!$B$24="Carbon dioxide",((1/($D$5/100))-1),(VLOOKUP('USER INPUTS'!$B$24,DEFAULTS!$E$8:$F$69,2,FALSE))/10^6*(1/($D$5/100))))))),0,METHANE!$J43*DEFAULTS!$B$81*(IF('USER INPUTS'!$B$24="Total landfill gas",(1/($D$5/100)),IF('USER INPUTS'!$B$24="Methane",1,IF('USER INPUTS'!$B$24="Carbon dioxide",((1/($D$5/100))-1),(VLOOKUP('USER INPUTS'!$B$24,DEFAULTS!$E$8:$F$69,2,FALSE))/10^6*(1/($D$5/100)))))))</f>
        <v>0</v>
      </c>
      <c r="G29" s="62">
        <f>IF(ISERROR(METHANE!$J43*(IF('USER INPUTS'!$B$24="Total landfill gas",(1/($D$5/100)),IF('USER INPUTS'!$B$24="Methane",1,IF('USER INPUTS'!$B$24="Carbon dioxide",((1/($D$5/100))-1),(VLOOKUP('USER INPUTS'!$B$24,DEFAULTS!$E$8:$F$69,2,FALSE))/10^6*(1/($D$5/100))))))),0,METHANE!$J43*(IF('USER INPUTS'!$B$24="Total landfill gas",(1/($D$5/100)),IF('USER INPUTS'!$B$24="Methane",1,IF('USER INPUTS'!$B$24="Carbon dioxide",((1/($D$5/100))-1),(VLOOKUP('USER INPUTS'!$B$24,DEFAULTS!$E$8:$F$69,2,FALSE))/10^6*(1/($D$5/100)))))))</f>
        <v>0</v>
      </c>
      <c r="H29" s="62">
        <f>IF(H$8="(short tons/year)",(F29*DEFAULTS!$B$55*DEFAULTS!$B$53/DEFAULTS!$B$54),IF(H$8="(ft^3/year)",(G29*DEFAULTS!$B$57),IF(H$8="(av ft^3/min)",(G29*DEFAULTS!$B$57/DEFAULTS!$B$58),0)))</f>
        <v>0</v>
      </c>
      <c r="I29" s="62">
        <f>IF(ISERROR(METHANE!$J43*DEFAULTS!$B$82*(IF('USER INPUTS'!$B$26="Total landfill gas",(1/($D$5/100)),IF('USER INPUTS'!$B$26="Methane",1,IF('USER INPUTS'!$B$26="Carbon dioxide",((1/($D$5/100))-1),(VLOOKUP('USER INPUTS'!$B$26,DEFAULTS!$E$8:$F$69,2,FALSE))/10^6*(1/($D$5/100))))))),0,METHANE!$J43*DEFAULTS!$B$82*(IF('USER INPUTS'!$B$26="Total landfill gas",(1/($D$5/100)),IF('USER INPUTS'!$B$26="Methane",1,IF('USER INPUTS'!$B$26="Carbon dioxide",((1/($D$5/100))-1),(VLOOKUP('USER INPUTS'!$B$26,DEFAULTS!$E$8:$F$69,2,FALSE))/10^6*(1/($D$5/100)))))))</f>
        <v>0</v>
      </c>
      <c r="J29" s="62">
        <f>IF(ISERROR(METHANE!$J43*(IF('USER INPUTS'!$B$26="Total landfill gas",(1/($D$5/100)),IF('USER INPUTS'!$B$26="Methane",1,IF('USER INPUTS'!$B$26="Carbon dioxide",((1/($D$5/100))-1),(VLOOKUP('USER INPUTS'!$B$26,DEFAULTS!$E$8:$F$69,2,FALSE))/10^6*(1/($D$5/100))))))),0,METHANE!$J43*(IF('USER INPUTS'!$B$26="Total landfill gas",(1/($D$5/100)),IF('USER INPUTS'!$B$26="Methane",1,IF('USER INPUTS'!$B$26="Carbon dioxide",((1/($D$5/100))-1),(VLOOKUP('USER INPUTS'!$B$26,DEFAULTS!$E$8:$F$69,2,FALSE))/10^6*(1/($D$5/100)))))))</f>
        <v>0</v>
      </c>
      <c r="K29" s="62">
        <f>IF(K$8="(short tons/year)",(I29*DEFAULTS!$B$55*DEFAULTS!$B$53/DEFAULTS!$B$54),IF(K$8="(ft^3/year)",(J29*DEFAULTS!$B$57),IF(K$8="(av ft^3/min)",(J29*DEFAULTS!$B$57/DEFAULTS!$B$58),0)))</f>
        <v>0</v>
      </c>
      <c r="L29" s="62">
        <f>IF(ISERROR(METHANE!$J43*DEFAULTS!$B$83*(IF('USER INPUTS'!$B$28="Total landfill gas",(1/($D$5/100)),IF('USER INPUTS'!$B$28="Methane",1,IF('USER INPUTS'!$B$28="Carbon dioxide",((1/($D$5/100))-1),(VLOOKUP('USER INPUTS'!$B$28,DEFAULTS!$E$8:$F$69,2,FALSE))/10^6*(1/($D$5/100))))))),0,METHANE!$J43*DEFAULTS!$B$83*(IF('USER INPUTS'!$B$28="Total landfill gas",(1/($D$5/100)),IF('USER INPUTS'!$B$28="Methane",1,IF('USER INPUTS'!$B$28="Carbon dioxide",((1/($D$5/100))-1),(VLOOKUP('USER INPUTS'!$B$28,DEFAULTS!$E$8:$F$69,2,FALSE))/10^6*(1/($D$5/100)))))))</f>
        <v>22029.849509787022</v>
      </c>
      <c r="M29" s="62">
        <f>IF(ISERROR(METHANE!$J43*(IF('USER INPUTS'!$B$28="Total landfill gas",(1/($D$5/100)),IF('USER INPUTS'!$B$28="Methane",1,IF('USER INPUTS'!$B$28="Carbon dioxide",((1/($D$5/100))-1),(VLOOKUP('USER INPUTS'!$B$28,DEFAULTS!$E$8:$F$69,2,FALSE))/10^6*(1/($D$5/100))))))),0,METHANE!$J43*(IF('USER INPUTS'!$B$28="Total landfill gas",(1/($D$5/100)),IF('USER INPUTS'!$B$28="Methane",1,IF('USER INPUTS'!$B$28="Carbon dioxide",((1/($D$5/100))-1),(VLOOKUP('USER INPUTS'!$B$28,DEFAULTS!$E$8:$F$69,2,FALSE))/10^6*(1/($D$5/100)))))))</f>
        <v>12034888.861844981</v>
      </c>
      <c r="N29" s="62">
        <f>IF(N$8="(short tons/year)",(L29*DEFAULTS!$B$55*DEFAULTS!$B$53/DEFAULTS!$B$54),IF(N$8="(ft^3/year)",(M29*DEFAULTS!$B$57),IF(N$8="(av ft^3/min)",(M29*DEFAULTS!$B$57/DEFAULTS!$B$58),0)))</f>
        <v>808.6227171918863</v>
      </c>
      <c r="O29" s="62">
        <f>IF(ISERROR(METHANE!$J43*DEFAULTS!$B$84*(IF('USER INPUTS'!$B$30="Total landfill gas",(1/($D$5/100)),IF('USER INPUTS'!$B$30="Methane",1,IF('USER INPUTS'!$B$30="Carbon dioxide",((1/($D$5/100))-1),(VLOOKUP('USER INPUTS'!$B$30,DEFAULTS!$E$8:$F$69,2,FALSE))/10^6*(1/($D$5/100))))))),0,METHANE!$J43*DEFAULTS!$B$84*(IF('USER INPUTS'!$B$30="Total landfill gas",(1/($D$5/100)),IF('USER INPUTS'!$B$30="Methane",1,IF('USER INPUTS'!$B$30="Carbon dioxide",((1/($D$5/100))-1),(VLOOKUP('USER INPUTS'!$B$30,DEFAULTS!$E$8:$F$69,2,FALSE))/10^6*(1/($D$5/100)))))))</f>
        <v>0</v>
      </c>
      <c r="P29" s="62">
        <f>IF(ISERROR(METHANE!$J43*(IF('USER INPUTS'!$B$30="Total landfill gas",(1/($D$5/100)),IF('USER INPUTS'!$B$30="Methane",1,IF('USER INPUTS'!$B$30="Carbon dioxide",((1/($D$5/100))-1),(VLOOKUP('USER INPUTS'!$B$30,DEFAULTS!$E$8:$F$69,2,FALSE))/10^6*(1/($D$5/100))))))),0,METHANE!$J43*(IF('USER INPUTS'!$B$30="Total landfill gas",(1/($D$5/100)),IF('USER INPUTS'!$B$30="Methane",1,IF('USER INPUTS'!$B$30="Carbon dioxide",((1/($D$5/100))-1),(VLOOKUP('USER INPUTS'!$B$30,DEFAULTS!$E$8:$F$69,2,FALSE))/10^6*(1/($D$5/100)))))))</f>
        <v>0</v>
      </c>
      <c r="Q29" s="162">
        <f>IF(Q$8="(short tons/year)",(O29*DEFAULTS!$B$55*DEFAULTS!$B$53/DEFAULTS!$B$54),IF(Q$8="(ft^3/year)",(P29*DEFAULTS!$B$57),IF(Q$8="(av ft^3/min)",(P29*DEFAULTS!$B$57/DEFAULTS!$B$58),0)))</f>
        <v>0</v>
      </c>
    </row>
    <row r="30" spans="1:17">
      <c r="A30" s="68">
        <f>METHANE!I44</f>
        <v>2039</v>
      </c>
      <c r="B30" s="66">
        <f>IF(METHANE!E44&gt;0,METHANE!E44,0)</f>
        <v>503389</v>
      </c>
      <c r="C30" s="66">
        <f>IF(METHANE!E44&gt;0,METHANE!E44*DEFAULTS!$B$55*DEFAULTS!$B$53/DEFAULTS!$B$54,0)</f>
        <v>553727.9</v>
      </c>
      <c r="D30" s="66">
        <f>IF(METHANE!F44&gt;0,METHANE!F44,0)</f>
        <v>6682035</v>
      </c>
      <c r="E30" s="66">
        <f>IF(METHANE!F44&gt;0,METHANE!F44*DEFAULTS!$B$55*DEFAULTS!$B$53/DEFAULTS!$B$54,0)</f>
        <v>7350238.5</v>
      </c>
      <c r="F30" s="62">
        <f>IF(ISERROR(METHANE!$J44*DEFAULTS!$B$81*(IF('USER INPUTS'!$B$24="Total landfill gas",(1/($D$5/100)),IF('USER INPUTS'!$B$24="Methane",1,IF('USER INPUTS'!$B$24="Carbon dioxide",((1/($D$5/100))-1),(VLOOKUP('USER INPUTS'!$B$24,DEFAULTS!$E$8:$F$69,2,FALSE))/10^6*(1/($D$5/100))))))),0,METHANE!$J44*DEFAULTS!$B$81*(IF('USER INPUTS'!$B$24="Total landfill gas",(1/($D$5/100)),IF('USER INPUTS'!$B$24="Methane",1,IF('USER INPUTS'!$B$24="Carbon dioxide",((1/($D$5/100))-1),(VLOOKUP('USER INPUTS'!$B$24,DEFAULTS!$E$8:$F$69,2,FALSE))/10^6*(1/($D$5/100)))))))</f>
        <v>0</v>
      </c>
      <c r="G30" s="62">
        <f>IF(ISERROR(METHANE!$J44*(IF('USER INPUTS'!$B$24="Total landfill gas",(1/($D$5/100)),IF('USER INPUTS'!$B$24="Methane",1,IF('USER INPUTS'!$B$24="Carbon dioxide",((1/($D$5/100))-1),(VLOOKUP('USER INPUTS'!$B$24,DEFAULTS!$E$8:$F$69,2,FALSE))/10^6*(1/($D$5/100))))))),0,METHANE!$J44*(IF('USER INPUTS'!$B$24="Total landfill gas",(1/($D$5/100)),IF('USER INPUTS'!$B$24="Methane",1,IF('USER INPUTS'!$B$24="Carbon dioxide",((1/($D$5/100))-1),(VLOOKUP('USER INPUTS'!$B$24,DEFAULTS!$E$8:$F$69,2,FALSE))/10^6*(1/($D$5/100)))))))</f>
        <v>0</v>
      </c>
      <c r="H30" s="62">
        <f>IF(H$8="(short tons/year)",(F30*DEFAULTS!$B$55*DEFAULTS!$B$53/DEFAULTS!$B$54),IF(H$8="(ft^3/year)",(G30*DEFAULTS!$B$57),IF(H$8="(av ft^3/min)",(G30*DEFAULTS!$B$57/DEFAULTS!$B$58),0)))</f>
        <v>0</v>
      </c>
      <c r="I30" s="62">
        <f>IF(ISERROR(METHANE!$J44*DEFAULTS!$B$82*(IF('USER INPUTS'!$B$26="Total landfill gas",(1/($D$5/100)),IF('USER INPUTS'!$B$26="Methane",1,IF('USER INPUTS'!$B$26="Carbon dioxide",((1/($D$5/100))-1),(VLOOKUP('USER INPUTS'!$B$26,DEFAULTS!$E$8:$F$69,2,FALSE))/10^6*(1/($D$5/100))))))),0,METHANE!$J44*DEFAULTS!$B$82*(IF('USER INPUTS'!$B$26="Total landfill gas",(1/($D$5/100)),IF('USER INPUTS'!$B$26="Methane",1,IF('USER INPUTS'!$B$26="Carbon dioxide",((1/($D$5/100))-1),(VLOOKUP('USER INPUTS'!$B$26,DEFAULTS!$E$8:$F$69,2,FALSE))/10^6*(1/($D$5/100)))))))</f>
        <v>0</v>
      </c>
      <c r="J30" s="62">
        <f>IF(ISERROR(METHANE!$J44*(IF('USER INPUTS'!$B$26="Total landfill gas",(1/($D$5/100)),IF('USER INPUTS'!$B$26="Methane",1,IF('USER INPUTS'!$B$26="Carbon dioxide",((1/($D$5/100))-1),(VLOOKUP('USER INPUTS'!$B$26,DEFAULTS!$E$8:$F$69,2,FALSE))/10^6*(1/($D$5/100))))))),0,METHANE!$J44*(IF('USER INPUTS'!$B$26="Total landfill gas",(1/($D$5/100)),IF('USER INPUTS'!$B$26="Methane",1,IF('USER INPUTS'!$B$26="Carbon dioxide",((1/($D$5/100))-1),(VLOOKUP('USER INPUTS'!$B$26,DEFAULTS!$E$8:$F$69,2,FALSE))/10^6*(1/($D$5/100)))))))</f>
        <v>0</v>
      </c>
      <c r="K30" s="62">
        <f>IF(K$8="(short tons/year)",(I30*DEFAULTS!$B$55*DEFAULTS!$B$53/DEFAULTS!$B$54),IF(K$8="(ft^3/year)",(J30*DEFAULTS!$B$57),IF(K$8="(av ft^3/min)",(J30*DEFAULTS!$B$57/DEFAULTS!$B$58),0)))</f>
        <v>0</v>
      </c>
      <c r="L30" s="62">
        <f>IF(ISERROR(METHANE!$J44*DEFAULTS!$B$83*(IF('USER INPUTS'!$B$28="Total landfill gas",(1/($D$5/100)),IF('USER INPUTS'!$B$28="Methane",1,IF('USER INPUTS'!$B$28="Carbon dioxide",((1/($D$5/100))-1),(VLOOKUP('USER INPUTS'!$B$28,DEFAULTS!$E$8:$F$69,2,FALSE))/10^6*(1/($D$5/100))))))),0,METHANE!$J44*DEFAULTS!$B$83*(IF('USER INPUTS'!$B$28="Total landfill gas",(1/($D$5/100)),IF('USER INPUTS'!$B$28="Methane",1,IF('USER INPUTS'!$B$28="Carbon dioxide",((1/($D$5/100))-1),(VLOOKUP('USER INPUTS'!$B$28,DEFAULTS!$E$8:$F$69,2,FALSE))/10^6*(1/($D$5/100)))))))</f>
        <v>23469.626028469669</v>
      </c>
      <c r="M30" s="62">
        <f>IF(ISERROR(METHANE!$J44*(IF('USER INPUTS'!$B$28="Total landfill gas",(1/($D$5/100)),IF('USER INPUTS'!$B$28="Methane",1,IF('USER INPUTS'!$B$28="Carbon dioxide",((1/($D$5/100))-1),(VLOOKUP('USER INPUTS'!$B$28,DEFAULTS!$E$8:$F$69,2,FALSE))/10^6*(1/($D$5/100))))))),0,METHANE!$J44*(IF('USER INPUTS'!$B$28="Total landfill gas",(1/($D$5/100)),IF('USER INPUTS'!$B$28="Methane",1,IF('USER INPUTS'!$B$28="Carbon dioxide",((1/($D$5/100))-1),(VLOOKUP('USER INPUTS'!$B$28,DEFAULTS!$E$8:$F$69,2,FALSE))/10^6*(1/($D$5/100)))))))</f>
        <v>12821437.602477174</v>
      </c>
      <c r="N30" s="62">
        <f>IF(N$8="(short tons/year)",(L30*DEFAULTS!$B$55*DEFAULTS!$B$53/DEFAULTS!$B$54),IF(N$8="(ft^3/year)",(M30*DEFAULTS!$B$57),IF(N$8="(av ft^3/min)",(M30*DEFAULTS!$B$57/DEFAULTS!$B$58),0)))</f>
        <v>861.47083130038311</v>
      </c>
      <c r="O30" s="62">
        <f>IF(ISERROR(METHANE!$J44*DEFAULTS!$B$84*(IF('USER INPUTS'!$B$30="Total landfill gas",(1/($D$5/100)),IF('USER INPUTS'!$B$30="Methane",1,IF('USER INPUTS'!$B$30="Carbon dioxide",((1/($D$5/100))-1),(VLOOKUP('USER INPUTS'!$B$30,DEFAULTS!$E$8:$F$69,2,FALSE))/10^6*(1/($D$5/100))))))),0,METHANE!$J44*DEFAULTS!$B$84*(IF('USER INPUTS'!$B$30="Total landfill gas",(1/($D$5/100)),IF('USER INPUTS'!$B$30="Methane",1,IF('USER INPUTS'!$B$30="Carbon dioxide",((1/($D$5/100))-1),(VLOOKUP('USER INPUTS'!$B$30,DEFAULTS!$E$8:$F$69,2,FALSE))/10^6*(1/($D$5/100)))))))</f>
        <v>0</v>
      </c>
      <c r="P30" s="62">
        <f>IF(ISERROR(METHANE!$J44*(IF('USER INPUTS'!$B$30="Total landfill gas",(1/($D$5/100)),IF('USER INPUTS'!$B$30="Methane",1,IF('USER INPUTS'!$B$30="Carbon dioxide",((1/($D$5/100))-1),(VLOOKUP('USER INPUTS'!$B$30,DEFAULTS!$E$8:$F$69,2,FALSE))/10^6*(1/($D$5/100))))))),0,METHANE!$J44*(IF('USER INPUTS'!$B$30="Total landfill gas",(1/($D$5/100)),IF('USER INPUTS'!$B$30="Methane",1,IF('USER INPUTS'!$B$30="Carbon dioxide",((1/($D$5/100))-1),(VLOOKUP('USER INPUTS'!$B$30,DEFAULTS!$E$8:$F$69,2,FALSE))/10^6*(1/($D$5/100)))))))</f>
        <v>0</v>
      </c>
      <c r="Q30" s="162">
        <f>IF(Q$8="(short tons/year)",(O30*DEFAULTS!$B$55*DEFAULTS!$B$53/DEFAULTS!$B$54),IF(Q$8="(ft^3/year)",(P30*DEFAULTS!$B$57),IF(Q$8="(av ft^3/min)",(P30*DEFAULTS!$B$57/DEFAULTS!$B$58),0)))</f>
        <v>0</v>
      </c>
    </row>
    <row r="31" spans="1:17">
      <c r="A31" s="68">
        <f>METHANE!I45</f>
        <v>2040</v>
      </c>
      <c r="B31" s="66">
        <f>IF(METHANE!E45&gt;0,METHANE!E45,0)</f>
        <v>527417</v>
      </c>
      <c r="C31" s="66">
        <f>IF(METHANE!E45&gt;0,METHANE!E45*DEFAULTS!$B$55*DEFAULTS!$B$53/DEFAULTS!$B$54,0)</f>
        <v>580158.69999999995</v>
      </c>
      <c r="D31" s="66">
        <f>IF(METHANE!F45&gt;0,METHANE!F45,0)</f>
        <v>7185424</v>
      </c>
      <c r="E31" s="66">
        <f>IF(METHANE!F45&gt;0,METHANE!F45*DEFAULTS!$B$55*DEFAULTS!$B$53/DEFAULTS!$B$54,0)</f>
        <v>7903966.4000000004</v>
      </c>
      <c r="F31" s="62">
        <f>IF(ISERROR(METHANE!$J45*DEFAULTS!$B$81*(IF('USER INPUTS'!$B$24="Total landfill gas",(1/($D$5/100)),IF('USER INPUTS'!$B$24="Methane",1,IF('USER INPUTS'!$B$24="Carbon dioxide",((1/($D$5/100))-1),(VLOOKUP('USER INPUTS'!$B$24,DEFAULTS!$E$8:$F$69,2,FALSE))/10^6*(1/($D$5/100))))))),0,METHANE!$J45*DEFAULTS!$B$81*(IF('USER INPUTS'!$B$24="Total landfill gas",(1/($D$5/100)),IF('USER INPUTS'!$B$24="Methane",1,IF('USER INPUTS'!$B$24="Carbon dioxide",((1/($D$5/100))-1),(VLOOKUP('USER INPUTS'!$B$24,DEFAULTS!$E$8:$F$69,2,FALSE))/10^6*(1/($D$5/100)))))))</f>
        <v>0</v>
      </c>
      <c r="G31" s="62">
        <f>IF(ISERROR(METHANE!$J45*(IF('USER INPUTS'!$B$24="Total landfill gas",(1/($D$5/100)),IF('USER INPUTS'!$B$24="Methane",1,IF('USER INPUTS'!$B$24="Carbon dioxide",((1/($D$5/100))-1),(VLOOKUP('USER INPUTS'!$B$24,DEFAULTS!$E$8:$F$69,2,FALSE))/10^6*(1/($D$5/100))))))),0,METHANE!$J45*(IF('USER INPUTS'!$B$24="Total landfill gas",(1/($D$5/100)),IF('USER INPUTS'!$B$24="Methane",1,IF('USER INPUTS'!$B$24="Carbon dioxide",((1/($D$5/100))-1),(VLOOKUP('USER INPUTS'!$B$24,DEFAULTS!$E$8:$F$69,2,FALSE))/10^6*(1/($D$5/100)))))))</f>
        <v>0</v>
      </c>
      <c r="H31" s="62">
        <f>IF(H$8="(short tons/year)",(F31*DEFAULTS!$B$55*DEFAULTS!$B$53/DEFAULTS!$B$54),IF(H$8="(ft^3/year)",(G31*DEFAULTS!$B$57),IF(H$8="(av ft^3/min)",(G31*DEFAULTS!$B$57/DEFAULTS!$B$58),0)))</f>
        <v>0</v>
      </c>
      <c r="I31" s="62">
        <f>IF(ISERROR(METHANE!$J45*DEFAULTS!$B$82*(IF('USER INPUTS'!$B$26="Total landfill gas",(1/($D$5/100)),IF('USER INPUTS'!$B$26="Methane",1,IF('USER INPUTS'!$B$26="Carbon dioxide",((1/($D$5/100))-1),(VLOOKUP('USER INPUTS'!$B$26,DEFAULTS!$E$8:$F$69,2,FALSE))/10^6*(1/($D$5/100))))))),0,METHANE!$J45*DEFAULTS!$B$82*(IF('USER INPUTS'!$B$26="Total landfill gas",(1/($D$5/100)),IF('USER INPUTS'!$B$26="Methane",1,IF('USER INPUTS'!$B$26="Carbon dioxide",((1/($D$5/100))-1),(VLOOKUP('USER INPUTS'!$B$26,DEFAULTS!$E$8:$F$69,2,FALSE))/10^6*(1/($D$5/100)))))))</f>
        <v>0</v>
      </c>
      <c r="J31" s="62">
        <f>IF(ISERROR(METHANE!$J45*(IF('USER INPUTS'!$B$26="Total landfill gas",(1/($D$5/100)),IF('USER INPUTS'!$B$26="Methane",1,IF('USER INPUTS'!$B$26="Carbon dioxide",((1/($D$5/100))-1),(VLOOKUP('USER INPUTS'!$B$26,DEFAULTS!$E$8:$F$69,2,FALSE))/10^6*(1/($D$5/100))))))),0,METHANE!$J45*(IF('USER INPUTS'!$B$26="Total landfill gas",(1/($D$5/100)),IF('USER INPUTS'!$B$26="Methane",1,IF('USER INPUTS'!$B$26="Carbon dioxide",((1/($D$5/100))-1),(VLOOKUP('USER INPUTS'!$B$26,DEFAULTS!$E$8:$F$69,2,FALSE))/10^6*(1/($D$5/100)))))))</f>
        <v>0</v>
      </c>
      <c r="K31" s="62">
        <f>IF(K$8="(short tons/year)",(I31*DEFAULTS!$B$55*DEFAULTS!$B$53/DEFAULTS!$B$54),IF(K$8="(ft^3/year)",(J31*DEFAULTS!$B$57),IF(K$8="(av ft^3/min)",(J31*DEFAULTS!$B$57/DEFAULTS!$B$58),0)))</f>
        <v>0</v>
      </c>
      <c r="L31" s="62">
        <f>IF(ISERROR(METHANE!$J45*DEFAULTS!$B$83*(IF('USER INPUTS'!$B$28="Total landfill gas",(1/($D$5/100)),IF('USER INPUTS'!$B$28="Methane",1,IF('USER INPUTS'!$B$28="Carbon dioxide",((1/($D$5/100))-1),(VLOOKUP('USER INPUTS'!$B$28,DEFAULTS!$E$8:$F$69,2,FALSE))/10^6*(1/($D$5/100))))))),0,METHANE!$J45*DEFAULTS!$B$83*(IF('USER INPUTS'!$B$28="Total landfill gas",(1/($D$5/100)),IF('USER INPUTS'!$B$28="Methane",1,IF('USER INPUTS'!$B$28="Carbon dioxide",((1/($D$5/100))-1),(VLOOKUP('USER INPUTS'!$B$28,DEFAULTS!$E$8:$F$69,2,FALSE))/10^6*(1/($D$5/100)))))))</f>
        <v>24962.901945116686</v>
      </c>
      <c r="M31" s="62">
        <f>IF(ISERROR(METHANE!$J45*(IF('USER INPUTS'!$B$28="Total landfill gas",(1/($D$5/100)),IF('USER INPUTS'!$B$28="Methane",1,IF('USER INPUTS'!$B$28="Carbon dioxide",((1/($D$5/100))-1),(VLOOKUP('USER INPUTS'!$B$28,DEFAULTS!$E$8:$F$69,2,FALSE))/10^6*(1/($D$5/100))))))),0,METHANE!$J45*(IF('USER INPUTS'!$B$28="Total landfill gas",(1/($D$5/100)),IF('USER INPUTS'!$B$28="Methane",1,IF('USER INPUTS'!$B$28="Carbon dioxide",((1/($D$5/100))-1),(VLOOKUP('USER INPUTS'!$B$28,DEFAULTS!$E$8:$F$69,2,FALSE))/10^6*(1/($D$5/100)))))))</f>
        <v>13637213.020685662</v>
      </c>
      <c r="N31" s="62">
        <f>IF(N$8="(short tons/year)",(L31*DEFAULTS!$B$55*DEFAULTS!$B$53/DEFAULTS!$B$54),IF(N$8="(ft^3/year)",(M31*DEFAULTS!$B$57),IF(N$8="(av ft^3/min)",(M31*DEFAULTS!$B$57/DEFAULTS!$B$58),0)))</f>
        <v>916.2826823164271</v>
      </c>
      <c r="O31" s="62">
        <f>IF(ISERROR(METHANE!$J45*DEFAULTS!$B$84*(IF('USER INPUTS'!$B$30="Total landfill gas",(1/($D$5/100)),IF('USER INPUTS'!$B$30="Methane",1,IF('USER INPUTS'!$B$30="Carbon dioxide",((1/($D$5/100))-1),(VLOOKUP('USER INPUTS'!$B$30,DEFAULTS!$E$8:$F$69,2,FALSE))/10^6*(1/($D$5/100))))))),0,METHANE!$J45*DEFAULTS!$B$84*(IF('USER INPUTS'!$B$30="Total landfill gas",(1/($D$5/100)),IF('USER INPUTS'!$B$30="Methane",1,IF('USER INPUTS'!$B$30="Carbon dioxide",((1/($D$5/100))-1),(VLOOKUP('USER INPUTS'!$B$30,DEFAULTS!$E$8:$F$69,2,FALSE))/10^6*(1/($D$5/100)))))))</f>
        <v>0</v>
      </c>
      <c r="P31" s="62">
        <f>IF(ISERROR(METHANE!$J45*(IF('USER INPUTS'!$B$30="Total landfill gas",(1/($D$5/100)),IF('USER INPUTS'!$B$30="Methane",1,IF('USER INPUTS'!$B$30="Carbon dioxide",((1/($D$5/100))-1),(VLOOKUP('USER INPUTS'!$B$30,DEFAULTS!$E$8:$F$69,2,FALSE))/10^6*(1/($D$5/100))))))),0,METHANE!$J45*(IF('USER INPUTS'!$B$30="Total landfill gas",(1/($D$5/100)),IF('USER INPUTS'!$B$30="Methane",1,IF('USER INPUTS'!$B$30="Carbon dioxide",((1/($D$5/100))-1),(VLOOKUP('USER INPUTS'!$B$30,DEFAULTS!$E$8:$F$69,2,FALSE))/10^6*(1/($D$5/100)))))))</f>
        <v>0</v>
      </c>
      <c r="Q31" s="162">
        <f>IF(Q$8="(short tons/year)",(O31*DEFAULTS!$B$55*DEFAULTS!$B$53/DEFAULTS!$B$54),IF(Q$8="(ft^3/year)",(P31*DEFAULTS!$B$57),IF(Q$8="(av ft^3/min)",(P31*DEFAULTS!$B$57/DEFAULTS!$B$58),0)))</f>
        <v>0</v>
      </c>
    </row>
    <row r="32" spans="1:17">
      <c r="A32" s="68">
        <f>METHANE!I46</f>
        <v>2041</v>
      </c>
      <c r="B32" s="66">
        <f>IF(METHANE!E46&gt;0,METHANE!E46,0)</f>
        <v>552592</v>
      </c>
      <c r="C32" s="66">
        <f>IF(METHANE!E46&gt;0,METHANE!E46*DEFAULTS!$B$55*DEFAULTS!$B$53/DEFAULTS!$B$54,0)</f>
        <v>607851.19999999995</v>
      </c>
      <c r="D32" s="66">
        <f>IF(METHANE!F46&gt;0,METHANE!F46,0)</f>
        <v>7712841</v>
      </c>
      <c r="E32" s="66">
        <f>IF(METHANE!F46&gt;0,METHANE!F46*DEFAULTS!$B$55*DEFAULTS!$B$53/DEFAULTS!$B$54,0)</f>
        <v>8484125.1000000015</v>
      </c>
      <c r="F32" s="62">
        <f>IF(ISERROR(METHANE!$J46*DEFAULTS!$B$81*(IF('USER INPUTS'!$B$24="Total landfill gas",(1/($D$5/100)),IF('USER INPUTS'!$B$24="Methane",1,IF('USER INPUTS'!$B$24="Carbon dioxide",((1/($D$5/100))-1),(VLOOKUP('USER INPUTS'!$B$24,DEFAULTS!$E$8:$F$69,2,FALSE))/10^6*(1/($D$5/100))))))),0,METHANE!$J46*DEFAULTS!$B$81*(IF('USER INPUTS'!$B$24="Total landfill gas",(1/($D$5/100)),IF('USER INPUTS'!$B$24="Methane",1,IF('USER INPUTS'!$B$24="Carbon dioxide",((1/($D$5/100))-1),(VLOOKUP('USER INPUTS'!$B$24,DEFAULTS!$E$8:$F$69,2,FALSE))/10^6*(1/($D$5/100)))))))</f>
        <v>0</v>
      </c>
      <c r="G32" s="62">
        <f>IF(ISERROR(METHANE!$J46*(IF('USER INPUTS'!$B$24="Total landfill gas",(1/($D$5/100)),IF('USER INPUTS'!$B$24="Methane",1,IF('USER INPUTS'!$B$24="Carbon dioxide",((1/($D$5/100))-1),(VLOOKUP('USER INPUTS'!$B$24,DEFAULTS!$E$8:$F$69,2,FALSE))/10^6*(1/($D$5/100))))))),0,METHANE!$J46*(IF('USER INPUTS'!$B$24="Total landfill gas",(1/($D$5/100)),IF('USER INPUTS'!$B$24="Methane",1,IF('USER INPUTS'!$B$24="Carbon dioxide",((1/($D$5/100))-1),(VLOOKUP('USER INPUTS'!$B$24,DEFAULTS!$E$8:$F$69,2,FALSE))/10^6*(1/($D$5/100)))))))</f>
        <v>0</v>
      </c>
      <c r="H32" s="62">
        <f>IF(H$8="(short tons/year)",(F32*DEFAULTS!$B$55*DEFAULTS!$B$53/DEFAULTS!$B$54),IF(H$8="(ft^3/year)",(G32*DEFAULTS!$B$57),IF(H$8="(av ft^3/min)",(G32*DEFAULTS!$B$57/DEFAULTS!$B$58),0)))</f>
        <v>0</v>
      </c>
      <c r="I32" s="62">
        <f>IF(ISERROR(METHANE!$J46*DEFAULTS!$B$82*(IF('USER INPUTS'!$B$26="Total landfill gas",(1/($D$5/100)),IF('USER INPUTS'!$B$26="Methane",1,IF('USER INPUTS'!$B$26="Carbon dioxide",((1/($D$5/100))-1),(VLOOKUP('USER INPUTS'!$B$26,DEFAULTS!$E$8:$F$69,2,FALSE))/10^6*(1/($D$5/100))))))),0,METHANE!$J46*DEFAULTS!$B$82*(IF('USER INPUTS'!$B$26="Total landfill gas",(1/($D$5/100)),IF('USER INPUTS'!$B$26="Methane",1,IF('USER INPUTS'!$B$26="Carbon dioxide",((1/($D$5/100))-1),(VLOOKUP('USER INPUTS'!$B$26,DEFAULTS!$E$8:$F$69,2,FALSE))/10^6*(1/($D$5/100)))))))</f>
        <v>0</v>
      </c>
      <c r="J32" s="62">
        <f>IF(ISERROR(METHANE!$J46*(IF('USER INPUTS'!$B$26="Total landfill gas",(1/($D$5/100)),IF('USER INPUTS'!$B$26="Methane",1,IF('USER INPUTS'!$B$26="Carbon dioxide",((1/($D$5/100))-1),(VLOOKUP('USER INPUTS'!$B$26,DEFAULTS!$E$8:$F$69,2,FALSE))/10^6*(1/($D$5/100))))))),0,METHANE!$J46*(IF('USER INPUTS'!$B$26="Total landfill gas",(1/($D$5/100)),IF('USER INPUTS'!$B$26="Methane",1,IF('USER INPUTS'!$B$26="Carbon dioxide",((1/($D$5/100))-1),(VLOOKUP('USER INPUTS'!$B$26,DEFAULTS!$E$8:$F$69,2,FALSE))/10^6*(1/($D$5/100)))))))</f>
        <v>0</v>
      </c>
      <c r="K32" s="62">
        <f>IF(K$8="(short tons/year)",(I32*DEFAULTS!$B$55*DEFAULTS!$B$53/DEFAULTS!$B$54),IF(K$8="(ft^3/year)",(J32*DEFAULTS!$B$57),IF(K$8="(av ft^3/min)",(J32*DEFAULTS!$B$57/DEFAULTS!$B$58),0)))</f>
        <v>0</v>
      </c>
      <c r="L32" s="62">
        <f>IF(ISERROR(METHANE!$J46*DEFAULTS!$B$83*(IF('USER INPUTS'!$B$28="Total landfill gas",(1/($D$5/100)),IF('USER INPUTS'!$B$28="Methane",1,IF('USER INPUTS'!$B$28="Carbon dioxide",((1/($D$5/100))-1),(VLOOKUP('USER INPUTS'!$B$28,DEFAULTS!$E$8:$F$69,2,FALSE))/10^6*(1/($D$5/100))))))),0,METHANE!$J46*DEFAULTS!$B$83*(IF('USER INPUTS'!$B$28="Total landfill gas",(1/($D$5/100)),IF('USER INPUTS'!$B$28="Methane",1,IF('USER INPUTS'!$B$28="Carbon dioxide",((1/($D$5/100))-1),(VLOOKUP('USER INPUTS'!$B$28,DEFAULTS!$E$8:$F$69,2,FALSE))/10^6*(1/($D$5/100)))))))</f>
        <v>26512.829570996171</v>
      </c>
      <c r="M32" s="62">
        <f>IF(ISERROR(METHANE!$J46*(IF('USER INPUTS'!$B$28="Total landfill gas",(1/($D$5/100)),IF('USER INPUTS'!$B$28="Methane",1,IF('USER INPUTS'!$B$28="Carbon dioxide",((1/($D$5/100))-1),(VLOOKUP('USER INPUTS'!$B$28,DEFAULTS!$E$8:$F$69,2,FALSE))/10^6*(1/($D$5/100))))))),0,METHANE!$J46*(IF('USER INPUTS'!$B$28="Total landfill gas",(1/($D$5/100)),IF('USER INPUTS'!$B$28="Methane",1,IF('USER INPUTS'!$B$28="Carbon dioxide",((1/($D$5/100))-1),(VLOOKUP('USER INPUTS'!$B$28,DEFAULTS!$E$8:$F$69,2,FALSE))/10^6*(1/($D$5/100)))))))</f>
        <v>14483937.221551217</v>
      </c>
      <c r="N32" s="62">
        <f>IF(N$8="(short tons/year)",(L32*DEFAULTS!$B$55*DEFAULTS!$B$53/DEFAULTS!$B$54),IF(N$8="(ft^3/year)",(M32*DEFAULTS!$B$57),IF(N$8="(av ft^3/min)",(M32*DEFAULTS!$B$57/DEFAULTS!$B$58),0)))</f>
        <v>973.17397827070249</v>
      </c>
      <c r="O32" s="62">
        <f>IF(ISERROR(METHANE!$J46*DEFAULTS!$B$84*(IF('USER INPUTS'!$B$30="Total landfill gas",(1/($D$5/100)),IF('USER INPUTS'!$B$30="Methane",1,IF('USER INPUTS'!$B$30="Carbon dioxide",((1/($D$5/100))-1),(VLOOKUP('USER INPUTS'!$B$30,DEFAULTS!$E$8:$F$69,2,FALSE))/10^6*(1/($D$5/100))))))),0,METHANE!$J46*DEFAULTS!$B$84*(IF('USER INPUTS'!$B$30="Total landfill gas",(1/($D$5/100)),IF('USER INPUTS'!$B$30="Methane",1,IF('USER INPUTS'!$B$30="Carbon dioxide",((1/($D$5/100))-1),(VLOOKUP('USER INPUTS'!$B$30,DEFAULTS!$E$8:$F$69,2,FALSE))/10^6*(1/($D$5/100)))))))</f>
        <v>0</v>
      </c>
      <c r="P32" s="62">
        <f>IF(ISERROR(METHANE!$J46*(IF('USER INPUTS'!$B$30="Total landfill gas",(1/($D$5/100)),IF('USER INPUTS'!$B$30="Methane",1,IF('USER INPUTS'!$B$30="Carbon dioxide",((1/($D$5/100))-1),(VLOOKUP('USER INPUTS'!$B$30,DEFAULTS!$E$8:$F$69,2,FALSE))/10^6*(1/($D$5/100))))))),0,METHANE!$J46*(IF('USER INPUTS'!$B$30="Total landfill gas",(1/($D$5/100)),IF('USER INPUTS'!$B$30="Methane",1,IF('USER INPUTS'!$B$30="Carbon dioxide",((1/($D$5/100))-1),(VLOOKUP('USER INPUTS'!$B$30,DEFAULTS!$E$8:$F$69,2,FALSE))/10^6*(1/($D$5/100)))))))</f>
        <v>0</v>
      </c>
      <c r="Q32" s="162">
        <f>IF(Q$8="(short tons/year)",(O32*DEFAULTS!$B$55*DEFAULTS!$B$53/DEFAULTS!$B$54),IF(Q$8="(ft^3/year)",(P32*DEFAULTS!$B$57),IF(Q$8="(av ft^3/min)",(P32*DEFAULTS!$B$57/DEFAULTS!$B$58),0)))</f>
        <v>0</v>
      </c>
    </row>
    <row r="33" spans="1:17">
      <c r="A33" s="68">
        <f>METHANE!I47</f>
        <v>2042</v>
      </c>
      <c r="B33" s="66">
        <f>IF(METHANE!E47&gt;0,METHANE!E47,0)</f>
        <v>578968</v>
      </c>
      <c r="C33" s="66">
        <f>IF(METHANE!E47&gt;0,METHANE!E47*DEFAULTS!$B$55*DEFAULTS!$B$53/DEFAULTS!$B$54,0)</f>
        <v>636864.80000000005</v>
      </c>
      <c r="D33" s="66">
        <f>IF(METHANE!F47&gt;0,METHANE!F47,0)</f>
        <v>8265433</v>
      </c>
      <c r="E33" s="66">
        <f>IF(METHANE!F47&gt;0,METHANE!F47*DEFAULTS!$B$55*DEFAULTS!$B$53/DEFAULTS!$B$54,0)</f>
        <v>9091976.3000000007</v>
      </c>
      <c r="F33" s="62">
        <f>IF(ISERROR(METHANE!$J47*DEFAULTS!$B$81*(IF('USER INPUTS'!$B$24="Total landfill gas",(1/($D$5/100)),IF('USER INPUTS'!$B$24="Methane",1,IF('USER INPUTS'!$B$24="Carbon dioxide",((1/($D$5/100))-1),(VLOOKUP('USER INPUTS'!$B$24,DEFAULTS!$E$8:$F$69,2,FALSE))/10^6*(1/($D$5/100))))))),0,METHANE!$J47*DEFAULTS!$B$81*(IF('USER INPUTS'!$B$24="Total landfill gas",(1/($D$5/100)),IF('USER INPUTS'!$B$24="Methane",1,IF('USER INPUTS'!$B$24="Carbon dioxide",((1/($D$5/100))-1),(VLOOKUP('USER INPUTS'!$B$24,DEFAULTS!$E$8:$F$69,2,FALSE))/10^6*(1/($D$5/100)))))))</f>
        <v>0</v>
      </c>
      <c r="G33" s="62">
        <f>IF(ISERROR(METHANE!$J47*(IF('USER INPUTS'!$B$24="Total landfill gas",(1/($D$5/100)),IF('USER INPUTS'!$B$24="Methane",1,IF('USER INPUTS'!$B$24="Carbon dioxide",((1/($D$5/100))-1),(VLOOKUP('USER INPUTS'!$B$24,DEFAULTS!$E$8:$F$69,2,FALSE))/10^6*(1/($D$5/100))))))),0,METHANE!$J47*(IF('USER INPUTS'!$B$24="Total landfill gas",(1/($D$5/100)),IF('USER INPUTS'!$B$24="Methane",1,IF('USER INPUTS'!$B$24="Carbon dioxide",((1/($D$5/100))-1),(VLOOKUP('USER INPUTS'!$B$24,DEFAULTS!$E$8:$F$69,2,FALSE))/10^6*(1/($D$5/100)))))))</f>
        <v>0</v>
      </c>
      <c r="H33" s="62">
        <f>IF(H$8="(short tons/year)",(F33*DEFAULTS!$B$55*DEFAULTS!$B$53/DEFAULTS!$B$54),IF(H$8="(ft^3/year)",(G33*DEFAULTS!$B$57),IF(H$8="(av ft^3/min)",(G33*DEFAULTS!$B$57/DEFAULTS!$B$58),0)))</f>
        <v>0</v>
      </c>
      <c r="I33" s="62">
        <f>IF(ISERROR(METHANE!$J47*DEFAULTS!$B$82*(IF('USER INPUTS'!$B$26="Total landfill gas",(1/($D$5/100)),IF('USER INPUTS'!$B$26="Methane",1,IF('USER INPUTS'!$B$26="Carbon dioxide",((1/($D$5/100))-1),(VLOOKUP('USER INPUTS'!$B$26,DEFAULTS!$E$8:$F$69,2,FALSE))/10^6*(1/($D$5/100))))))),0,METHANE!$J47*DEFAULTS!$B$82*(IF('USER INPUTS'!$B$26="Total landfill gas",(1/($D$5/100)),IF('USER INPUTS'!$B$26="Methane",1,IF('USER INPUTS'!$B$26="Carbon dioxide",((1/($D$5/100))-1),(VLOOKUP('USER INPUTS'!$B$26,DEFAULTS!$E$8:$F$69,2,FALSE))/10^6*(1/($D$5/100)))))))</f>
        <v>0</v>
      </c>
      <c r="J33" s="62">
        <f>IF(ISERROR(METHANE!$J47*(IF('USER INPUTS'!$B$26="Total landfill gas",(1/($D$5/100)),IF('USER INPUTS'!$B$26="Methane",1,IF('USER INPUTS'!$B$26="Carbon dioxide",((1/($D$5/100))-1),(VLOOKUP('USER INPUTS'!$B$26,DEFAULTS!$E$8:$F$69,2,FALSE))/10^6*(1/($D$5/100))))))),0,METHANE!$J47*(IF('USER INPUTS'!$B$26="Total landfill gas",(1/($D$5/100)),IF('USER INPUTS'!$B$26="Methane",1,IF('USER INPUTS'!$B$26="Carbon dioxide",((1/($D$5/100))-1),(VLOOKUP('USER INPUTS'!$B$26,DEFAULTS!$E$8:$F$69,2,FALSE))/10^6*(1/($D$5/100)))))))</f>
        <v>0</v>
      </c>
      <c r="K33" s="62">
        <f>IF(K$8="(short tons/year)",(I33*DEFAULTS!$B$55*DEFAULTS!$B$53/DEFAULTS!$B$54),IF(K$8="(ft^3/year)",(J33*DEFAULTS!$B$57),IF(K$8="(av ft^3/min)",(J33*DEFAULTS!$B$57/DEFAULTS!$B$58),0)))</f>
        <v>0</v>
      </c>
      <c r="L33" s="62">
        <f>IF(ISERROR(METHANE!$J47*DEFAULTS!$B$83*(IF('USER INPUTS'!$B$28="Total landfill gas",(1/($D$5/100)),IF('USER INPUTS'!$B$28="Methane",1,IF('USER INPUTS'!$B$28="Carbon dioxide",((1/($D$5/100))-1),(VLOOKUP('USER INPUTS'!$B$28,DEFAULTS!$E$8:$F$69,2,FALSE))/10^6*(1/($D$5/100))))))),0,METHANE!$J47*DEFAULTS!$B$83*(IF('USER INPUTS'!$B$28="Total landfill gas",(1/($D$5/100)),IF('USER INPUTS'!$B$28="Methane",1,IF('USER INPUTS'!$B$28="Carbon dioxide",((1/($D$5/100))-1),(VLOOKUP('USER INPUTS'!$B$28,DEFAULTS!$E$8:$F$69,2,FALSE))/10^6*(1/($D$5/100)))))))</f>
        <v>28122.686931053009</v>
      </c>
      <c r="M33" s="62">
        <f>IF(ISERROR(METHANE!$J47*(IF('USER INPUTS'!$B$28="Total landfill gas",(1/($D$5/100)),IF('USER INPUTS'!$B$28="Methane",1,IF('USER INPUTS'!$B$28="Carbon dioxide",((1/($D$5/100))-1),(VLOOKUP('USER INPUTS'!$B$28,DEFAULTS!$E$8:$F$69,2,FALSE))/10^6*(1/($D$5/100))))))),0,METHANE!$J47*(IF('USER INPUTS'!$B$28="Total landfill gas",(1/($D$5/100)),IF('USER INPUTS'!$B$28="Methane",1,IF('USER INPUTS'!$B$28="Carbon dioxide",((1/($D$5/100))-1),(VLOOKUP('USER INPUTS'!$B$28,DEFAULTS!$E$8:$F$69,2,FALSE))/10^6*(1/($D$5/100)))))))</f>
        <v>15363400.987433951</v>
      </c>
      <c r="N33" s="62">
        <f>IF(N$8="(short tons/year)",(L33*DEFAULTS!$B$55*DEFAULTS!$B$53/DEFAULTS!$B$54),IF(N$8="(ft^3/year)",(M33*DEFAULTS!$B$57),IF(N$8="(av ft^3/min)",(M33*DEFAULTS!$B$57/DEFAULTS!$B$58),0)))</f>
        <v>1032.2650416119293</v>
      </c>
      <c r="O33" s="62">
        <f>IF(ISERROR(METHANE!$J47*DEFAULTS!$B$84*(IF('USER INPUTS'!$B$30="Total landfill gas",(1/($D$5/100)),IF('USER INPUTS'!$B$30="Methane",1,IF('USER INPUTS'!$B$30="Carbon dioxide",((1/($D$5/100))-1),(VLOOKUP('USER INPUTS'!$B$30,DEFAULTS!$E$8:$F$69,2,FALSE))/10^6*(1/($D$5/100))))))),0,METHANE!$J47*DEFAULTS!$B$84*(IF('USER INPUTS'!$B$30="Total landfill gas",(1/($D$5/100)),IF('USER INPUTS'!$B$30="Methane",1,IF('USER INPUTS'!$B$30="Carbon dioxide",((1/($D$5/100))-1),(VLOOKUP('USER INPUTS'!$B$30,DEFAULTS!$E$8:$F$69,2,FALSE))/10^6*(1/($D$5/100)))))))</f>
        <v>0</v>
      </c>
      <c r="P33" s="62">
        <f>IF(ISERROR(METHANE!$J47*(IF('USER INPUTS'!$B$30="Total landfill gas",(1/($D$5/100)),IF('USER INPUTS'!$B$30="Methane",1,IF('USER INPUTS'!$B$30="Carbon dioxide",((1/($D$5/100))-1),(VLOOKUP('USER INPUTS'!$B$30,DEFAULTS!$E$8:$F$69,2,FALSE))/10^6*(1/($D$5/100))))))),0,METHANE!$J47*(IF('USER INPUTS'!$B$30="Total landfill gas",(1/($D$5/100)),IF('USER INPUTS'!$B$30="Methane",1,IF('USER INPUTS'!$B$30="Carbon dioxide",((1/($D$5/100))-1),(VLOOKUP('USER INPUTS'!$B$30,DEFAULTS!$E$8:$F$69,2,FALSE))/10^6*(1/($D$5/100)))))))</f>
        <v>0</v>
      </c>
      <c r="Q33" s="162">
        <f>IF(Q$8="(short tons/year)",(O33*DEFAULTS!$B$55*DEFAULTS!$B$53/DEFAULTS!$B$54),IF(Q$8="(ft^3/year)",(P33*DEFAULTS!$B$57),IF(Q$8="(av ft^3/min)",(P33*DEFAULTS!$B$57/DEFAULTS!$B$58),0)))</f>
        <v>0</v>
      </c>
    </row>
    <row r="34" spans="1:17">
      <c r="A34" s="68">
        <f>METHANE!I48</f>
        <v>2043</v>
      </c>
      <c r="B34" s="66">
        <f>IF(METHANE!E48&gt;0,METHANE!E48,0)</f>
        <v>606603</v>
      </c>
      <c r="C34" s="66">
        <f>IF(METHANE!E48&gt;0,METHANE!E48*DEFAULTS!$B$55*DEFAULTS!$B$53/DEFAULTS!$B$54,0)</f>
        <v>667263.30000000005</v>
      </c>
      <c r="D34" s="66">
        <f>IF(METHANE!F48&gt;0,METHANE!F48,0)</f>
        <v>8844401</v>
      </c>
      <c r="E34" s="66">
        <f>IF(METHANE!F48&gt;0,METHANE!F48*DEFAULTS!$B$55*DEFAULTS!$B$53/DEFAULTS!$B$54,0)</f>
        <v>9728841.0999999996</v>
      </c>
      <c r="F34" s="62">
        <f>IF(ISERROR(METHANE!$J48*DEFAULTS!$B$81*(IF('USER INPUTS'!$B$24="Total landfill gas",(1/($D$5/100)),IF('USER INPUTS'!$B$24="Methane",1,IF('USER INPUTS'!$B$24="Carbon dioxide",((1/($D$5/100))-1),(VLOOKUP('USER INPUTS'!$B$24,DEFAULTS!$E$8:$F$69,2,FALSE))/10^6*(1/($D$5/100))))))),0,METHANE!$J48*DEFAULTS!$B$81*(IF('USER INPUTS'!$B$24="Total landfill gas",(1/($D$5/100)),IF('USER INPUTS'!$B$24="Methane",1,IF('USER INPUTS'!$B$24="Carbon dioxide",((1/($D$5/100))-1),(VLOOKUP('USER INPUTS'!$B$24,DEFAULTS!$E$8:$F$69,2,FALSE))/10^6*(1/($D$5/100)))))))</f>
        <v>0</v>
      </c>
      <c r="G34" s="62">
        <f>IF(ISERROR(METHANE!$J48*(IF('USER INPUTS'!$B$24="Total landfill gas",(1/($D$5/100)),IF('USER INPUTS'!$B$24="Methane",1,IF('USER INPUTS'!$B$24="Carbon dioxide",((1/($D$5/100))-1),(VLOOKUP('USER INPUTS'!$B$24,DEFAULTS!$E$8:$F$69,2,FALSE))/10^6*(1/($D$5/100))))))),0,METHANE!$J48*(IF('USER INPUTS'!$B$24="Total landfill gas",(1/($D$5/100)),IF('USER INPUTS'!$B$24="Methane",1,IF('USER INPUTS'!$B$24="Carbon dioxide",((1/($D$5/100))-1),(VLOOKUP('USER INPUTS'!$B$24,DEFAULTS!$E$8:$F$69,2,FALSE))/10^6*(1/($D$5/100)))))))</f>
        <v>0</v>
      </c>
      <c r="H34" s="62">
        <f>IF(H$8="(short tons/year)",(F34*DEFAULTS!$B$55*DEFAULTS!$B$53/DEFAULTS!$B$54),IF(H$8="(ft^3/year)",(G34*DEFAULTS!$B$57),IF(H$8="(av ft^3/min)",(G34*DEFAULTS!$B$57/DEFAULTS!$B$58),0)))</f>
        <v>0</v>
      </c>
      <c r="I34" s="62">
        <f>IF(ISERROR(METHANE!$J48*DEFAULTS!$B$82*(IF('USER INPUTS'!$B$26="Total landfill gas",(1/($D$5/100)),IF('USER INPUTS'!$B$26="Methane",1,IF('USER INPUTS'!$B$26="Carbon dioxide",((1/($D$5/100))-1),(VLOOKUP('USER INPUTS'!$B$26,DEFAULTS!$E$8:$F$69,2,FALSE))/10^6*(1/($D$5/100))))))),0,METHANE!$J48*DEFAULTS!$B$82*(IF('USER INPUTS'!$B$26="Total landfill gas",(1/($D$5/100)),IF('USER INPUTS'!$B$26="Methane",1,IF('USER INPUTS'!$B$26="Carbon dioxide",((1/($D$5/100))-1),(VLOOKUP('USER INPUTS'!$B$26,DEFAULTS!$E$8:$F$69,2,FALSE))/10^6*(1/($D$5/100)))))))</f>
        <v>0</v>
      </c>
      <c r="J34" s="62">
        <f>IF(ISERROR(METHANE!$J48*(IF('USER INPUTS'!$B$26="Total landfill gas",(1/($D$5/100)),IF('USER INPUTS'!$B$26="Methane",1,IF('USER INPUTS'!$B$26="Carbon dioxide",((1/($D$5/100))-1),(VLOOKUP('USER INPUTS'!$B$26,DEFAULTS!$E$8:$F$69,2,FALSE))/10^6*(1/($D$5/100))))))),0,METHANE!$J48*(IF('USER INPUTS'!$B$26="Total landfill gas",(1/($D$5/100)),IF('USER INPUTS'!$B$26="Methane",1,IF('USER INPUTS'!$B$26="Carbon dioxide",((1/($D$5/100))-1),(VLOOKUP('USER INPUTS'!$B$26,DEFAULTS!$E$8:$F$69,2,FALSE))/10^6*(1/($D$5/100)))))))</f>
        <v>0</v>
      </c>
      <c r="K34" s="62">
        <f>IF(K$8="(short tons/year)",(I34*DEFAULTS!$B$55*DEFAULTS!$B$53/DEFAULTS!$B$54),IF(K$8="(ft^3/year)",(J34*DEFAULTS!$B$57),IF(K$8="(av ft^3/min)",(J34*DEFAULTS!$B$57/DEFAULTS!$B$58),0)))</f>
        <v>0</v>
      </c>
      <c r="L34" s="62">
        <f>IF(ISERROR(METHANE!$J48*DEFAULTS!$B$83*(IF('USER INPUTS'!$B$28="Total landfill gas",(1/($D$5/100)),IF('USER INPUTS'!$B$28="Methane",1,IF('USER INPUTS'!$B$28="Carbon dioxide",((1/($D$5/100))-1),(VLOOKUP('USER INPUTS'!$B$28,DEFAULTS!$E$8:$F$69,2,FALSE))/10^6*(1/($D$5/100))))))),0,METHANE!$J48*DEFAULTS!$B$83*(IF('USER INPUTS'!$B$28="Total landfill gas",(1/($D$5/100)),IF('USER INPUTS'!$B$28="Methane",1,IF('USER INPUTS'!$B$28="Carbon dioxide",((1/($D$5/100))-1),(VLOOKUP('USER INPUTS'!$B$28,DEFAULTS!$E$8:$F$69,2,FALSE))/10^6*(1/($D$5/100)))))))</f>
        <v>29795.88242374246</v>
      </c>
      <c r="M34" s="62">
        <f>IF(ISERROR(METHANE!$J48*(IF('USER INPUTS'!$B$28="Total landfill gas",(1/($D$5/100)),IF('USER INPUTS'!$B$28="Methane",1,IF('USER INPUTS'!$B$28="Carbon dioxide",((1/($D$5/100))-1),(VLOOKUP('USER INPUTS'!$B$28,DEFAULTS!$E$8:$F$69,2,FALSE))/10^6*(1/($D$5/100))))))),0,METHANE!$J48*(IF('USER INPUTS'!$B$28="Total landfill gas",(1/($D$5/100)),IF('USER INPUTS'!$B$28="Methane",1,IF('USER INPUTS'!$B$28="Carbon dioxide",((1/($D$5/100))-1),(VLOOKUP('USER INPUTS'!$B$28,DEFAULTS!$E$8:$F$69,2,FALSE))/10^6*(1/($D$5/100)))))))</f>
        <v>16277466.32363661</v>
      </c>
      <c r="N34" s="62">
        <f>IF(N$8="(short tons/year)",(L34*DEFAULTS!$B$55*DEFAULTS!$B$53/DEFAULTS!$B$54),IF(N$8="(ft^3/year)",(M34*DEFAULTS!$B$57),IF(N$8="(av ft^3/min)",(M34*DEFAULTS!$B$57/DEFAULTS!$B$58),0)))</f>
        <v>1093.6809802496705</v>
      </c>
      <c r="O34" s="62">
        <f>IF(ISERROR(METHANE!$J48*DEFAULTS!$B$84*(IF('USER INPUTS'!$B$30="Total landfill gas",(1/($D$5/100)),IF('USER INPUTS'!$B$30="Methane",1,IF('USER INPUTS'!$B$30="Carbon dioxide",((1/($D$5/100))-1),(VLOOKUP('USER INPUTS'!$B$30,DEFAULTS!$E$8:$F$69,2,FALSE))/10^6*(1/($D$5/100))))))),0,METHANE!$J48*DEFAULTS!$B$84*(IF('USER INPUTS'!$B$30="Total landfill gas",(1/($D$5/100)),IF('USER INPUTS'!$B$30="Methane",1,IF('USER INPUTS'!$B$30="Carbon dioxide",((1/($D$5/100))-1),(VLOOKUP('USER INPUTS'!$B$30,DEFAULTS!$E$8:$F$69,2,FALSE))/10^6*(1/($D$5/100)))))))</f>
        <v>0</v>
      </c>
      <c r="P34" s="62">
        <f>IF(ISERROR(METHANE!$J48*(IF('USER INPUTS'!$B$30="Total landfill gas",(1/($D$5/100)),IF('USER INPUTS'!$B$30="Methane",1,IF('USER INPUTS'!$B$30="Carbon dioxide",((1/($D$5/100))-1),(VLOOKUP('USER INPUTS'!$B$30,DEFAULTS!$E$8:$F$69,2,FALSE))/10^6*(1/($D$5/100))))))),0,METHANE!$J48*(IF('USER INPUTS'!$B$30="Total landfill gas",(1/($D$5/100)),IF('USER INPUTS'!$B$30="Methane",1,IF('USER INPUTS'!$B$30="Carbon dioxide",((1/($D$5/100))-1),(VLOOKUP('USER INPUTS'!$B$30,DEFAULTS!$E$8:$F$69,2,FALSE))/10^6*(1/($D$5/100)))))))</f>
        <v>0</v>
      </c>
      <c r="Q34" s="162">
        <f>IF(Q$8="(short tons/year)",(O34*DEFAULTS!$B$55*DEFAULTS!$B$53/DEFAULTS!$B$54),IF(Q$8="(ft^3/year)",(P34*DEFAULTS!$B$57),IF(Q$8="(av ft^3/min)",(P34*DEFAULTS!$B$57/DEFAULTS!$B$58),0)))</f>
        <v>0</v>
      </c>
    </row>
    <row r="35" spans="1:17">
      <c r="A35" s="68">
        <f>METHANE!I49</f>
        <v>2044</v>
      </c>
      <c r="B35" s="66">
        <f>IF(METHANE!E49&gt;0,METHANE!E49,0)</f>
        <v>635558</v>
      </c>
      <c r="C35" s="66">
        <f>IF(METHANE!E49&gt;0,METHANE!E49*DEFAULTS!$B$55*DEFAULTS!$B$53/DEFAULTS!$B$54,0)</f>
        <v>699113.8</v>
      </c>
      <c r="D35" s="66">
        <f>IF(METHANE!F49&gt;0,METHANE!F49,0)</f>
        <v>9451004</v>
      </c>
      <c r="E35" s="66">
        <f>IF(METHANE!F49&gt;0,METHANE!F49*DEFAULTS!$B$55*DEFAULTS!$B$53/DEFAULTS!$B$54,0)</f>
        <v>10396104.4</v>
      </c>
      <c r="F35" s="62">
        <f>IF(ISERROR(METHANE!$J49*DEFAULTS!$B$81*(IF('USER INPUTS'!$B$24="Total landfill gas",(1/($D$5/100)),IF('USER INPUTS'!$B$24="Methane",1,IF('USER INPUTS'!$B$24="Carbon dioxide",((1/($D$5/100))-1),(VLOOKUP('USER INPUTS'!$B$24,DEFAULTS!$E$8:$F$69,2,FALSE))/10^6*(1/($D$5/100))))))),0,METHANE!$J49*DEFAULTS!$B$81*(IF('USER INPUTS'!$B$24="Total landfill gas",(1/($D$5/100)),IF('USER INPUTS'!$B$24="Methane",1,IF('USER INPUTS'!$B$24="Carbon dioxide",((1/($D$5/100))-1),(VLOOKUP('USER INPUTS'!$B$24,DEFAULTS!$E$8:$F$69,2,FALSE))/10^6*(1/($D$5/100)))))))</f>
        <v>0</v>
      </c>
      <c r="G35" s="62">
        <f>IF(ISERROR(METHANE!$J49*(IF('USER INPUTS'!$B$24="Total landfill gas",(1/($D$5/100)),IF('USER INPUTS'!$B$24="Methane",1,IF('USER INPUTS'!$B$24="Carbon dioxide",((1/($D$5/100))-1),(VLOOKUP('USER INPUTS'!$B$24,DEFAULTS!$E$8:$F$69,2,FALSE))/10^6*(1/($D$5/100))))))),0,METHANE!$J49*(IF('USER INPUTS'!$B$24="Total landfill gas",(1/($D$5/100)),IF('USER INPUTS'!$B$24="Methane",1,IF('USER INPUTS'!$B$24="Carbon dioxide",((1/($D$5/100))-1),(VLOOKUP('USER INPUTS'!$B$24,DEFAULTS!$E$8:$F$69,2,FALSE))/10^6*(1/($D$5/100)))))))</f>
        <v>0</v>
      </c>
      <c r="H35" s="62">
        <f>IF(H$8="(short tons/year)",(F35*DEFAULTS!$B$55*DEFAULTS!$B$53/DEFAULTS!$B$54),IF(H$8="(ft^3/year)",(G35*DEFAULTS!$B$57),IF(H$8="(av ft^3/min)",(G35*DEFAULTS!$B$57/DEFAULTS!$B$58),0)))</f>
        <v>0</v>
      </c>
      <c r="I35" s="62">
        <f>IF(ISERROR(METHANE!$J49*DEFAULTS!$B$82*(IF('USER INPUTS'!$B$26="Total landfill gas",(1/($D$5/100)),IF('USER INPUTS'!$B$26="Methane",1,IF('USER INPUTS'!$B$26="Carbon dioxide",((1/($D$5/100))-1),(VLOOKUP('USER INPUTS'!$B$26,DEFAULTS!$E$8:$F$69,2,FALSE))/10^6*(1/($D$5/100))))))),0,METHANE!$J49*DEFAULTS!$B$82*(IF('USER INPUTS'!$B$26="Total landfill gas",(1/($D$5/100)),IF('USER INPUTS'!$B$26="Methane",1,IF('USER INPUTS'!$B$26="Carbon dioxide",((1/($D$5/100))-1),(VLOOKUP('USER INPUTS'!$B$26,DEFAULTS!$E$8:$F$69,2,FALSE))/10^6*(1/($D$5/100)))))))</f>
        <v>0</v>
      </c>
      <c r="J35" s="62">
        <f>IF(ISERROR(METHANE!$J49*(IF('USER INPUTS'!$B$26="Total landfill gas",(1/($D$5/100)),IF('USER INPUTS'!$B$26="Methane",1,IF('USER INPUTS'!$B$26="Carbon dioxide",((1/($D$5/100))-1),(VLOOKUP('USER INPUTS'!$B$26,DEFAULTS!$E$8:$F$69,2,FALSE))/10^6*(1/($D$5/100))))))),0,METHANE!$J49*(IF('USER INPUTS'!$B$26="Total landfill gas",(1/($D$5/100)),IF('USER INPUTS'!$B$26="Methane",1,IF('USER INPUTS'!$B$26="Carbon dioxide",((1/($D$5/100))-1),(VLOOKUP('USER INPUTS'!$B$26,DEFAULTS!$E$8:$F$69,2,FALSE))/10^6*(1/($D$5/100)))))))</f>
        <v>0</v>
      </c>
      <c r="K35" s="62">
        <f>IF(K$8="(short tons/year)",(I35*DEFAULTS!$B$55*DEFAULTS!$B$53/DEFAULTS!$B$54),IF(K$8="(ft^3/year)",(J35*DEFAULTS!$B$57),IF(K$8="(av ft^3/min)",(J35*DEFAULTS!$B$57/DEFAULTS!$B$58),0)))</f>
        <v>0</v>
      </c>
      <c r="L35" s="62">
        <f>IF(ISERROR(METHANE!$J49*DEFAULTS!$B$83*(IF('USER INPUTS'!$B$28="Total landfill gas",(1/($D$5/100)),IF('USER INPUTS'!$B$28="Methane",1,IF('USER INPUTS'!$B$28="Carbon dioxide",((1/($D$5/100))-1),(VLOOKUP('USER INPUTS'!$B$28,DEFAULTS!$E$8:$F$69,2,FALSE))/10^6*(1/($D$5/100))))))),0,METHANE!$J49*DEFAULTS!$B$83*(IF('USER INPUTS'!$B$28="Total landfill gas",(1/($D$5/100)),IF('USER INPUTS'!$B$28="Methane",1,IF('USER INPUTS'!$B$28="Carbon dioxide",((1/($D$5/100))-1),(VLOOKUP('USER INPUTS'!$B$28,DEFAULTS!$E$8:$F$69,2,FALSE))/10^6*(1/($D$5/100)))))))</f>
        <v>31535.968887286148</v>
      </c>
      <c r="M35" s="62">
        <f>IF(ISERROR(METHANE!$J49*(IF('USER INPUTS'!$B$28="Total landfill gas",(1/($D$5/100)),IF('USER INPUTS'!$B$28="Methane",1,IF('USER INPUTS'!$B$28="Carbon dioxide",((1/($D$5/100))-1),(VLOOKUP('USER INPUTS'!$B$28,DEFAULTS!$E$8:$F$69,2,FALSE))/10^6*(1/($D$5/100))))))),0,METHANE!$J49*(IF('USER INPUTS'!$B$28="Total landfill gas",(1/($D$5/100)),IF('USER INPUTS'!$B$28="Methane",1,IF('USER INPUTS'!$B$28="Carbon dioxide",((1/($D$5/100))-1),(VLOOKUP('USER INPUTS'!$B$28,DEFAULTS!$E$8:$F$69,2,FALSE))/10^6*(1/($D$5/100)))))))</f>
        <v>17228074.142788783</v>
      </c>
      <c r="N35" s="62">
        <f>IF(N$8="(short tons/year)",(L35*DEFAULTS!$B$55*DEFAULTS!$B$53/DEFAULTS!$B$54),IF(N$8="(ft^3/year)",(M35*DEFAULTS!$B$57),IF(N$8="(av ft^3/min)",(M35*DEFAULTS!$B$57/DEFAULTS!$B$58),0)))</f>
        <v>1157.5522038671725</v>
      </c>
      <c r="O35" s="62">
        <f>IF(ISERROR(METHANE!$J49*DEFAULTS!$B$84*(IF('USER INPUTS'!$B$30="Total landfill gas",(1/($D$5/100)),IF('USER INPUTS'!$B$30="Methane",1,IF('USER INPUTS'!$B$30="Carbon dioxide",((1/($D$5/100))-1),(VLOOKUP('USER INPUTS'!$B$30,DEFAULTS!$E$8:$F$69,2,FALSE))/10^6*(1/($D$5/100))))))),0,METHANE!$J49*DEFAULTS!$B$84*(IF('USER INPUTS'!$B$30="Total landfill gas",(1/($D$5/100)),IF('USER INPUTS'!$B$30="Methane",1,IF('USER INPUTS'!$B$30="Carbon dioxide",((1/($D$5/100))-1),(VLOOKUP('USER INPUTS'!$B$30,DEFAULTS!$E$8:$F$69,2,FALSE))/10^6*(1/($D$5/100)))))))</f>
        <v>0</v>
      </c>
      <c r="P35" s="62">
        <f>IF(ISERROR(METHANE!$J49*(IF('USER INPUTS'!$B$30="Total landfill gas",(1/($D$5/100)),IF('USER INPUTS'!$B$30="Methane",1,IF('USER INPUTS'!$B$30="Carbon dioxide",((1/($D$5/100))-1),(VLOOKUP('USER INPUTS'!$B$30,DEFAULTS!$E$8:$F$69,2,FALSE))/10^6*(1/($D$5/100))))))),0,METHANE!$J49*(IF('USER INPUTS'!$B$30="Total landfill gas",(1/($D$5/100)),IF('USER INPUTS'!$B$30="Methane",1,IF('USER INPUTS'!$B$30="Carbon dioxide",((1/($D$5/100))-1),(VLOOKUP('USER INPUTS'!$B$30,DEFAULTS!$E$8:$F$69,2,FALSE))/10^6*(1/($D$5/100)))))))</f>
        <v>0</v>
      </c>
      <c r="Q35" s="162">
        <f>IF(Q$8="(short tons/year)",(O35*DEFAULTS!$B$55*DEFAULTS!$B$53/DEFAULTS!$B$54),IF(Q$8="(ft^3/year)",(P35*DEFAULTS!$B$57),IF(Q$8="(av ft^3/min)",(P35*DEFAULTS!$B$57/DEFAULTS!$B$58),0)))</f>
        <v>0</v>
      </c>
    </row>
    <row r="36" spans="1:17">
      <c r="A36" s="68">
        <f>METHANE!I50</f>
        <v>2045</v>
      </c>
      <c r="B36" s="66">
        <f>IF(METHANE!E50&gt;0,METHANE!E50,0)</f>
        <v>665894</v>
      </c>
      <c r="C36" s="66">
        <f>IF(METHANE!E50&gt;0,METHANE!E50*DEFAULTS!$B$55*DEFAULTS!$B$53/DEFAULTS!$B$54,0)</f>
        <v>732483.4</v>
      </c>
      <c r="D36" s="66">
        <f>IF(METHANE!F50&gt;0,METHANE!F50,0)</f>
        <v>10086562</v>
      </c>
      <c r="E36" s="66">
        <f>IF(METHANE!F50&gt;0,METHANE!F50*DEFAULTS!$B$55*DEFAULTS!$B$53/DEFAULTS!$B$54,0)</f>
        <v>11095218.199999999</v>
      </c>
      <c r="F36" s="62">
        <f>IF(ISERROR(METHANE!$J50*DEFAULTS!$B$81*(IF('USER INPUTS'!$B$24="Total landfill gas",(1/($D$5/100)),IF('USER INPUTS'!$B$24="Methane",1,IF('USER INPUTS'!$B$24="Carbon dioxide",((1/($D$5/100))-1),(VLOOKUP('USER INPUTS'!$B$24,DEFAULTS!$E$8:$F$69,2,FALSE))/10^6*(1/($D$5/100))))))),0,METHANE!$J50*DEFAULTS!$B$81*(IF('USER INPUTS'!$B$24="Total landfill gas",(1/($D$5/100)),IF('USER INPUTS'!$B$24="Methane",1,IF('USER INPUTS'!$B$24="Carbon dioxide",((1/($D$5/100))-1),(VLOOKUP('USER INPUTS'!$B$24,DEFAULTS!$E$8:$F$69,2,FALSE))/10^6*(1/($D$5/100)))))))</f>
        <v>0</v>
      </c>
      <c r="G36" s="62">
        <f>IF(ISERROR(METHANE!$J50*(IF('USER INPUTS'!$B$24="Total landfill gas",(1/($D$5/100)),IF('USER INPUTS'!$B$24="Methane",1,IF('USER INPUTS'!$B$24="Carbon dioxide",((1/($D$5/100))-1),(VLOOKUP('USER INPUTS'!$B$24,DEFAULTS!$E$8:$F$69,2,FALSE))/10^6*(1/($D$5/100))))))),0,METHANE!$J50*(IF('USER INPUTS'!$B$24="Total landfill gas",(1/($D$5/100)),IF('USER INPUTS'!$B$24="Methane",1,IF('USER INPUTS'!$B$24="Carbon dioxide",((1/($D$5/100))-1),(VLOOKUP('USER INPUTS'!$B$24,DEFAULTS!$E$8:$F$69,2,FALSE))/10^6*(1/($D$5/100)))))))</f>
        <v>0</v>
      </c>
      <c r="H36" s="62">
        <f>IF(H$8="(short tons/year)",(F36*DEFAULTS!$B$55*DEFAULTS!$B$53/DEFAULTS!$B$54),IF(H$8="(ft^3/year)",(G36*DEFAULTS!$B$57),IF(H$8="(av ft^3/min)",(G36*DEFAULTS!$B$57/DEFAULTS!$B$58),0)))</f>
        <v>0</v>
      </c>
      <c r="I36" s="62">
        <f>IF(ISERROR(METHANE!$J50*DEFAULTS!$B$82*(IF('USER INPUTS'!$B$26="Total landfill gas",(1/($D$5/100)),IF('USER INPUTS'!$B$26="Methane",1,IF('USER INPUTS'!$B$26="Carbon dioxide",((1/($D$5/100))-1),(VLOOKUP('USER INPUTS'!$B$26,DEFAULTS!$E$8:$F$69,2,FALSE))/10^6*(1/($D$5/100))))))),0,METHANE!$J50*DEFAULTS!$B$82*(IF('USER INPUTS'!$B$26="Total landfill gas",(1/($D$5/100)),IF('USER INPUTS'!$B$26="Methane",1,IF('USER INPUTS'!$B$26="Carbon dioxide",((1/($D$5/100))-1),(VLOOKUP('USER INPUTS'!$B$26,DEFAULTS!$E$8:$F$69,2,FALSE))/10^6*(1/($D$5/100)))))))</f>
        <v>0</v>
      </c>
      <c r="J36" s="62">
        <f>IF(ISERROR(METHANE!$J50*(IF('USER INPUTS'!$B$26="Total landfill gas",(1/($D$5/100)),IF('USER INPUTS'!$B$26="Methane",1,IF('USER INPUTS'!$B$26="Carbon dioxide",((1/($D$5/100))-1),(VLOOKUP('USER INPUTS'!$B$26,DEFAULTS!$E$8:$F$69,2,FALSE))/10^6*(1/($D$5/100))))))),0,METHANE!$J50*(IF('USER INPUTS'!$B$26="Total landfill gas",(1/($D$5/100)),IF('USER INPUTS'!$B$26="Methane",1,IF('USER INPUTS'!$B$26="Carbon dioxide",((1/($D$5/100))-1),(VLOOKUP('USER INPUTS'!$B$26,DEFAULTS!$E$8:$F$69,2,FALSE))/10^6*(1/($D$5/100)))))))</f>
        <v>0</v>
      </c>
      <c r="K36" s="62">
        <f>IF(K$8="(short tons/year)",(I36*DEFAULTS!$B$55*DEFAULTS!$B$53/DEFAULTS!$B$54),IF(K$8="(ft^3/year)",(J36*DEFAULTS!$B$57),IF(K$8="(av ft^3/min)",(J36*DEFAULTS!$B$57/DEFAULTS!$B$58),0)))</f>
        <v>0</v>
      </c>
      <c r="L36" s="62">
        <f>IF(ISERROR(METHANE!$J50*DEFAULTS!$B$83*(IF('USER INPUTS'!$B$28="Total landfill gas",(1/($D$5/100)),IF('USER INPUTS'!$B$28="Methane",1,IF('USER INPUTS'!$B$28="Carbon dioxide",((1/($D$5/100))-1),(VLOOKUP('USER INPUTS'!$B$28,DEFAULTS!$E$8:$F$69,2,FALSE))/10^6*(1/($D$5/100))))))),0,METHANE!$J50*DEFAULTS!$B$83*(IF('USER INPUTS'!$B$28="Total landfill gas",(1/($D$5/100)),IF('USER INPUTS'!$B$28="Methane",1,IF('USER INPUTS'!$B$28="Carbon dioxide",((1/($D$5/100))-1),(VLOOKUP('USER INPUTS'!$B$28,DEFAULTS!$E$8:$F$69,2,FALSE))/10^6*(1/($D$5/100)))))))</f>
        <v>33346.652319813897</v>
      </c>
      <c r="M36" s="62">
        <f>IF(ISERROR(METHANE!$J50*(IF('USER INPUTS'!$B$28="Total landfill gas",(1/($D$5/100)),IF('USER INPUTS'!$B$28="Methane",1,IF('USER INPUTS'!$B$28="Carbon dioxide",((1/($D$5/100))-1),(VLOOKUP('USER INPUTS'!$B$28,DEFAULTS!$E$8:$F$69,2,FALSE))/10^6*(1/($D$5/100))))))),0,METHANE!$J50*(IF('USER INPUTS'!$B$28="Total landfill gas",(1/($D$5/100)),IF('USER INPUTS'!$B$28="Methane",1,IF('USER INPUTS'!$B$28="Carbon dioxide",((1/($D$5/100))-1),(VLOOKUP('USER INPUTS'!$B$28,DEFAULTS!$E$8:$F$69,2,FALSE))/10^6*(1/($D$5/100)))))))</f>
        <v>18217249.028653268</v>
      </c>
      <c r="N36" s="62">
        <f>IF(N$8="(short tons/year)",(L36*DEFAULTS!$B$55*DEFAULTS!$B$53/DEFAULTS!$B$54),IF(N$8="(ft^3/year)",(M36*DEFAULTS!$B$57),IF(N$8="(av ft^3/min)",(M36*DEFAULTS!$B$57/DEFAULTS!$B$58),0)))</f>
        <v>1224.0147440009325</v>
      </c>
      <c r="O36" s="62">
        <f>IF(ISERROR(METHANE!$J50*DEFAULTS!$B$84*(IF('USER INPUTS'!$B$30="Total landfill gas",(1/($D$5/100)),IF('USER INPUTS'!$B$30="Methane",1,IF('USER INPUTS'!$B$30="Carbon dioxide",((1/($D$5/100))-1),(VLOOKUP('USER INPUTS'!$B$30,DEFAULTS!$E$8:$F$69,2,FALSE))/10^6*(1/($D$5/100))))))),0,METHANE!$J50*DEFAULTS!$B$84*(IF('USER INPUTS'!$B$30="Total landfill gas",(1/($D$5/100)),IF('USER INPUTS'!$B$30="Methane",1,IF('USER INPUTS'!$B$30="Carbon dioxide",((1/($D$5/100))-1),(VLOOKUP('USER INPUTS'!$B$30,DEFAULTS!$E$8:$F$69,2,FALSE))/10^6*(1/($D$5/100)))))))</f>
        <v>0</v>
      </c>
      <c r="P36" s="62">
        <f>IF(ISERROR(METHANE!$J50*(IF('USER INPUTS'!$B$30="Total landfill gas",(1/($D$5/100)),IF('USER INPUTS'!$B$30="Methane",1,IF('USER INPUTS'!$B$30="Carbon dioxide",((1/($D$5/100))-1),(VLOOKUP('USER INPUTS'!$B$30,DEFAULTS!$E$8:$F$69,2,FALSE))/10^6*(1/($D$5/100))))))),0,METHANE!$J50*(IF('USER INPUTS'!$B$30="Total landfill gas",(1/($D$5/100)),IF('USER INPUTS'!$B$30="Methane",1,IF('USER INPUTS'!$B$30="Carbon dioxide",((1/($D$5/100))-1),(VLOOKUP('USER INPUTS'!$B$30,DEFAULTS!$E$8:$F$69,2,FALSE))/10^6*(1/($D$5/100)))))))</f>
        <v>0</v>
      </c>
      <c r="Q36" s="162">
        <f>IF(Q$8="(short tons/year)",(O36*DEFAULTS!$B$55*DEFAULTS!$B$53/DEFAULTS!$B$54),IF(Q$8="(ft^3/year)",(P36*DEFAULTS!$B$57),IF(Q$8="(av ft^3/min)",(P36*DEFAULTS!$B$57/DEFAULTS!$B$58),0)))</f>
        <v>0</v>
      </c>
    </row>
    <row r="37" spans="1:17">
      <c r="A37" s="68">
        <f>METHANE!I51</f>
        <v>2046</v>
      </c>
      <c r="B37" s="66">
        <f>IF(METHANE!E51&gt;0,METHANE!E51,0)</f>
        <v>697679</v>
      </c>
      <c r="C37" s="66">
        <f>IF(METHANE!E51&gt;0,METHANE!E51*DEFAULTS!$B$55*DEFAULTS!$B$53/DEFAULTS!$B$54,0)</f>
        <v>767446.9</v>
      </c>
      <c r="D37" s="66">
        <f>IF(METHANE!F51&gt;0,METHANE!F51,0)</f>
        <v>10752456</v>
      </c>
      <c r="E37" s="66">
        <f>IF(METHANE!F51&gt;0,METHANE!F51*DEFAULTS!$B$55*DEFAULTS!$B$53/DEFAULTS!$B$54,0)</f>
        <v>11827701.6</v>
      </c>
      <c r="F37" s="62">
        <f>IF(ISERROR(METHANE!$J51*DEFAULTS!$B$81*(IF('USER INPUTS'!$B$24="Total landfill gas",(1/($D$5/100)),IF('USER INPUTS'!$B$24="Methane",1,IF('USER INPUTS'!$B$24="Carbon dioxide",((1/($D$5/100))-1),(VLOOKUP('USER INPUTS'!$B$24,DEFAULTS!$E$8:$F$69,2,FALSE))/10^6*(1/($D$5/100))))))),0,METHANE!$J51*DEFAULTS!$B$81*(IF('USER INPUTS'!$B$24="Total landfill gas",(1/($D$5/100)),IF('USER INPUTS'!$B$24="Methane",1,IF('USER INPUTS'!$B$24="Carbon dioxide",((1/($D$5/100))-1),(VLOOKUP('USER INPUTS'!$B$24,DEFAULTS!$E$8:$F$69,2,FALSE))/10^6*(1/($D$5/100)))))))</f>
        <v>0</v>
      </c>
      <c r="G37" s="62">
        <f>IF(ISERROR(METHANE!$J51*(IF('USER INPUTS'!$B$24="Total landfill gas",(1/($D$5/100)),IF('USER INPUTS'!$B$24="Methane",1,IF('USER INPUTS'!$B$24="Carbon dioxide",((1/($D$5/100))-1),(VLOOKUP('USER INPUTS'!$B$24,DEFAULTS!$E$8:$F$69,2,FALSE))/10^6*(1/($D$5/100))))))),0,METHANE!$J51*(IF('USER INPUTS'!$B$24="Total landfill gas",(1/($D$5/100)),IF('USER INPUTS'!$B$24="Methane",1,IF('USER INPUTS'!$B$24="Carbon dioxide",((1/($D$5/100))-1),(VLOOKUP('USER INPUTS'!$B$24,DEFAULTS!$E$8:$F$69,2,FALSE))/10^6*(1/($D$5/100)))))))</f>
        <v>0</v>
      </c>
      <c r="H37" s="62">
        <f>IF(H$8="(short tons/year)",(F37*DEFAULTS!$B$55*DEFAULTS!$B$53/DEFAULTS!$B$54),IF(H$8="(ft^3/year)",(G37*DEFAULTS!$B$57),IF(H$8="(av ft^3/min)",(G37*DEFAULTS!$B$57/DEFAULTS!$B$58),0)))</f>
        <v>0</v>
      </c>
      <c r="I37" s="62">
        <f>IF(ISERROR(METHANE!$J51*DEFAULTS!$B$82*(IF('USER INPUTS'!$B$26="Total landfill gas",(1/($D$5/100)),IF('USER INPUTS'!$B$26="Methane",1,IF('USER INPUTS'!$B$26="Carbon dioxide",((1/($D$5/100))-1),(VLOOKUP('USER INPUTS'!$B$26,DEFAULTS!$E$8:$F$69,2,FALSE))/10^6*(1/($D$5/100))))))),0,METHANE!$J51*DEFAULTS!$B$82*(IF('USER INPUTS'!$B$26="Total landfill gas",(1/($D$5/100)),IF('USER INPUTS'!$B$26="Methane",1,IF('USER INPUTS'!$B$26="Carbon dioxide",((1/($D$5/100))-1),(VLOOKUP('USER INPUTS'!$B$26,DEFAULTS!$E$8:$F$69,2,FALSE))/10^6*(1/($D$5/100)))))))</f>
        <v>0</v>
      </c>
      <c r="J37" s="62">
        <f>IF(ISERROR(METHANE!$J51*(IF('USER INPUTS'!$B$26="Total landfill gas",(1/($D$5/100)),IF('USER INPUTS'!$B$26="Methane",1,IF('USER INPUTS'!$B$26="Carbon dioxide",((1/($D$5/100))-1),(VLOOKUP('USER INPUTS'!$B$26,DEFAULTS!$E$8:$F$69,2,FALSE))/10^6*(1/($D$5/100))))))),0,METHANE!$J51*(IF('USER INPUTS'!$B$26="Total landfill gas",(1/($D$5/100)),IF('USER INPUTS'!$B$26="Methane",1,IF('USER INPUTS'!$B$26="Carbon dioxide",((1/($D$5/100))-1),(VLOOKUP('USER INPUTS'!$B$26,DEFAULTS!$E$8:$F$69,2,FALSE))/10^6*(1/($D$5/100)))))))</f>
        <v>0</v>
      </c>
      <c r="K37" s="62">
        <f>IF(K$8="(short tons/year)",(I37*DEFAULTS!$B$55*DEFAULTS!$B$53/DEFAULTS!$B$54),IF(K$8="(ft^3/year)",(J37*DEFAULTS!$B$57),IF(K$8="(av ft^3/min)",(J37*DEFAULTS!$B$57/DEFAULTS!$B$58),0)))</f>
        <v>0</v>
      </c>
      <c r="L37" s="62">
        <f>IF(ISERROR(METHANE!$J51*DEFAULTS!$B$83*(IF('USER INPUTS'!$B$28="Total landfill gas",(1/($D$5/100)),IF('USER INPUTS'!$B$28="Methane",1,IF('USER INPUTS'!$B$28="Carbon dioxide",((1/($D$5/100))-1),(VLOOKUP('USER INPUTS'!$B$28,DEFAULTS!$E$8:$F$69,2,FALSE))/10^6*(1/($D$5/100))))))),0,METHANE!$J51*DEFAULTS!$B$83*(IF('USER INPUTS'!$B$28="Total landfill gas",(1/($D$5/100)),IF('USER INPUTS'!$B$28="Methane",1,IF('USER INPUTS'!$B$28="Carbon dioxide",((1/($D$5/100))-1),(VLOOKUP('USER INPUTS'!$B$28,DEFAULTS!$E$8:$F$69,2,FALSE))/10^6*(1/($D$5/100)))))))</f>
        <v>35231.785873877699</v>
      </c>
      <c r="M37" s="62">
        <f>IF(ISERROR(METHANE!$J51*(IF('USER INPUTS'!$B$28="Total landfill gas",(1/($D$5/100)),IF('USER INPUTS'!$B$28="Methane",1,IF('USER INPUTS'!$B$28="Carbon dioxide",((1/($D$5/100))-1),(VLOOKUP('USER INPUTS'!$B$28,DEFAULTS!$E$8:$F$69,2,FALSE))/10^6*(1/($D$5/100))))))),0,METHANE!$J51*(IF('USER INPUTS'!$B$28="Total landfill gas",(1/($D$5/100)),IF('USER INPUTS'!$B$28="Methane",1,IF('USER INPUTS'!$B$28="Carbon dioxide",((1/($D$5/100))-1),(VLOOKUP('USER INPUTS'!$B$28,DEFAULTS!$E$8:$F$69,2,FALSE))/10^6*(1/($D$5/100)))))))</f>
        <v>19247095.955333982</v>
      </c>
      <c r="N37" s="62">
        <f>IF(N$8="(short tons/year)",(L37*DEFAULTS!$B$55*DEFAULTS!$B$53/DEFAULTS!$B$54),IF(N$8="(ft^3/year)",(M37*DEFAULTS!$B$57),IF(N$8="(av ft^3/min)",(M37*DEFAULTS!$B$57/DEFAULTS!$B$58),0)))</f>
        <v>1293.2100336046794</v>
      </c>
      <c r="O37" s="62">
        <f>IF(ISERROR(METHANE!$J51*DEFAULTS!$B$84*(IF('USER INPUTS'!$B$30="Total landfill gas",(1/($D$5/100)),IF('USER INPUTS'!$B$30="Methane",1,IF('USER INPUTS'!$B$30="Carbon dioxide",((1/($D$5/100))-1),(VLOOKUP('USER INPUTS'!$B$30,DEFAULTS!$E$8:$F$69,2,FALSE))/10^6*(1/($D$5/100))))))),0,METHANE!$J51*DEFAULTS!$B$84*(IF('USER INPUTS'!$B$30="Total landfill gas",(1/($D$5/100)),IF('USER INPUTS'!$B$30="Methane",1,IF('USER INPUTS'!$B$30="Carbon dioxide",((1/($D$5/100))-1),(VLOOKUP('USER INPUTS'!$B$30,DEFAULTS!$E$8:$F$69,2,FALSE))/10^6*(1/($D$5/100)))))))</f>
        <v>0</v>
      </c>
      <c r="P37" s="62">
        <f>IF(ISERROR(METHANE!$J51*(IF('USER INPUTS'!$B$30="Total landfill gas",(1/($D$5/100)),IF('USER INPUTS'!$B$30="Methane",1,IF('USER INPUTS'!$B$30="Carbon dioxide",((1/($D$5/100))-1),(VLOOKUP('USER INPUTS'!$B$30,DEFAULTS!$E$8:$F$69,2,FALSE))/10^6*(1/($D$5/100))))))),0,METHANE!$J51*(IF('USER INPUTS'!$B$30="Total landfill gas",(1/($D$5/100)),IF('USER INPUTS'!$B$30="Methane",1,IF('USER INPUTS'!$B$30="Carbon dioxide",((1/($D$5/100))-1),(VLOOKUP('USER INPUTS'!$B$30,DEFAULTS!$E$8:$F$69,2,FALSE))/10^6*(1/($D$5/100)))))))</f>
        <v>0</v>
      </c>
      <c r="Q37" s="162">
        <f>IF(Q$8="(short tons/year)",(O37*DEFAULTS!$B$55*DEFAULTS!$B$53/DEFAULTS!$B$54),IF(Q$8="(ft^3/year)",(P37*DEFAULTS!$B$57),IF(Q$8="(av ft^3/min)",(P37*DEFAULTS!$B$57/DEFAULTS!$B$58),0)))</f>
        <v>0</v>
      </c>
    </row>
    <row r="38" spans="1:17">
      <c r="A38" s="68">
        <f>METHANE!I52</f>
        <v>2047</v>
      </c>
      <c r="B38" s="66">
        <f>IF(METHANE!E52&gt;0,METHANE!E52,0)</f>
        <v>730980</v>
      </c>
      <c r="C38" s="66">
        <f>IF(METHANE!E52&gt;0,METHANE!E52*DEFAULTS!$B$55*DEFAULTS!$B$53/DEFAULTS!$B$54,0)</f>
        <v>804078</v>
      </c>
      <c r="D38" s="66">
        <f>IF(METHANE!F52&gt;0,METHANE!F52,0)</f>
        <v>11450135</v>
      </c>
      <c r="E38" s="66">
        <f>IF(METHANE!F52&gt;0,METHANE!F52*DEFAULTS!$B$55*DEFAULTS!$B$53/DEFAULTS!$B$54,0)</f>
        <v>12595148.5</v>
      </c>
      <c r="F38" s="62">
        <f>IF(ISERROR(METHANE!$J52*DEFAULTS!$B$81*(IF('USER INPUTS'!$B$24="Total landfill gas",(1/($D$5/100)),IF('USER INPUTS'!$B$24="Methane",1,IF('USER INPUTS'!$B$24="Carbon dioxide",((1/($D$5/100))-1),(VLOOKUP('USER INPUTS'!$B$24,DEFAULTS!$E$8:$F$69,2,FALSE))/10^6*(1/($D$5/100))))))),0,METHANE!$J52*DEFAULTS!$B$81*(IF('USER INPUTS'!$B$24="Total landfill gas",(1/($D$5/100)),IF('USER INPUTS'!$B$24="Methane",1,IF('USER INPUTS'!$B$24="Carbon dioxide",((1/($D$5/100))-1),(VLOOKUP('USER INPUTS'!$B$24,DEFAULTS!$E$8:$F$69,2,FALSE))/10^6*(1/($D$5/100)))))))</f>
        <v>0</v>
      </c>
      <c r="G38" s="62">
        <f>IF(ISERROR(METHANE!$J52*(IF('USER INPUTS'!$B$24="Total landfill gas",(1/($D$5/100)),IF('USER INPUTS'!$B$24="Methane",1,IF('USER INPUTS'!$B$24="Carbon dioxide",((1/($D$5/100))-1),(VLOOKUP('USER INPUTS'!$B$24,DEFAULTS!$E$8:$F$69,2,FALSE))/10^6*(1/($D$5/100))))))),0,METHANE!$J52*(IF('USER INPUTS'!$B$24="Total landfill gas",(1/($D$5/100)),IF('USER INPUTS'!$B$24="Methane",1,IF('USER INPUTS'!$B$24="Carbon dioxide",((1/($D$5/100))-1),(VLOOKUP('USER INPUTS'!$B$24,DEFAULTS!$E$8:$F$69,2,FALSE))/10^6*(1/($D$5/100)))))))</f>
        <v>0</v>
      </c>
      <c r="H38" s="62">
        <f>IF(H$8="(short tons/year)",(F38*DEFAULTS!$B$55*DEFAULTS!$B$53/DEFAULTS!$B$54),IF(H$8="(ft^3/year)",(G38*DEFAULTS!$B$57),IF(H$8="(av ft^3/min)",(G38*DEFAULTS!$B$57/DEFAULTS!$B$58),0)))</f>
        <v>0</v>
      </c>
      <c r="I38" s="62">
        <f>IF(ISERROR(METHANE!$J52*DEFAULTS!$B$82*(IF('USER INPUTS'!$B$26="Total landfill gas",(1/($D$5/100)),IF('USER INPUTS'!$B$26="Methane",1,IF('USER INPUTS'!$B$26="Carbon dioxide",((1/($D$5/100))-1),(VLOOKUP('USER INPUTS'!$B$26,DEFAULTS!$E$8:$F$69,2,FALSE))/10^6*(1/($D$5/100))))))),0,METHANE!$J52*DEFAULTS!$B$82*(IF('USER INPUTS'!$B$26="Total landfill gas",(1/($D$5/100)),IF('USER INPUTS'!$B$26="Methane",1,IF('USER INPUTS'!$B$26="Carbon dioxide",((1/($D$5/100))-1),(VLOOKUP('USER INPUTS'!$B$26,DEFAULTS!$E$8:$F$69,2,FALSE))/10^6*(1/($D$5/100)))))))</f>
        <v>0</v>
      </c>
      <c r="J38" s="62">
        <f>IF(ISERROR(METHANE!$J52*(IF('USER INPUTS'!$B$26="Total landfill gas",(1/($D$5/100)),IF('USER INPUTS'!$B$26="Methane",1,IF('USER INPUTS'!$B$26="Carbon dioxide",((1/($D$5/100))-1),(VLOOKUP('USER INPUTS'!$B$26,DEFAULTS!$E$8:$F$69,2,FALSE))/10^6*(1/($D$5/100))))))),0,METHANE!$J52*(IF('USER INPUTS'!$B$26="Total landfill gas",(1/($D$5/100)),IF('USER INPUTS'!$B$26="Methane",1,IF('USER INPUTS'!$B$26="Carbon dioxide",((1/($D$5/100))-1),(VLOOKUP('USER INPUTS'!$B$26,DEFAULTS!$E$8:$F$69,2,FALSE))/10^6*(1/($D$5/100)))))))</f>
        <v>0</v>
      </c>
      <c r="K38" s="62">
        <f>IF(K$8="(short tons/year)",(I38*DEFAULTS!$B$55*DEFAULTS!$B$53/DEFAULTS!$B$54),IF(K$8="(ft^3/year)",(J38*DEFAULTS!$B$57),IF(K$8="(av ft^3/min)",(J38*DEFAULTS!$B$57/DEFAULTS!$B$58),0)))</f>
        <v>0</v>
      </c>
      <c r="L38" s="62">
        <f>IF(ISERROR(METHANE!$J52*DEFAULTS!$B$83*(IF('USER INPUTS'!$B$28="Total landfill gas",(1/($D$5/100)),IF('USER INPUTS'!$B$28="Methane",1,IF('USER INPUTS'!$B$28="Carbon dioxide",((1/($D$5/100))-1),(VLOOKUP('USER INPUTS'!$B$28,DEFAULTS!$E$8:$F$69,2,FALSE))/10^6*(1/($D$5/100))))))),0,METHANE!$J52*DEFAULTS!$B$83*(IF('USER INPUTS'!$B$28="Total landfill gas",(1/($D$5/100)),IF('USER INPUTS'!$B$28="Methane",1,IF('USER INPUTS'!$B$28="Carbon dioxide",((1/($D$5/100))-1),(VLOOKUP('USER INPUTS'!$B$28,DEFAULTS!$E$8:$F$69,2,FALSE))/10^6*(1/($D$5/100)))))))</f>
        <v>37195.397648424951</v>
      </c>
      <c r="M38" s="62">
        <f>IF(ISERROR(METHANE!$J52*(IF('USER INPUTS'!$B$28="Total landfill gas",(1/($D$5/100)),IF('USER INPUTS'!$B$28="Methane",1,IF('USER INPUTS'!$B$28="Carbon dioxide",((1/($D$5/100))-1),(VLOOKUP('USER INPUTS'!$B$28,DEFAULTS!$E$8:$F$69,2,FALSE))/10^6*(1/($D$5/100))))))),0,METHANE!$J52*(IF('USER INPUTS'!$B$28="Total landfill gas",(1/($D$5/100)),IF('USER INPUTS'!$B$28="Methane",1,IF('USER INPUTS'!$B$28="Carbon dioxide",((1/($D$5/100))-1),(VLOOKUP('USER INPUTS'!$B$28,DEFAULTS!$E$8:$F$69,2,FALSE))/10^6*(1/($D$5/100)))))))</f>
        <v>20319815.470008273</v>
      </c>
      <c r="N38" s="62">
        <f>IF(N$8="(short tons/year)",(L38*DEFAULTS!$B$55*DEFAULTS!$B$53/DEFAULTS!$B$54),IF(N$8="(ft^3/year)",(M38*DEFAULTS!$B$57),IF(N$8="(av ft^3/min)",(M38*DEFAULTS!$B$57/DEFAULTS!$B$58),0)))</f>
        <v>1365.2859271753084</v>
      </c>
      <c r="O38" s="62">
        <f>IF(ISERROR(METHANE!$J52*DEFAULTS!$B$84*(IF('USER INPUTS'!$B$30="Total landfill gas",(1/($D$5/100)),IF('USER INPUTS'!$B$30="Methane",1,IF('USER INPUTS'!$B$30="Carbon dioxide",((1/($D$5/100))-1),(VLOOKUP('USER INPUTS'!$B$30,DEFAULTS!$E$8:$F$69,2,FALSE))/10^6*(1/($D$5/100))))))),0,METHANE!$J52*DEFAULTS!$B$84*(IF('USER INPUTS'!$B$30="Total landfill gas",(1/($D$5/100)),IF('USER INPUTS'!$B$30="Methane",1,IF('USER INPUTS'!$B$30="Carbon dioxide",((1/($D$5/100))-1),(VLOOKUP('USER INPUTS'!$B$30,DEFAULTS!$E$8:$F$69,2,FALSE))/10^6*(1/($D$5/100)))))))</f>
        <v>0</v>
      </c>
      <c r="P38" s="62">
        <f>IF(ISERROR(METHANE!$J52*(IF('USER INPUTS'!$B$30="Total landfill gas",(1/($D$5/100)),IF('USER INPUTS'!$B$30="Methane",1,IF('USER INPUTS'!$B$30="Carbon dioxide",((1/($D$5/100))-1),(VLOOKUP('USER INPUTS'!$B$30,DEFAULTS!$E$8:$F$69,2,FALSE))/10^6*(1/($D$5/100))))))),0,METHANE!$J52*(IF('USER INPUTS'!$B$30="Total landfill gas",(1/($D$5/100)),IF('USER INPUTS'!$B$30="Methane",1,IF('USER INPUTS'!$B$30="Carbon dioxide",((1/($D$5/100))-1),(VLOOKUP('USER INPUTS'!$B$30,DEFAULTS!$E$8:$F$69,2,FALSE))/10^6*(1/($D$5/100)))))))</f>
        <v>0</v>
      </c>
      <c r="Q38" s="162">
        <f>IF(Q$8="(short tons/year)",(O38*DEFAULTS!$B$55*DEFAULTS!$B$53/DEFAULTS!$B$54),IF(Q$8="(ft^3/year)",(P38*DEFAULTS!$B$57),IF(Q$8="(av ft^3/min)",(P38*DEFAULTS!$B$57/DEFAULTS!$B$58),0)))</f>
        <v>0</v>
      </c>
    </row>
    <row r="39" spans="1:17">
      <c r="A39" s="68">
        <f>METHANE!I53</f>
        <v>2048</v>
      </c>
      <c r="B39" s="66">
        <f>IF(METHANE!E53&gt;0,METHANE!E53,0)</f>
        <v>765871</v>
      </c>
      <c r="C39" s="66">
        <f>IF(METHANE!E53&gt;0,METHANE!E53*DEFAULTS!$B$55*DEFAULTS!$B$53/DEFAULTS!$B$54,0)</f>
        <v>842458.1</v>
      </c>
      <c r="D39" s="66">
        <f>IF(METHANE!F53&gt;0,METHANE!F53,0)</f>
        <v>12181115</v>
      </c>
      <c r="E39" s="66">
        <f>IF(METHANE!F53&gt;0,METHANE!F53*DEFAULTS!$B$55*DEFAULTS!$B$53/DEFAULTS!$B$54,0)</f>
        <v>13399226.5</v>
      </c>
      <c r="F39" s="62">
        <f>IF(ISERROR(METHANE!$J53*DEFAULTS!$B$81*(IF('USER INPUTS'!$B$24="Total landfill gas",(1/($D$5/100)),IF('USER INPUTS'!$B$24="Methane",1,IF('USER INPUTS'!$B$24="Carbon dioxide",((1/($D$5/100))-1),(VLOOKUP('USER INPUTS'!$B$24,DEFAULTS!$E$8:$F$69,2,FALSE))/10^6*(1/($D$5/100))))))),0,METHANE!$J53*DEFAULTS!$B$81*(IF('USER INPUTS'!$B$24="Total landfill gas",(1/($D$5/100)),IF('USER INPUTS'!$B$24="Methane",1,IF('USER INPUTS'!$B$24="Carbon dioxide",((1/($D$5/100))-1),(VLOOKUP('USER INPUTS'!$B$24,DEFAULTS!$E$8:$F$69,2,FALSE))/10^6*(1/($D$5/100)))))))</f>
        <v>0</v>
      </c>
      <c r="G39" s="62">
        <f>IF(ISERROR(METHANE!$J53*(IF('USER INPUTS'!$B$24="Total landfill gas",(1/($D$5/100)),IF('USER INPUTS'!$B$24="Methane",1,IF('USER INPUTS'!$B$24="Carbon dioxide",((1/($D$5/100))-1),(VLOOKUP('USER INPUTS'!$B$24,DEFAULTS!$E$8:$F$69,2,FALSE))/10^6*(1/($D$5/100))))))),0,METHANE!$J53*(IF('USER INPUTS'!$B$24="Total landfill gas",(1/($D$5/100)),IF('USER INPUTS'!$B$24="Methane",1,IF('USER INPUTS'!$B$24="Carbon dioxide",((1/($D$5/100))-1),(VLOOKUP('USER INPUTS'!$B$24,DEFAULTS!$E$8:$F$69,2,FALSE))/10^6*(1/($D$5/100)))))))</f>
        <v>0</v>
      </c>
      <c r="H39" s="62">
        <f>IF(H$8="(short tons/year)",(F39*DEFAULTS!$B$55*DEFAULTS!$B$53/DEFAULTS!$B$54),IF(H$8="(ft^3/year)",(G39*DEFAULTS!$B$57),IF(H$8="(av ft^3/min)",(G39*DEFAULTS!$B$57/DEFAULTS!$B$58),0)))</f>
        <v>0</v>
      </c>
      <c r="I39" s="62">
        <f>IF(ISERROR(METHANE!$J53*DEFAULTS!$B$82*(IF('USER INPUTS'!$B$26="Total landfill gas",(1/($D$5/100)),IF('USER INPUTS'!$B$26="Methane",1,IF('USER INPUTS'!$B$26="Carbon dioxide",((1/($D$5/100))-1),(VLOOKUP('USER INPUTS'!$B$26,DEFAULTS!$E$8:$F$69,2,FALSE))/10^6*(1/($D$5/100))))))),0,METHANE!$J53*DEFAULTS!$B$82*(IF('USER INPUTS'!$B$26="Total landfill gas",(1/($D$5/100)),IF('USER INPUTS'!$B$26="Methane",1,IF('USER INPUTS'!$B$26="Carbon dioxide",((1/($D$5/100))-1),(VLOOKUP('USER INPUTS'!$B$26,DEFAULTS!$E$8:$F$69,2,FALSE))/10^6*(1/($D$5/100)))))))</f>
        <v>0</v>
      </c>
      <c r="J39" s="62">
        <f>IF(ISERROR(METHANE!$J53*(IF('USER INPUTS'!$B$26="Total landfill gas",(1/($D$5/100)),IF('USER INPUTS'!$B$26="Methane",1,IF('USER INPUTS'!$B$26="Carbon dioxide",((1/($D$5/100))-1),(VLOOKUP('USER INPUTS'!$B$26,DEFAULTS!$E$8:$F$69,2,FALSE))/10^6*(1/($D$5/100))))))),0,METHANE!$J53*(IF('USER INPUTS'!$B$26="Total landfill gas",(1/($D$5/100)),IF('USER INPUTS'!$B$26="Methane",1,IF('USER INPUTS'!$B$26="Carbon dioxide",((1/($D$5/100))-1),(VLOOKUP('USER INPUTS'!$B$26,DEFAULTS!$E$8:$F$69,2,FALSE))/10^6*(1/($D$5/100)))))))</f>
        <v>0</v>
      </c>
      <c r="K39" s="62">
        <f>IF(K$8="(short tons/year)",(I39*DEFAULTS!$B$55*DEFAULTS!$B$53/DEFAULTS!$B$54),IF(K$8="(ft^3/year)",(J39*DEFAULTS!$B$57),IF(K$8="(av ft^3/min)",(J39*DEFAULTS!$B$57/DEFAULTS!$B$58),0)))</f>
        <v>0</v>
      </c>
      <c r="L39" s="62">
        <f>IF(ISERROR(METHANE!$J53*DEFAULTS!$B$83*(IF('USER INPUTS'!$B$28="Total landfill gas",(1/($D$5/100)),IF('USER INPUTS'!$B$28="Methane",1,IF('USER INPUTS'!$B$28="Carbon dioxide",((1/($D$5/100))-1),(VLOOKUP('USER INPUTS'!$B$28,DEFAULTS!$E$8:$F$69,2,FALSE))/10^6*(1/($D$5/100))))))),0,METHANE!$J53*DEFAULTS!$B$83*(IF('USER INPUTS'!$B$28="Total landfill gas",(1/($D$5/100)),IF('USER INPUTS'!$B$28="Methane",1,IF('USER INPUTS'!$B$28="Carbon dioxide",((1/($D$5/100))-1),(VLOOKUP('USER INPUTS'!$B$28,DEFAULTS!$E$8:$F$69,2,FALSE))/10^6*(1/($D$5/100)))))))</f>
        <v>39241.679034483364</v>
      </c>
      <c r="M39" s="62">
        <f>IF(ISERROR(METHANE!$J53*(IF('USER INPUTS'!$B$28="Total landfill gas",(1/($D$5/100)),IF('USER INPUTS'!$B$28="Methane",1,IF('USER INPUTS'!$B$28="Carbon dioxide",((1/($D$5/100))-1),(VLOOKUP('USER INPUTS'!$B$28,DEFAULTS!$E$8:$F$69,2,FALSE))/10^6*(1/($D$5/100))))))),0,METHANE!$J53*(IF('USER INPUTS'!$B$28="Total landfill gas",(1/($D$5/100)),IF('USER INPUTS'!$B$28="Methane",1,IF('USER INPUTS'!$B$28="Carbon dioxide",((1/($D$5/100))-1),(VLOOKUP('USER INPUTS'!$B$28,DEFAULTS!$E$8:$F$69,2,FALSE))/10^6*(1/($D$5/100)))))))</f>
        <v>21437697.326184109</v>
      </c>
      <c r="N39" s="62">
        <f>IF(N$8="(short tons/year)",(L39*DEFAULTS!$B$55*DEFAULTS!$B$53/DEFAULTS!$B$54),IF(N$8="(ft^3/year)",(M39*DEFAULTS!$B$57),IF(N$8="(av ft^3/min)",(M39*DEFAULTS!$B$57/DEFAULTS!$B$58),0)))</f>
        <v>1440.3962729722066</v>
      </c>
      <c r="O39" s="62">
        <f>IF(ISERROR(METHANE!$J53*DEFAULTS!$B$84*(IF('USER INPUTS'!$B$30="Total landfill gas",(1/($D$5/100)),IF('USER INPUTS'!$B$30="Methane",1,IF('USER INPUTS'!$B$30="Carbon dioxide",((1/($D$5/100))-1),(VLOOKUP('USER INPUTS'!$B$30,DEFAULTS!$E$8:$F$69,2,FALSE))/10^6*(1/($D$5/100))))))),0,METHANE!$J53*DEFAULTS!$B$84*(IF('USER INPUTS'!$B$30="Total landfill gas",(1/($D$5/100)),IF('USER INPUTS'!$B$30="Methane",1,IF('USER INPUTS'!$B$30="Carbon dioxide",((1/($D$5/100))-1),(VLOOKUP('USER INPUTS'!$B$30,DEFAULTS!$E$8:$F$69,2,FALSE))/10^6*(1/($D$5/100)))))))</f>
        <v>0</v>
      </c>
      <c r="P39" s="62">
        <f>IF(ISERROR(METHANE!$J53*(IF('USER INPUTS'!$B$30="Total landfill gas",(1/($D$5/100)),IF('USER INPUTS'!$B$30="Methane",1,IF('USER INPUTS'!$B$30="Carbon dioxide",((1/($D$5/100))-1),(VLOOKUP('USER INPUTS'!$B$30,DEFAULTS!$E$8:$F$69,2,FALSE))/10^6*(1/($D$5/100))))))),0,METHANE!$J53*(IF('USER INPUTS'!$B$30="Total landfill gas",(1/($D$5/100)),IF('USER INPUTS'!$B$30="Methane",1,IF('USER INPUTS'!$B$30="Carbon dioxide",((1/($D$5/100))-1),(VLOOKUP('USER INPUTS'!$B$30,DEFAULTS!$E$8:$F$69,2,FALSE))/10^6*(1/($D$5/100)))))))</f>
        <v>0</v>
      </c>
      <c r="Q39" s="162">
        <f>IF(Q$8="(short tons/year)",(O39*DEFAULTS!$B$55*DEFAULTS!$B$53/DEFAULTS!$B$54),IF(Q$8="(ft^3/year)",(P39*DEFAULTS!$B$57),IF(Q$8="(av ft^3/min)",(P39*DEFAULTS!$B$57/DEFAULTS!$B$58),0)))</f>
        <v>0</v>
      </c>
    </row>
    <row r="40" spans="1:17">
      <c r="A40" s="68">
        <f>METHANE!I54</f>
        <v>2049</v>
      </c>
      <c r="B40" s="66">
        <f>IF(METHANE!E54&gt;0,METHANE!E54,0)</f>
        <v>0</v>
      </c>
      <c r="C40" s="66">
        <f>IF(METHANE!E54&gt;0,METHANE!E54*DEFAULTS!$B$55*DEFAULTS!$B$53/DEFAULTS!$B$54,0)</f>
        <v>0</v>
      </c>
      <c r="D40" s="66">
        <f>IF(METHANE!F54&gt;0,METHANE!F54,0)</f>
        <v>12946986</v>
      </c>
      <c r="E40" s="66">
        <f>IF(METHANE!F54&gt;0,METHANE!F54*DEFAULTS!$B$55*DEFAULTS!$B$53/DEFAULTS!$B$54,0)</f>
        <v>14241684.6</v>
      </c>
      <c r="F40" s="62">
        <f>IF(ISERROR(METHANE!$J54*DEFAULTS!$B$81*(IF('USER INPUTS'!$B$24="Total landfill gas",(1/($D$5/100)),IF('USER INPUTS'!$B$24="Methane",1,IF('USER INPUTS'!$B$24="Carbon dioxide",((1/($D$5/100))-1),(VLOOKUP('USER INPUTS'!$B$24,DEFAULTS!$E$8:$F$69,2,FALSE))/10^6*(1/($D$5/100))))))),0,METHANE!$J54*DEFAULTS!$B$81*(IF('USER INPUTS'!$B$24="Total landfill gas",(1/($D$5/100)),IF('USER INPUTS'!$B$24="Methane",1,IF('USER INPUTS'!$B$24="Carbon dioxide",((1/($D$5/100))-1),(VLOOKUP('USER INPUTS'!$B$24,DEFAULTS!$E$8:$F$69,2,FALSE))/10^6*(1/($D$5/100)))))))</f>
        <v>0</v>
      </c>
      <c r="G40" s="62">
        <f>IF(ISERROR(METHANE!$J54*(IF('USER INPUTS'!$B$24="Total landfill gas",(1/($D$5/100)),IF('USER INPUTS'!$B$24="Methane",1,IF('USER INPUTS'!$B$24="Carbon dioxide",((1/($D$5/100))-1),(VLOOKUP('USER INPUTS'!$B$24,DEFAULTS!$E$8:$F$69,2,FALSE))/10^6*(1/($D$5/100))))))),0,METHANE!$J54*(IF('USER INPUTS'!$B$24="Total landfill gas",(1/($D$5/100)),IF('USER INPUTS'!$B$24="Methane",1,IF('USER INPUTS'!$B$24="Carbon dioxide",((1/($D$5/100))-1),(VLOOKUP('USER INPUTS'!$B$24,DEFAULTS!$E$8:$F$69,2,FALSE))/10^6*(1/($D$5/100)))))))</f>
        <v>0</v>
      </c>
      <c r="H40" s="62">
        <f>IF(H$8="(short tons/year)",(F40*DEFAULTS!$B$55*DEFAULTS!$B$53/DEFAULTS!$B$54),IF(H$8="(ft^3/year)",(G40*DEFAULTS!$B$57),IF(H$8="(av ft^3/min)",(G40*DEFAULTS!$B$57/DEFAULTS!$B$58),0)))</f>
        <v>0</v>
      </c>
      <c r="I40" s="62">
        <f>IF(ISERROR(METHANE!$J54*DEFAULTS!$B$82*(IF('USER INPUTS'!$B$26="Total landfill gas",(1/($D$5/100)),IF('USER INPUTS'!$B$26="Methane",1,IF('USER INPUTS'!$B$26="Carbon dioxide",((1/($D$5/100))-1),(VLOOKUP('USER INPUTS'!$B$26,DEFAULTS!$E$8:$F$69,2,FALSE))/10^6*(1/($D$5/100))))))),0,METHANE!$J54*DEFAULTS!$B$82*(IF('USER INPUTS'!$B$26="Total landfill gas",(1/($D$5/100)),IF('USER INPUTS'!$B$26="Methane",1,IF('USER INPUTS'!$B$26="Carbon dioxide",((1/($D$5/100))-1),(VLOOKUP('USER INPUTS'!$B$26,DEFAULTS!$E$8:$F$69,2,FALSE))/10^6*(1/($D$5/100)))))))</f>
        <v>0</v>
      </c>
      <c r="J40" s="62">
        <f>IF(ISERROR(METHANE!$J54*(IF('USER INPUTS'!$B$26="Total landfill gas",(1/($D$5/100)),IF('USER INPUTS'!$B$26="Methane",1,IF('USER INPUTS'!$B$26="Carbon dioxide",((1/($D$5/100))-1),(VLOOKUP('USER INPUTS'!$B$26,DEFAULTS!$E$8:$F$69,2,FALSE))/10^6*(1/($D$5/100))))))),0,METHANE!$J54*(IF('USER INPUTS'!$B$26="Total landfill gas",(1/($D$5/100)),IF('USER INPUTS'!$B$26="Methane",1,IF('USER INPUTS'!$B$26="Carbon dioxide",((1/($D$5/100))-1),(VLOOKUP('USER INPUTS'!$B$26,DEFAULTS!$E$8:$F$69,2,FALSE))/10^6*(1/($D$5/100)))))))</f>
        <v>0</v>
      </c>
      <c r="K40" s="62">
        <f>IF(K$8="(short tons/year)",(I40*DEFAULTS!$B$55*DEFAULTS!$B$53/DEFAULTS!$B$54),IF(K$8="(ft^3/year)",(J40*DEFAULTS!$B$57),IF(K$8="(av ft^3/min)",(J40*DEFAULTS!$B$57/DEFAULTS!$B$58),0)))</f>
        <v>0</v>
      </c>
      <c r="L40" s="62">
        <f>IF(ISERROR(METHANE!$J54*DEFAULTS!$B$83*(IF('USER INPUTS'!$B$28="Total landfill gas",(1/($D$5/100)),IF('USER INPUTS'!$B$28="Methane",1,IF('USER INPUTS'!$B$28="Carbon dioxide",((1/($D$5/100))-1),(VLOOKUP('USER INPUTS'!$B$28,DEFAULTS!$E$8:$F$69,2,FALSE))/10^6*(1/($D$5/100))))))),0,METHANE!$J54*DEFAULTS!$B$83*(IF('USER INPUTS'!$B$28="Total landfill gas",(1/($D$5/100)),IF('USER INPUTS'!$B$28="Methane",1,IF('USER INPUTS'!$B$28="Carbon dioxide",((1/($D$5/100))-1),(VLOOKUP('USER INPUTS'!$B$28,DEFAULTS!$E$8:$F$69,2,FALSE))/10^6*(1/($D$5/100)))))))</f>
        <v>41375.011874367585</v>
      </c>
      <c r="M40" s="62">
        <f>IF(ISERROR(METHANE!$J54*(IF('USER INPUTS'!$B$28="Total landfill gas",(1/($D$5/100)),IF('USER INPUTS'!$B$28="Methane",1,IF('USER INPUTS'!$B$28="Carbon dioxide",((1/($D$5/100))-1),(VLOOKUP('USER INPUTS'!$B$28,DEFAULTS!$E$8:$F$69,2,FALSE))/10^6*(1/($D$5/100))))))),0,METHANE!$J54*(IF('USER INPUTS'!$B$28="Total landfill gas",(1/($D$5/100)),IF('USER INPUTS'!$B$28="Methane",1,IF('USER INPUTS'!$B$28="Carbon dioxide",((1/($D$5/100))-1),(VLOOKUP('USER INPUTS'!$B$28,DEFAULTS!$E$8:$F$69,2,FALSE))/10^6*(1/($D$5/100)))))))</f>
        <v>22603135.32075255</v>
      </c>
      <c r="N40" s="62">
        <f>IF(N$8="(short tons/year)",(L40*DEFAULTS!$B$55*DEFAULTS!$B$53/DEFAULTS!$B$54),IF(N$8="(ft^3/year)",(M40*DEFAULTS!$B$57),IF(N$8="(av ft^3/min)",(M40*DEFAULTS!$B$57/DEFAULTS!$B$58),0)))</f>
        <v>1518.701909917002</v>
      </c>
      <c r="O40" s="62">
        <f>IF(ISERROR(METHANE!$J54*DEFAULTS!$B$84*(IF('USER INPUTS'!$B$30="Total landfill gas",(1/($D$5/100)),IF('USER INPUTS'!$B$30="Methane",1,IF('USER INPUTS'!$B$30="Carbon dioxide",((1/($D$5/100))-1),(VLOOKUP('USER INPUTS'!$B$30,DEFAULTS!$E$8:$F$69,2,FALSE))/10^6*(1/($D$5/100))))))),0,METHANE!$J54*DEFAULTS!$B$84*(IF('USER INPUTS'!$B$30="Total landfill gas",(1/($D$5/100)),IF('USER INPUTS'!$B$30="Methane",1,IF('USER INPUTS'!$B$30="Carbon dioxide",((1/($D$5/100))-1),(VLOOKUP('USER INPUTS'!$B$30,DEFAULTS!$E$8:$F$69,2,FALSE))/10^6*(1/($D$5/100)))))))</f>
        <v>0</v>
      </c>
      <c r="P40" s="62">
        <f>IF(ISERROR(METHANE!$J54*(IF('USER INPUTS'!$B$30="Total landfill gas",(1/($D$5/100)),IF('USER INPUTS'!$B$30="Methane",1,IF('USER INPUTS'!$B$30="Carbon dioxide",((1/($D$5/100))-1),(VLOOKUP('USER INPUTS'!$B$30,DEFAULTS!$E$8:$F$69,2,FALSE))/10^6*(1/($D$5/100))))))),0,METHANE!$J54*(IF('USER INPUTS'!$B$30="Total landfill gas",(1/($D$5/100)),IF('USER INPUTS'!$B$30="Methane",1,IF('USER INPUTS'!$B$30="Carbon dioxide",((1/($D$5/100))-1),(VLOOKUP('USER INPUTS'!$B$30,DEFAULTS!$E$8:$F$69,2,FALSE))/10^6*(1/($D$5/100)))))))</f>
        <v>0</v>
      </c>
      <c r="Q40" s="162">
        <f>IF(Q$8="(short tons/year)",(O40*DEFAULTS!$B$55*DEFAULTS!$B$53/DEFAULTS!$B$54),IF(Q$8="(ft^3/year)",(P40*DEFAULTS!$B$57),IF(Q$8="(av ft^3/min)",(P40*DEFAULTS!$B$57/DEFAULTS!$B$58),0)))</f>
        <v>0</v>
      </c>
    </row>
    <row r="41" spans="1:17">
      <c r="A41" s="68">
        <f>METHANE!I55</f>
        <v>2050</v>
      </c>
      <c r="B41" s="66">
        <f>IF(METHANE!E55&gt;0,METHANE!E55,0)</f>
        <v>0</v>
      </c>
      <c r="C41" s="66">
        <f>IF(METHANE!E55&gt;0,METHANE!E55*DEFAULTS!$B$55*DEFAULTS!$B$53/DEFAULTS!$B$54,0)</f>
        <v>0</v>
      </c>
      <c r="D41" s="66">
        <f>IF(METHANE!F55&gt;0,METHANE!F55,0)</f>
        <v>12946986</v>
      </c>
      <c r="E41" s="66">
        <f>IF(METHANE!F55&gt;0,METHANE!F55*DEFAULTS!$B$55*DEFAULTS!$B$53/DEFAULTS!$B$54,0)</f>
        <v>14241684.6</v>
      </c>
      <c r="F41" s="62">
        <f>IF(ISERROR(METHANE!$J55*DEFAULTS!$B$81*(IF('USER INPUTS'!$B$24="Total landfill gas",(1/($D$5/100)),IF('USER INPUTS'!$B$24="Methane",1,IF('USER INPUTS'!$B$24="Carbon dioxide",((1/($D$5/100))-1),(VLOOKUP('USER INPUTS'!$B$24,DEFAULTS!$E$8:$F$69,2,FALSE))/10^6*(1/($D$5/100))))))),0,METHANE!$J55*DEFAULTS!$B$81*(IF('USER INPUTS'!$B$24="Total landfill gas",(1/($D$5/100)),IF('USER INPUTS'!$B$24="Methane",1,IF('USER INPUTS'!$B$24="Carbon dioxide",((1/($D$5/100))-1),(VLOOKUP('USER INPUTS'!$B$24,DEFAULTS!$E$8:$F$69,2,FALSE))/10^6*(1/($D$5/100)))))))</f>
        <v>0</v>
      </c>
      <c r="G41" s="62">
        <f>IF(ISERROR(METHANE!$J55*(IF('USER INPUTS'!$B$24="Total landfill gas",(1/($D$5/100)),IF('USER INPUTS'!$B$24="Methane",1,IF('USER INPUTS'!$B$24="Carbon dioxide",((1/($D$5/100))-1),(VLOOKUP('USER INPUTS'!$B$24,DEFAULTS!$E$8:$F$69,2,FALSE))/10^6*(1/($D$5/100))))))),0,METHANE!$J55*(IF('USER INPUTS'!$B$24="Total landfill gas",(1/($D$5/100)),IF('USER INPUTS'!$B$24="Methane",1,IF('USER INPUTS'!$B$24="Carbon dioxide",((1/($D$5/100))-1),(VLOOKUP('USER INPUTS'!$B$24,DEFAULTS!$E$8:$F$69,2,FALSE))/10^6*(1/($D$5/100)))))))</f>
        <v>0</v>
      </c>
      <c r="H41" s="62">
        <f>IF(H$8="(short tons/year)",(F41*DEFAULTS!$B$55*DEFAULTS!$B$53/DEFAULTS!$B$54),IF(H$8="(ft^3/year)",(G41*DEFAULTS!$B$57),IF(H$8="(av ft^3/min)",(G41*DEFAULTS!$B$57/DEFAULTS!$B$58),0)))</f>
        <v>0</v>
      </c>
      <c r="I41" s="62">
        <f>IF(ISERROR(METHANE!$J55*DEFAULTS!$B$82*(IF('USER INPUTS'!$B$26="Total landfill gas",(1/($D$5/100)),IF('USER INPUTS'!$B$26="Methane",1,IF('USER INPUTS'!$B$26="Carbon dioxide",((1/($D$5/100))-1),(VLOOKUP('USER INPUTS'!$B$26,DEFAULTS!$E$8:$F$69,2,FALSE))/10^6*(1/($D$5/100))))))),0,METHANE!$J55*DEFAULTS!$B$82*(IF('USER INPUTS'!$B$26="Total landfill gas",(1/($D$5/100)),IF('USER INPUTS'!$B$26="Methane",1,IF('USER INPUTS'!$B$26="Carbon dioxide",((1/($D$5/100))-1),(VLOOKUP('USER INPUTS'!$B$26,DEFAULTS!$E$8:$F$69,2,FALSE))/10^6*(1/($D$5/100)))))))</f>
        <v>0</v>
      </c>
      <c r="J41" s="62">
        <f>IF(ISERROR(METHANE!$J55*(IF('USER INPUTS'!$B$26="Total landfill gas",(1/($D$5/100)),IF('USER INPUTS'!$B$26="Methane",1,IF('USER INPUTS'!$B$26="Carbon dioxide",((1/($D$5/100))-1),(VLOOKUP('USER INPUTS'!$B$26,DEFAULTS!$E$8:$F$69,2,FALSE))/10^6*(1/($D$5/100))))))),0,METHANE!$J55*(IF('USER INPUTS'!$B$26="Total landfill gas",(1/($D$5/100)),IF('USER INPUTS'!$B$26="Methane",1,IF('USER INPUTS'!$B$26="Carbon dioxide",((1/($D$5/100))-1),(VLOOKUP('USER INPUTS'!$B$26,DEFAULTS!$E$8:$F$69,2,FALSE))/10^6*(1/($D$5/100)))))))</f>
        <v>0</v>
      </c>
      <c r="K41" s="62">
        <f>IF(K$8="(short tons/year)",(I41*DEFAULTS!$B$55*DEFAULTS!$B$53/DEFAULTS!$B$54),IF(K$8="(ft^3/year)",(J41*DEFAULTS!$B$57),IF(K$8="(av ft^3/min)",(J41*DEFAULTS!$B$57/DEFAULTS!$B$58),0)))</f>
        <v>0</v>
      </c>
      <c r="L41" s="62">
        <f>IF(ISERROR(METHANE!$J55*DEFAULTS!$B$83*(IF('USER INPUTS'!$B$28="Total landfill gas",(1/($D$5/100)),IF('USER INPUTS'!$B$28="Methane",1,IF('USER INPUTS'!$B$28="Carbon dioxide",((1/($D$5/100))-1),(VLOOKUP('USER INPUTS'!$B$28,DEFAULTS!$E$8:$F$69,2,FALSE))/10^6*(1/($D$5/100))))))),0,METHANE!$J55*DEFAULTS!$B$83*(IF('USER INPUTS'!$B$28="Total landfill gas",(1/($D$5/100)),IF('USER INPUTS'!$B$28="Methane",1,IF('USER INPUTS'!$B$28="Carbon dioxide",((1/($D$5/100))-1),(VLOOKUP('USER INPUTS'!$B$28,DEFAULTS!$E$8:$F$69,2,FALSE))/10^6*(1/($D$5/100)))))))</f>
        <v>39752.674453694352</v>
      </c>
      <c r="M41" s="62">
        <f>IF(ISERROR(METHANE!$J55*(IF('USER INPUTS'!$B$28="Total landfill gas",(1/($D$5/100)),IF('USER INPUTS'!$B$28="Methane",1,IF('USER INPUTS'!$B$28="Carbon dioxide",((1/($D$5/100))-1),(VLOOKUP('USER INPUTS'!$B$28,DEFAULTS!$E$8:$F$69,2,FALSE))/10^6*(1/($D$5/100))))))),0,METHANE!$J55*(IF('USER INPUTS'!$B$28="Total landfill gas",(1/($D$5/100)),IF('USER INPUTS'!$B$28="Methane",1,IF('USER INPUTS'!$B$28="Carbon dioxide",((1/($D$5/100))-1),(VLOOKUP('USER INPUTS'!$B$28,DEFAULTS!$E$8:$F$69,2,FALSE))/10^6*(1/($D$5/100)))))))</f>
        <v>21716853.707909912</v>
      </c>
      <c r="N41" s="62">
        <f>IF(N$8="(short tons/year)",(L41*DEFAULTS!$B$55*DEFAULTS!$B$53/DEFAULTS!$B$54),IF(N$8="(ft^3/year)",(M41*DEFAULTS!$B$57),IF(N$8="(av ft^3/min)",(M41*DEFAULTS!$B$57/DEFAULTS!$B$58),0)))</f>
        <v>1459.1527562687186</v>
      </c>
      <c r="O41" s="62">
        <f>IF(ISERROR(METHANE!$J55*DEFAULTS!$B$84*(IF('USER INPUTS'!$B$30="Total landfill gas",(1/($D$5/100)),IF('USER INPUTS'!$B$30="Methane",1,IF('USER INPUTS'!$B$30="Carbon dioxide",((1/($D$5/100))-1),(VLOOKUP('USER INPUTS'!$B$30,DEFAULTS!$E$8:$F$69,2,FALSE))/10^6*(1/($D$5/100))))))),0,METHANE!$J55*DEFAULTS!$B$84*(IF('USER INPUTS'!$B$30="Total landfill gas",(1/($D$5/100)),IF('USER INPUTS'!$B$30="Methane",1,IF('USER INPUTS'!$B$30="Carbon dioxide",((1/($D$5/100))-1),(VLOOKUP('USER INPUTS'!$B$30,DEFAULTS!$E$8:$F$69,2,FALSE))/10^6*(1/($D$5/100)))))))</f>
        <v>0</v>
      </c>
      <c r="P41" s="62">
        <f>IF(ISERROR(METHANE!$J55*(IF('USER INPUTS'!$B$30="Total landfill gas",(1/($D$5/100)),IF('USER INPUTS'!$B$30="Methane",1,IF('USER INPUTS'!$B$30="Carbon dioxide",((1/($D$5/100))-1),(VLOOKUP('USER INPUTS'!$B$30,DEFAULTS!$E$8:$F$69,2,FALSE))/10^6*(1/($D$5/100))))))),0,METHANE!$J55*(IF('USER INPUTS'!$B$30="Total landfill gas",(1/($D$5/100)),IF('USER INPUTS'!$B$30="Methane",1,IF('USER INPUTS'!$B$30="Carbon dioxide",((1/($D$5/100))-1),(VLOOKUP('USER INPUTS'!$B$30,DEFAULTS!$E$8:$F$69,2,FALSE))/10^6*(1/($D$5/100)))))))</f>
        <v>0</v>
      </c>
      <c r="Q41" s="162">
        <f>IF(Q$8="(short tons/year)",(O41*DEFAULTS!$B$55*DEFAULTS!$B$53/DEFAULTS!$B$54),IF(Q$8="(ft^3/year)",(P41*DEFAULTS!$B$57),IF(Q$8="(av ft^3/min)",(P41*DEFAULTS!$B$57/DEFAULTS!$B$58),0)))</f>
        <v>0</v>
      </c>
    </row>
    <row r="42" spans="1:17">
      <c r="A42" s="68">
        <f>METHANE!I56</f>
        <v>2051</v>
      </c>
      <c r="B42" s="66">
        <f>IF(METHANE!E56&gt;0,METHANE!E56,0)</f>
        <v>0</v>
      </c>
      <c r="C42" s="66">
        <f>IF(METHANE!E56&gt;0,METHANE!E56*DEFAULTS!$B$55*DEFAULTS!$B$53/DEFAULTS!$B$54,0)</f>
        <v>0</v>
      </c>
      <c r="D42" s="66">
        <f>IF(METHANE!F56&gt;0,METHANE!F56,0)</f>
        <v>12946986</v>
      </c>
      <c r="E42" s="66">
        <f>IF(METHANE!F56&gt;0,METHANE!F56*DEFAULTS!$B$55*DEFAULTS!$B$53/DEFAULTS!$B$54,0)</f>
        <v>14241684.6</v>
      </c>
      <c r="F42" s="62">
        <f>IF(ISERROR(METHANE!$J56*DEFAULTS!$B$81*(IF('USER INPUTS'!$B$24="Total landfill gas",(1/($D$5/100)),IF('USER INPUTS'!$B$24="Methane",1,IF('USER INPUTS'!$B$24="Carbon dioxide",((1/($D$5/100))-1),(VLOOKUP('USER INPUTS'!$B$24,DEFAULTS!$E$8:$F$69,2,FALSE))/10^6*(1/($D$5/100))))))),0,METHANE!$J56*DEFAULTS!$B$81*(IF('USER INPUTS'!$B$24="Total landfill gas",(1/($D$5/100)),IF('USER INPUTS'!$B$24="Methane",1,IF('USER INPUTS'!$B$24="Carbon dioxide",((1/($D$5/100))-1),(VLOOKUP('USER INPUTS'!$B$24,DEFAULTS!$E$8:$F$69,2,FALSE))/10^6*(1/($D$5/100)))))))</f>
        <v>0</v>
      </c>
      <c r="G42" s="62">
        <f>IF(ISERROR(METHANE!$J56*(IF('USER INPUTS'!$B$24="Total landfill gas",(1/($D$5/100)),IF('USER INPUTS'!$B$24="Methane",1,IF('USER INPUTS'!$B$24="Carbon dioxide",((1/($D$5/100))-1),(VLOOKUP('USER INPUTS'!$B$24,DEFAULTS!$E$8:$F$69,2,FALSE))/10^6*(1/($D$5/100))))))),0,METHANE!$J56*(IF('USER INPUTS'!$B$24="Total landfill gas",(1/($D$5/100)),IF('USER INPUTS'!$B$24="Methane",1,IF('USER INPUTS'!$B$24="Carbon dioxide",((1/($D$5/100))-1),(VLOOKUP('USER INPUTS'!$B$24,DEFAULTS!$E$8:$F$69,2,FALSE))/10^6*(1/($D$5/100)))))))</f>
        <v>0</v>
      </c>
      <c r="H42" s="62">
        <f>IF(H$8="(short tons/year)",(F42*DEFAULTS!$B$55*DEFAULTS!$B$53/DEFAULTS!$B$54),IF(H$8="(ft^3/year)",(G42*DEFAULTS!$B$57),IF(H$8="(av ft^3/min)",(G42*DEFAULTS!$B$57/DEFAULTS!$B$58),0)))</f>
        <v>0</v>
      </c>
      <c r="I42" s="62">
        <f>IF(ISERROR(METHANE!$J56*DEFAULTS!$B$82*(IF('USER INPUTS'!$B$26="Total landfill gas",(1/($D$5/100)),IF('USER INPUTS'!$B$26="Methane",1,IF('USER INPUTS'!$B$26="Carbon dioxide",((1/($D$5/100))-1),(VLOOKUP('USER INPUTS'!$B$26,DEFAULTS!$E$8:$F$69,2,FALSE))/10^6*(1/($D$5/100))))))),0,METHANE!$J56*DEFAULTS!$B$82*(IF('USER INPUTS'!$B$26="Total landfill gas",(1/($D$5/100)),IF('USER INPUTS'!$B$26="Methane",1,IF('USER INPUTS'!$B$26="Carbon dioxide",((1/($D$5/100))-1),(VLOOKUP('USER INPUTS'!$B$26,DEFAULTS!$E$8:$F$69,2,FALSE))/10^6*(1/($D$5/100)))))))</f>
        <v>0</v>
      </c>
      <c r="J42" s="62">
        <f>IF(ISERROR(METHANE!$J56*(IF('USER INPUTS'!$B$26="Total landfill gas",(1/($D$5/100)),IF('USER INPUTS'!$B$26="Methane",1,IF('USER INPUTS'!$B$26="Carbon dioxide",((1/($D$5/100))-1),(VLOOKUP('USER INPUTS'!$B$26,DEFAULTS!$E$8:$F$69,2,FALSE))/10^6*(1/($D$5/100))))))),0,METHANE!$J56*(IF('USER INPUTS'!$B$26="Total landfill gas",(1/($D$5/100)),IF('USER INPUTS'!$B$26="Methane",1,IF('USER INPUTS'!$B$26="Carbon dioxide",((1/($D$5/100))-1),(VLOOKUP('USER INPUTS'!$B$26,DEFAULTS!$E$8:$F$69,2,FALSE))/10^6*(1/($D$5/100)))))))</f>
        <v>0</v>
      </c>
      <c r="K42" s="62">
        <f>IF(K$8="(short tons/year)",(I42*DEFAULTS!$B$55*DEFAULTS!$B$53/DEFAULTS!$B$54),IF(K$8="(ft^3/year)",(J42*DEFAULTS!$B$57),IF(K$8="(av ft^3/min)",(J42*DEFAULTS!$B$57/DEFAULTS!$B$58),0)))</f>
        <v>0</v>
      </c>
      <c r="L42" s="62">
        <f>IF(ISERROR(METHANE!$J56*DEFAULTS!$B$83*(IF('USER INPUTS'!$B$28="Total landfill gas",(1/($D$5/100)),IF('USER INPUTS'!$B$28="Methane",1,IF('USER INPUTS'!$B$28="Carbon dioxide",((1/($D$5/100))-1),(VLOOKUP('USER INPUTS'!$B$28,DEFAULTS!$E$8:$F$69,2,FALSE))/10^6*(1/($D$5/100))))))),0,METHANE!$J56*DEFAULTS!$B$83*(IF('USER INPUTS'!$B$28="Total landfill gas",(1/($D$5/100)),IF('USER INPUTS'!$B$28="Methane",1,IF('USER INPUTS'!$B$28="Carbon dioxide",((1/($D$5/100))-1),(VLOOKUP('USER INPUTS'!$B$28,DEFAULTS!$E$8:$F$69,2,FALSE))/10^6*(1/($D$5/100)))))))</f>
        <v>38193.949793169879</v>
      </c>
      <c r="M42" s="62">
        <f>IF(ISERROR(METHANE!$J56*(IF('USER INPUTS'!$B$28="Total landfill gas",(1/($D$5/100)),IF('USER INPUTS'!$B$28="Methane",1,IF('USER INPUTS'!$B$28="Carbon dioxide",((1/($D$5/100))-1),(VLOOKUP('USER INPUTS'!$B$28,DEFAULTS!$E$8:$F$69,2,FALSE))/10^6*(1/($D$5/100))))))),0,METHANE!$J56*(IF('USER INPUTS'!$B$28="Total landfill gas",(1/($D$5/100)),IF('USER INPUTS'!$B$28="Methane",1,IF('USER INPUTS'!$B$28="Carbon dioxide",((1/($D$5/100))-1),(VLOOKUP('USER INPUTS'!$B$28,DEFAULTS!$E$8:$F$69,2,FALSE))/10^6*(1/($D$5/100)))))))</f>
        <v>20865323.694175813</v>
      </c>
      <c r="N42" s="62">
        <f>IF(N$8="(short tons/year)",(L42*DEFAULTS!$B$55*DEFAULTS!$B$53/DEFAULTS!$B$54),IF(N$8="(ft^3/year)",(M42*DEFAULTS!$B$57),IF(N$8="(av ft^3/min)",(M42*DEFAULTS!$B$57/DEFAULTS!$B$58),0)))</f>
        <v>1401.9385583329886</v>
      </c>
      <c r="O42" s="62">
        <f>IF(ISERROR(METHANE!$J56*DEFAULTS!$B$84*(IF('USER INPUTS'!$B$30="Total landfill gas",(1/($D$5/100)),IF('USER INPUTS'!$B$30="Methane",1,IF('USER INPUTS'!$B$30="Carbon dioxide",((1/($D$5/100))-1),(VLOOKUP('USER INPUTS'!$B$30,DEFAULTS!$E$8:$F$69,2,FALSE))/10^6*(1/($D$5/100))))))),0,METHANE!$J56*DEFAULTS!$B$84*(IF('USER INPUTS'!$B$30="Total landfill gas",(1/($D$5/100)),IF('USER INPUTS'!$B$30="Methane",1,IF('USER INPUTS'!$B$30="Carbon dioxide",((1/($D$5/100))-1),(VLOOKUP('USER INPUTS'!$B$30,DEFAULTS!$E$8:$F$69,2,FALSE))/10^6*(1/($D$5/100)))))))</f>
        <v>0</v>
      </c>
      <c r="P42" s="62">
        <f>IF(ISERROR(METHANE!$J56*(IF('USER INPUTS'!$B$30="Total landfill gas",(1/($D$5/100)),IF('USER INPUTS'!$B$30="Methane",1,IF('USER INPUTS'!$B$30="Carbon dioxide",((1/($D$5/100))-1),(VLOOKUP('USER INPUTS'!$B$30,DEFAULTS!$E$8:$F$69,2,FALSE))/10^6*(1/($D$5/100))))))),0,METHANE!$J56*(IF('USER INPUTS'!$B$30="Total landfill gas",(1/($D$5/100)),IF('USER INPUTS'!$B$30="Methane",1,IF('USER INPUTS'!$B$30="Carbon dioxide",((1/($D$5/100))-1),(VLOOKUP('USER INPUTS'!$B$30,DEFAULTS!$E$8:$F$69,2,FALSE))/10^6*(1/($D$5/100)))))))</f>
        <v>0</v>
      </c>
      <c r="Q42" s="162">
        <f>IF(Q$8="(short tons/year)",(O42*DEFAULTS!$B$55*DEFAULTS!$B$53/DEFAULTS!$B$54),IF(Q$8="(ft^3/year)",(P42*DEFAULTS!$B$57),IF(Q$8="(av ft^3/min)",(P42*DEFAULTS!$B$57/DEFAULTS!$B$58),0)))</f>
        <v>0</v>
      </c>
    </row>
    <row r="43" spans="1:17">
      <c r="A43" s="68">
        <f>METHANE!I57</f>
        <v>2052</v>
      </c>
      <c r="B43" s="66">
        <f>IF(METHANE!E57&gt;0,METHANE!E57,0)</f>
        <v>0</v>
      </c>
      <c r="C43" s="66">
        <f>IF(METHANE!E57&gt;0,METHANE!E57*DEFAULTS!$B$55*DEFAULTS!$B$53/DEFAULTS!$B$54,0)</f>
        <v>0</v>
      </c>
      <c r="D43" s="66">
        <f>IF(METHANE!F57&gt;0,METHANE!F57,0)</f>
        <v>12946986</v>
      </c>
      <c r="E43" s="66">
        <f>IF(METHANE!F57&gt;0,METHANE!F57*DEFAULTS!$B$55*DEFAULTS!$B$53/DEFAULTS!$B$54,0)</f>
        <v>14241684.6</v>
      </c>
      <c r="F43" s="62">
        <f>IF(ISERROR(METHANE!$J57*DEFAULTS!$B$81*(IF('USER INPUTS'!$B$24="Total landfill gas",(1/($D$5/100)),IF('USER INPUTS'!$B$24="Methane",1,IF('USER INPUTS'!$B$24="Carbon dioxide",((1/($D$5/100))-1),(VLOOKUP('USER INPUTS'!$B$24,DEFAULTS!$E$8:$F$69,2,FALSE))/10^6*(1/($D$5/100))))))),0,METHANE!$J57*DEFAULTS!$B$81*(IF('USER INPUTS'!$B$24="Total landfill gas",(1/($D$5/100)),IF('USER INPUTS'!$B$24="Methane",1,IF('USER INPUTS'!$B$24="Carbon dioxide",((1/($D$5/100))-1),(VLOOKUP('USER INPUTS'!$B$24,DEFAULTS!$E$8:$F$69,2,FALSE))/10^6*(1/($D$5/100)))))))</f>
        <v>0</v>
      </c>
      <c r="G43" s="62">
        <f>IF(ISERROR(METHANE!$J57*(IF('USER INPUTS'!$B$24="Total landfill gas",(1/($D$5/100)),IF('USER INPUTS'!$B$24="Methane",1,IF('USER INPUTS'!$B$24="Carbon dioxide",((1/($D$5/100))-1),(VLOOKUP('USER INPUTS'!$B$24,DEFAULTS!$E$8:$F$69,2,FALSE))/10^6*(1/($D$5/100))))))),0,METHANE!$J57*(IF('USER INPUTS'!$B$24="Total landfill gas",(1/($D$5/100)),IF('USER INPUTS'!$B$24="Methane",1,IF('USER INPUTS'!$B$24="Carbon dioxide",((1/($D$5/100))-1),(VLOOKUP('USER INPUTS'!$B$24,DEFAULTS!$E$8:$F$69,2,FALSE))/10^6*(1/($D$5/100)))))))</f>
        <v>0</v>
      </c>
      <c r="H43" s="62">
        <f>IF(H$8="(short tons/year)",(F43*DEFAULTS!$B$55*DEFAULTS!$B$53/DEFAULTS!$B$54),IF(H$8="(ft^3/year)",(G43*DEFAULTS!$B$57),IF(H$8="(av ft^3/min)",(G43*DEFAULTS!$B$57/DEFAULTS!$B$58),0)))</f>
        <v>0</v>
      </c>
      <c r="I43" s="62">
        <f>IF(ISERROR(METHANE!$J57*DEFAULTS!$B$82*(IF('USER INPUTS'!$B$26="Total landfill gas",(1/($D$5/100)),IF('USER INPUTS'!$B$26="Methane",1,IF('USER INPUTS'!$B$26="Carbon dioxide",((1/($D$5/100))-1),(VLOOKUP('USER INPUTS'!$B$26,DEFAULTS!$E$8:$F$69,2,FALSE))/10^6*(1/($D$5/100))))))),0,METHANE!$J57*DEFAULTS!$B$82*(IF('USER INPUTS'!$B$26="Total landfill gas",(1/($D$5/100)),IF('USER INPUTS'!$B$26="Methane",1,IF('USER INPUTS'!$B$26="Carbon dioxide",((1/($D$5/100))-1),(VLOOKUP('USER INPUTS'!$B$26,DEFAULTS!$E$8:$F$69,2,FALSE))/10^6*(1/($D$5/100)))))))</f>
        <v>0</v>
      </c>
      <c r="J43" s="62">
        <f>IF(ISERROR(METHANE!$J57*(IF('USER INPUTS'!$B$26="Total landfill gas",(1/($D$5/100)),IF('USER INPUTS'!$B$26="Methane",1,IF('USER INPUTS'!$B$26="Carbon dioxide",((1/($D$5/100))-1),(VLOOKUP('USER INPUTS'!$B$26,DEFAULTS!$E$8:$F$69,2,FALSE))/10^6*(1/($D$5/100))))))),0,METHANE!$J57*(IF('USER INPUTS'!$B$26="Total landfill gas",(1/($D$5/100)),IF('USER INPUTS'!$B$26="Methane",1,IF('USER INPUTS'!$B$26="Carbon dioxide",((1/($D$5/100))-1),(VLOOKUP('USER INPUTS'!$B$26,DEFAULTS!$E$8:$F$69,2,FALSE))/10^6*(1/($D$5/100)))))))</f>
        <v>0</v>
      </c>
      <c r="K43" s="62">
        <f>IF(K$8="(short tons/year)",(I43*DEFAULTS!$B$55*DEFAULTS!$B$53/DEFAULTS!$B$54),IF(K$8="(ft^3/year)",(J43*DEFAULTS!$B$57),IF(K$8="(av ft^3/min)",(J43*DEFAULTS!$B$57/DEFAULTS!$B$58),0)))</f>
        <v>0</v>
      </c>
      <c r="L43" s="62">
        <f>IF(ISERROR(METHANE!$J57*DEFAULTS!$B$83*(IF('USER INPUTS'!$B$28="Total landfill gas",(1/($D$5/100)),IF('USER INPUTS'!$B$28="Methane",1,IF('USER INPUTS'!$B$28="Carbon dioxide",((1/($D$5/100))-1),(VLOOKUP('USER INPUTS'!$B$28,DEFAULTS!$E$8:$F$69,2,FALSE))/10^6*(1/($D$5/100))))))),0,METHANE!$J57*DEFAULTS!$B$83*(IF('USER INPUTS'!$B$28="Total landfill gas",(1/($D$5/100)),IF('USER INPUTS'!$B$28="Methane",1,IF('USER INPUTS'!$B$28="Carbon dioxide",((1/($D$5/100))-1),(VLOOKUP('USER INPUTS'!$B$28,DEFAULTS!$E$8:$F$69,2,FALSE))/10^6*(1/($D$5/100)))))))</f>
        <v>36696.343600791675</v>
      </c>
      <c r="M43" s="62">
        <f>IF(ISERROR(METHANE!$J57*(IF('USER INPUTS'!$B$28="Total landfill gas",(1/($D$5/100)),IF('USER INPUTS'!$B$28="Methane",1,IF('USER INPUTS'!$B$28="Carbon dioxide",((1/($D$5/100))-1),(VLOOKUP('USER INPUTS'!$B$28,DEFAULTS!$E$8:$F$69,2,FALSE))/10^6*(1/($D$5/100))))))),0,METHANE!$J57*(IF('USER INPUTS'!$B$28="Total landfill gas",(1/($D$5/100)),IF('USER INPUTS'!$B$28="Methane",1,IF('USER INPUTS'!$B$28="Carbon dioxide",((1/($D$5/100))-1),(VLOOKUP('USER INPUTS'!$B$28,DEFAULTS!$E$8:$F$69,2,FALSE))/10^6*(1/($D$5/100)))))))</f>
        <v>20047182.649858858</v>
      </c>
      <c r="N43" s="62">
        <f>IF(N$8="(short tons/year)",(L43*DEFAULTS!$B$55*DEFAULTS!$B$53/DEFAULTS!$B$54),IF(N$8="(ft^3/year)",(M43*DEFAULTS!$B$57),IF(N$8="(av ft^3/min)",(M43*DEFAULTS!$B$57/DEFAULTS!$B$58),0)))</f>
        <v>1346.9677611867685</v>
      </c>
      <c r="O43" s="62">
        <f>IF(ISERROR(METHANE!$J57*DEFAULTS!$B$84*(IF('USER INPUTS'!$B$30="Total landfill gas",(1/($D$5/100)),IF('USER INPUTS'!$B$30="Methane",1,IF('USER INPUTS'!$B$30="Carbon dioxide",((1/($D$5/100))-1),(VLOOKUP('USER INPUTS'!$B$30,DEFAULTS!$E$8:$F$69,2,FALSE))/10^6*(1/($D$5/100))))))),0,METHANE!$J57*DEFAULTS!$B$84*(IF('USER INPUTS'!$B$30="Total landfill gas",(1/($D$5/100)),IF('USER INPUTS'!$B$30="Methane",1,IF('USER INPUTS'!$B$30="Carbon dioxide",((1/($D$5/100))-1),(VLOOKUP('USER INPUTS'!$B$30,DEFAULTS!$E$8:$F$69,2,FALSE))/10^6*(1/($D$5/100)))))))</f>
        <v>0</v>
      </c>
      <c r="P43" s="62">
        <f>IF(ISERROR(METHANE!$J57*(IF('USER INPUTS'!$B$30="Total landfill gas",(1/($D$5/100)),IF('USER INPUTS'!$B$30="Methane",1,IF('USER INPUTS'!$B$30="Carbon dioxide",((1/($D$5/100))-1),(VLOOKUP('USER INPUTS'!$B$30,DEFAULTS!$E$8:$F$69,2,FALSE))/10^6*(1/($D$5/100))))))),0,METHANE!$J57*(IF('USER INPUTS'!$B$30="Total landfill gas",(1/($D$5/100)),IF('USER INPUTS'!$B$30="Methane",1,IF('USER INPUTS'!$B$30="Carbon dioxide",((1/($D$5/100))-1),(VLOOKUP('USER INPUTS'!$B$30,DEFAULTS!$E$8:$F$69,2,FALSE))/10^6*(1/($D$5/100)))))))</f>
        <v>0</v>
      </c>
      <c r="Q43" s="162">
        <f>IF(Q$8="(short tons/year)",(O43*DEFAULTS!$B$55*DEFAULTS!$B$53/DEFAULTS!$B$54),IF(Q$8="(ft^3/year)",(P43*DEFAULTS!$B$57),IF(Q$8="(av ft^3/min)",(P43*DEFAULTS!$B$57/DEFAULTS!$B$58),0)))</f>
        <v>0</v>
      </c>
    </row>
    <row r="44" spans="1:17">
      <c r="A44" s="68">
        <f>METHANE!I58</f>
        <v>2053</v>
      </c>
      <c r="B44" s="66">
        <f>IF(METHANE!E58&gt;0,METHANE!E58,0)</f>
        <v>0</v>
      </c>
      <c r="C44" s="66">
        <f>IF(METHANE!E58&gt;0,METHANE!E58*DEFAULTS!$B$55*DEFAULTS!$B$53/DEFAULTS!$B$54,0)</f>
        <v>0</v>
      </c>
      <c r="D44" s="66">
        <f>IF(METHANE!F58&gt;0,METHANE!F58,0)</f>
        <v>12946986</v>
      </c>
      <c r="E44" s="66">
        <f>IF(METHANE!F58&gt;0,METHANE!F58*DEFAULTS!$B$55*DEFAULTS!$B$53/DEFAULTS!$B$54,0)</f>
        <v>14241684.6</v>
      </c>
      <c r="F44" s="62">
        <f>IF(ISERROR(METHANE!$J58*DEFAULTS!$B$81*(IF('USER INPUTS'!$B$24="Total landfill gas",(1/($D$5/100)),IF('USER INPUTS'!$B$24="Methane",1,IF('USER INPUTS'!$B$24="Carbon dioxide",((1/($D$5/100))-1),(VLOOKUP('USER INPUTS'!$B$24,DEFAULTS!$E$8:$F$69,2,FALSE))/10^6*(1/($D$5/100))))))),0,METHANE!$J58*DEFAULTS!$B$81*(IF('USER INPUTS'!$B$24="Total landfill gas",(1/($D$5/100)),IF('USER INPUTS'!$B$24="Methane",1,IF('USER INPUTS'!$B$24="Carbon dioxide",((1/($D$5/100))-1),(VLOOKUP('USER INPUTS'!$B$24,DEFAULTS!$E$8:$F$69,2,FALSE))/10^6*(1/($D$5/100)))))))</f>
        <v>0</v>
      </c>
      <c r="G44" s="62">
        <f>IF(ISERROR(METHANE!$J58*(IF('USER INPUTS'!$B$24="Total landfill gas",(1/($D$5/100)),IF('USER INPUTS'!$B$24="Methane",1,IF('USER INPUTS'!$B$24="Carbon dioxide",((1/($D$5/100))-1),(VLOOKUP('USER INPUTS'!$B$24,DEFAULTS!$E$8:$F$69,2,FALSE))/10^6*(1/($D$5/100))))))),0,METHANE!$J58*(IF('USER INPUTS'!$B$24="Total landfill gas",(1/($D$5/100)),IF('USER INPUTS'!$B$24="Methane",1,IF('USER INPUTS'!$B$24="Carbon dioxide",((1/($D$5/100))-1),(VLOOKUP('USER INPUTS'!$B$24,DEFAULTS!$E$8:$F$69,2,FALSE))/10^6*(1/($D$5/100)))))))</f>
        <v>0</v>
      </c>
      <c r="H44" s="62">
        <f>IF(H$8="(short tons/year)",(F44*DEFAULTS!$B$55*DEFAULTS!$B$53/DEFAULTS!$B$54),IF(H$8="(ft^3/year)",(G44*DEFAULTS!$B$57),IF(H$8="(av ft^3/min)",(G44*DEFAULTS!$B$57/DEFAULTS!$B$58),0)))</f>
        <v>0</v>
      </c>
      <c r="I44" s="62">
        <f>IF(ISERROR(METHANE!$J58*DEFAULTS!$B$82*(IF('USER INPUTS'!$B$26="Total landfill gas",(1/($D$5/100)),IF('USER INPUTS'!$B$26="Methane",1,IF('USER INPUTS'!$B$26="Carbon dioxide",((1/($D$5/100))-1),(VLOOKUP('USER INPUTS'!$B$26,DEFAULTS!$E$8:$F$69,2,FALSE))/10^6*(1/($D$5/100))))))),0,METHANE!$J58*DEFAULTS!$B$82*(IF('USER INPUTS'!$B$26="Total landfill gas",(1/($D$5/100)),IF('USER INPUTS'!$B$26="Methane",1,IF('USER INPUTS'!$B$26="Carbon dioxide",((1/($D$5/100))-1),(VLOOKUP('USER INPUTS'!$B$26,DEFAULTS!$E$8:$F$69,2,FALSE))/10^6*(1/($D$5/100)))))))</f>
        <v>0</v>
      </c>
      <c r="J44" s="62">
        <f>IF(ISERROR(METHANE!$J58*(IF('USER INPUTS'!$B$26="Total landfill gas",(1/($D$5/100)),IF('USER INPUTS'!$B$26="Methane",1,IF('USER INPUTS'!$B$26="Carbon dioxide",((1/($D$5/100))-1),(VLOOKUP('USER INPUTS'!$B$26,DEFAULTS!$E$8:$F$69,2,FALSE))/10^6*(1/($D$5/100))))))),0,METHANE!$J58*(IF('USER INPUTS'!$B$26="Total landfill gas",(1/($D$5/100)),IF('USER INPUTS'!$B$26="Methane",1,IF('USER INPUTS'!$B$26="Carbon dioxide",((1/($D$5/100))-1),(VLOOKUP('USER INPUTS'!$B$26,DEFAULTS!$E$8:$F$69,2,FALSE))/10^6*(1/($D$5/100)))))))</f>
        <v>0</v>
      </c>
      <c r="K44" s="62">
        <f>IF(K$8="(short tons/year)",(I44*DEFAULTS!$B$55*DEFAULTS!$B$53/DEFAULTS!$B$54),IF(K$8="(ft^3/year)",(J44*DEFAULTS!$B$57),IF(K$8="(av ft^3/min)",(J44*DEFAULTS!$B$57/DEFAULTS!$B$58),0)))</f>
        <v>0</v>
      </c>
      <c r="L44" s="62">
        <f>IF(ISERROR(METHANE!$J58*DEFAULTS!$B$83*(IF('USER INPUTS'!$B$28="Total landfill gas",(1/($D$5/100)),IF('USER INPUTS'!$B$28="Methane",1,IF('USER INPUTS'!$B$28="Carbon dioxide",((1/($D$5/100))-1),(VLOOKUP('USER INPUTS'!$B$28,DEFAULTS!$E$8:$F$69,2,FALSE))/10^6*(1/($D$5/100))))))),0,METHANE!$J58*DEFAULTS!$B$83*(IF('USER INPUTS'!$B$28="Total landfill gas",(1/($D$5/100)),IF('USER INPUTS'!$B$28="Methane",1,IF('USER INPUTS'!$B$28="Carbon dioxide",((1/($D$5/100))-1),(VLOOKUP('USER INPUTS'!$B$28,DEFAULTS!$E$8:$F$69,2,FALSE))/10^6*(1/($D$5/100)))))))</f>
        <v>35257.45938714558</v>
      </c>
      <c r="M44" s="62">
        <f>IF(ISERROR(METHANE!$J58*(IF('USER INPUTS'!$B$28="Total landfill gas",(1/($D$5/100)),IF('USER INPUTS'!$B$28="Methane",1,IF('USER INPUTS'!$B$28="Carbon dioxide",((1/($D$5/100))-1),(VLOOKUP('USER INPUTS'!$B$28,DEFAULTS!$E$8:$F$69,2,FALSE))/10^6*(1/($D$5/100))))))),0,METHANE!$J58*(IF('USER INPUTS'!$B$28="Total landfill gas",(1/($D$5/100)),IF('USER INPUTS'!$B$28="Methane",1,IF('USER INPUTS'!$B$28="Carbon dioxide",((1/($D$5/100))-1),(VLOOKUP('USER INPUTS'!$B$28,DEFAULTS!$E$8:$F$69,2,FALSE))/10^6*(1/($D$5/100)))))))</f>
        <v>19261121.37474208</v>
      </c>
      <c r="N44" s="62">
        <f>IF(N$8="(short tons/year)",(L44*DEFAULTS!$B$55*DEFAULTS!$B$53/DEFAULTS!$B$54),IF(N$8="(ft^3/year)",(M44*DEFAULTS!$B$57),IF(N$8="(av ft^3/min)",(M44*DEFAULTS!$B$57/DEFAULTS!$B$58),0)))</f>
        <v>1294.152399826896</v>
      </c>
      <c r="O44" s="62">
        <f>IF(ISERROR(METHANE!$J58*DEFAULTS!$B$84*(IF('USER INPUTS'!$B$30="Total landfill gas",(1/($D$5/100)),IF('USER INPUTS'!$B$30="Methane",1,IF('USER INPUTS'!$B$30="Carbon dioxide",((1/($D$5/100))-1),(VLOOKUP('USER INPUTS'!$B$30,DEFAULTS!$E$8:$F$69,2,FALSE))/10^6*(1/($D$5/100))))))),0,METHANE!$J58*DEFAULTS!$B$84*(IF('USER INPUTS'!$B$30="Total landfill gas",(1/($D$5/100)),IF('USER INPUTS'!$B$30="Methane",1,IF('USER INPUTS'!$B$30="Carbon dioxide",((1/($D$5/100))-1),(VLOOKUP('USER INPUTS'!$B$30,DEFAULTS!$E$8:$F$69,2,FALSE))/10^6*(1/($D$5/100)))))))</f>
        <v>0</v>
      </c>
      <c r="P44" s="62">
        <f>IF(ISERROR(METHANE!$J58*(IF('USER INPUTS'!$B$30="Total landfill gas",(1/($D$5/100)),IF('USER INPUTS'!$B$30="Methane",1,IF('USER INPUTS'!$B$30="Carbon dioxide",((1/($D$5/100))-1),(VLOOKUP('USER INPUTS'!$B$30,DEFAULTS!$E$8:$F$69,2,FALSE))/10^6*(1/($D$5/100))))))),0,METHANE!$J58*(IF('USER INPUTS'!$B$30="Total landfill gas",(1/($D$5/100)),IF('USER INPUTS'!$B$30="Methane",1,IF('USER INPUTS'!$B$30="Carbon dioxide",((1/($D$5/100))-1),(VLOOKUP('USER INPUTS'!$B$30,DEFAULTS!$E$8:$F$69,2,FALSE))/10^6*(1/($D$5/100)))))))</f>
        <v>0</v>
      </c>
      <c r="Q44" s="162">
        <f>IF(Q$8="(short tons/year)",(O44*DEFAULTS!$B$55*DEFAULTS!$B$53/DEFAULTS!$B$54),IF(Q$8="(ft^3/year)",(P44*DEFAULTS!$B$57),IF(Q$8="(av ft^3/min)",(P44*DEFAULTS!$B$57/DEFAULTS!$B$58),0)))</f>
        <v>0</v>
      </c>
    </row>
    <row r="45" spans="1:17">
      <c r="A45" s="68">
        <f>METHANE!I59</f>
        <v>2054</v>
      </c>
      <c r="B45" s="66">
        <f>IF(METHANE!E59&gt;0,METHANE!E59,0)</f>
        <v>0</v>
      </c>
      <c r="C45" s="66">
        <f>IF(METHANE!E59&gt;0,METHANE!E59*DEFAULTS!$B$55*DEFAULTS!$B$53/DEFAULTS!$B$54,0)</f>
        <v>0</v>
      </c>
      <c r="D45" s="66">
        <f>IF(METHANE!F59&gt;0,METHANE!F59,0)</f>
        <v>12946986</v>
      </c>
      <c r="E45" s="66">
        <f>IF(METHANE!F59&gt;0,METHANE!F59*DEFAULTS!$B$55*DEFAULTS!$B$53/DEFAULTS!$B$54,0)</f>
        <v>14241684.6</v>
      </c>
      <c r="F45" s="62">
        <f>IF(ISERROR(METHANE!$J59*DEFAULTS!$B$81*(IF('USER INPUTS'!$B$24="Total landfill gas",(1/($D$5/100)),IF('USER INPUTS'!$B$24="Methane",1,IF('USER INPUTS'!$B$24="Carbon dioxide",((1/($D$5/100))-1),(VLOOKUP('USER INPUTS'!$B$24,DEFAULTS!$E$8:$F$69,2,FALSE))/10^6*(1/($D$5/100))))))),0,METHANE!$J59*DEFAULTS!$B$81*(IF('USER INPUTS'!$B$24="Total landfill gas",(1/($D$5/100)),IF('USER INPUTS'!$B$24="Methane",1,IF('USER INPUTS'!$B$24="Carbon dioxide",((1/($D$5/100))-1),(VLOOKUP('USER INPUTS'!$B$24,DEFAULTS!$E$8:$F$69,2,FALSE))/10^6*(1/($D$5/100)))))))</f>
        <v>0</v>
      </c>
      <c r="G45" s="62">
        <f>IF(ISERROR(METHANE!$J59*(IF('USER INPUTS'!$B$24="Total landfill gas",(1/($D$5/100)),IF('USER INPUTS'!$B$24="Methane",1,IF('USER INPUTS'!$B$24="Carbon dioxide",((1/($D$5/100))-1),(VLOOKUP('USER INPUTS'!$B$24,DEFAULTS!$E$8:$F$69,2,FALSE))/10^6*(1/($D$5/100))))))),0,METHANE!$J59*(IF('USER INPUTS'!$B$24="Total landfill gas",(1/($D$5/100)),IF('USER INPUTS'!$B$24="Methane",1,IF('USER INPUTS'!$B$24="Carbon dioxide",((1/($D$5/100))-1),(VLOOKUP('USER INPUTS'!$B$24,DEFAULTS!$E$8:$F$69,2,FALSE))/10^6*(1/($D$5/100)))))))</f>
        <v>0</v>
      </c>
      <c r="H45" s="62">
        <f>IF(H$8="(short tons/year)",(F45*DEFAULTS!$B$55*DEFAULTS!$B$53/DEFAULTS!$B$54),IF(H$8="(ft^3/year)",(G45*DEFAULTS!$B$57),IF(H$8="(av ft^3/min)",(G45*DEFAULTS!$B$57/DEFAULTS!$B$58),0)))</f>
        <v>0</v>
      </c>
      <c r="I45" s="62">
        <f>IF(ISERROR(METHANE!$J59*DEFAULTS!$B$82*(IF('USER INPUTS'!$B$26="Total landfill gas",(1/($D$5/100)),IF('USER INPUTS'!$B$26="Methane",1,IF('USER INPUTS'!$B$26="Carbon dioxide",((1/($D$5/100))-1),(VLOOKUP('USER INPUTS'!$B$26,DEFAULTS!$E$8:$F$69,2,FALSE))/10^6*(1/($D$5/100))))))),0,METHANE!$J59*DEFAULTS!$B$82*(IF('USER INPUTS'!$B$26="Total landfill gas",(1/($D$5/100)),IF('USER INPUTS'!$B$26="Methane",1,IF('USER INPUTS'!$B$26="Carbon dioxide",((1/($D$5/100))-1),(VLOOKUP('USER INPUTS'!$B$26,DEFAULTS!$E$8:$F$69,2,FALSE))/10^6*(1/($D$5/100)))))))</f>
        <v>0</v>
      </c>
      <c r="J45" s="62">
        <f>IF(ISERROR(METHANE!$J59*(IF('USER INPUTS'!$B$26="Total landfill gas",(1/($D$5/100)),IF('USER INPUTS'!$B$26="Methane",1,IF('USER INPUTS'!$B$26="Carbon dioxide",((1/($D$5/100))-1),(VLOOKUP('USER INPUTS'!$B$26,DEFAULTS!$E$8:$F$69,2,FALSE))/10^6*(1/($D$5/100))))))),0,METHANE!$J59*(IF('USER INPUTS'!$B$26="Total landfill gas",(1/($D$5/100)),IF('USER INPUTS'!$B$26="Methane",1,IF('USER INPUTS'!$B$26="Carbon dioxide",((1/($D$5/100))-1),(VLOOKUP('USER INPUTS'!$B$26,DEFAULTS!$E$8:$F$69,2,FALSE))/10^6*(1/($D$5/100)))))))</f>
        <v>0</v>
      </c>
      <c r="K45" s="62">
        <f>IF(K$8="(short tons/year)",(I45*DEFAULTS!$B$55*DEFAULTS!$B$53/DEFAULTS!$B$54),IF(K$8="(ft^3/year)",(J45*DEFAULTS!$B$57),IF(K$8="(av ft^3/min)",(J45*DEFAULTS!$B$57/DEFAULTS!$B$58),0)))</f>
        <v>0</v>
      </c>
      <c r="L45" s="62">
        <f>IF(ISERROR(METHANE!$J59*DEFAULTS!$B$83*(IF('USER INPUTS'!$B$28="Total landfill gas",(1/($D$5/100)),IF('USER INPUTS'!$B$28="Methane",1,IF('USER INPUTS'!$B$28="Carbon dioxide",((1/($D$5/100))-1),(VLOOKUP('USER INPUTS'!$B$28,DEFAULTS!$E$8:$F$69,2,FALSE))/10^6*(1/($D$5/100))))))),0,METHANE!$J59*DEFAULTS!$B$83*(IF('USER INPUTS'!$B$28="Total landfill gas",(1/($D$5/100)),IF('USER INPUTS'!$B$28="Methane",1,IF('USER INPUTS'!$B$28="Carbon dioxide",((1/($D$5/100))-1),(VLOOKUP('USER INPUTS'!$B$28,DEFAULTS!$E$8:$F$69,2,FALSE))/10^6*(1/($D$5/100)))))))</f>
        <v>33874.994630511421</v>
      </c>
      <c r="M45" s="62">
        <f>IF(ISERROR(METHANE!$J59*(IF('USER INPUTS'!$B$28="Total landfill gas",(1/($D$5/100)),IF('USER INPUTS'!$B$28="Methane",1,IF('USER INPUTS'!$B$28="Carbon dioxide",((1/($D$5/100))-1),(VLOOKUP('USER INPUTS'!$B$28,DEFAULTS!$E$8:$F$69,2,FALSE))/10^6*(1/($D$5/100))))))),0,METHANE!$J59*(IF('USER INPUTS'!$B$28="Total landfill gas",(1/($D$5/100)),IF('USER INPUTS'!$B$28="Methane",1,IF('USER INPUTS'!$B$28="Carbon dioxide",((1/($D$5/100))-1),(VLOOKUP('USER INPUTS'!$B$28,DEFAULTS!$E$8:$F$69,2,FALSE))/10^6*(1/($D$5/100)))))))</f>
        <v>18505882.00308327</v>
      </c>
      <c r="N45" s="62">
        <f>IF(N$8="(short tons/year)",(L45*DEFAULTS!$B$55*DEFAULTS!$B$53/DEFAULTS!$B$54),IF(N$8="(ft^3/year)",(M45*DEFAULTS!$B$57),IF(N$8="(av ft^3/min)",(M45*DEFAULTS!$B$57/DEFAULTS!$B$58),0)))</f>
        <v>1243.4079584073168</v>
      </c>
      <c r="O45" s="62">
        <f>IF(ISERROR(METHANE!$J59*DEFAULTS!$B$84*(IF('USER INPUTS'!$B$30="Total landfill gas",(1/($D$5/100)),IF('USER INPUTS'!$B$30="Methane",1,IF('USER INPUTS'!$B$30="Carbon dioxide",((1/($D$5/100))-1),(VLOOKUP('USER INPUTS'!$B$30,DEFAULTS!$E$8:$F$69,2,FALSE))/10^6*(1/($D$5/100))))))),0,METHANE!$J59*DEFAULTS!$B$84*(IF('USER INPUTS'!$B$30="Total landfill gas",(1/($D$5/100)),IF('USER INPUTS'!$B$30="Methane",1,IF('USER INPUTS'!$B$30="Carbon dioxide",((1/($D$5/100))-1),(VLOOKUP('USER INPUTS'!$B$30,DEFAULTS!$E$8:$F$69,2,FALSE))/10^6*(1/($D$5/100)))))))</f>
        <v>0</v>
      </c>
      <c r="P45" s="62">
        <f>IF(ISERROR(METHANE!$J59*(IF('USER INPUTS'!$B$30="Total landfill gas",(1/($D$5/100)),IF('USER INPUTS'!$B$30="Methane",1,IF('USER INPUTS'!$B$30="Carbon dioxide",((1/($D$5/100))-1),(VLOOKUP('USER INPUTS'!$B$30,DEFAULTS!$E$8:$F$69,2,FALSE))/10^6*(1/($D$5/100))))))),0,METHANE!$J59*(IF('USER INPUTS'!$B$30="Total landfill gas",(1/($D$5/100)),IF('USER INPUTS'!$B$30="Methane",1,IF('USER INPUTS'!$B$30="Carbon dioxide",((1/($D$5/100))-1),(VLOOKUP('USER INPUTS'!$B$30,DEFAULTS!$E$8:$F$69,2,FALSE))/10^6*(1/($D$5/100)))))))</f>
        <v>0</v>
      </c>
      <c r="Q45" s="162">
        <f>IF(Q$8="(short tons/year)",(O45*DEFAULTS!$B$55*DEFAULTS!$B$53/DEFAULTS!$B$54),IF(Q$8="(ft^3/year)",(P45*DEFAULTS!$B$57),IF(Q$8="(av ft^3/min)",(P45*DEFAULTS!$B$57/DEFAULTS!$B$58),0)))</f>
        <v>0</v>
      </c>
    </row>
    <row r="46" spans="1:17">
      <c r="A46" s="68">
        <f>METHANE!I60</f>
        <v>2055</v>
      </c>
      <c r="B46" s="66">
        <f>IF(METHANE!E60&gt;0,METHANE!E60,0)</f>
        <v>0</v>
      </c>
      <c r="C46" s="66">
        <f>IF(METHANE!E60&gt;0,METHANE!E60*DEFAULTS!$B$55*DEFAULTS!$B$53/DEFAULTS!$B$54,0)</f>
        <v>0</v>
      </c>
      <c r="D46" s="66">
        <f>IF(METHANE!F60&gt;0,METHANE!F60,0)</f>
        <v>12946986</v>
      </c>
      <c r="E46" s="66">
        <f>IF(METHANE!F60&gt;0,METHANE!F60*DEFAULTS!$B$55*DEFAULTS!$B$53/DEFAULTS!$B$54,0)</f>
        <v>14241684.6</v>
      </c>
      <c r="F46" s="62">
        <f>IF(ISERROR(METHANE!$J60*DEFAULTS!$B$81*(IF('USER INPUTS'!$B$24="Total landfill gas",(1/($D$5/100)),IF('USER INPUTS'!$B$24="Methane",1,IF('USER INPUTS'!$B$24="Carbon dioxide",((1/($D$5/100))-1),(VLOOKUP('USER INPUTS'!$B$24,DEFAULTS!$E$8:$F$69,2,FALSE))/10^6*(1/($D$5/100))))))),0,METHANE!$J60*DEFAULTS!$B$81*(IF('USER INPUTS'!$B$24="Total landfill gas",(1/($D$5/100)),IF('USER INPUTS'!$B$24="Methane",1,IF('USER INPUTS'!$B$24="Carbon dioxide",((1/($D$5/100))-1),(VLOOKUP('USER INPUTS'!$B$24,DEFAULTS!$E$8:$F$69,2,FALSE))/10^6*(1/($D$5/100)))))))</f>
        <v>0</v>
      </c>
      <c r="G46" s="62">
        <f>IF(ISERROR(METHANE!$J60*(IF('USER INPUTS'!$B$24="Total landfill gas",(1/($D$5/100)),IF('USER INPUTS'!$B$24="Methane",1,IF('USER INPUTS'!$B$24="Carbon dioxide",((1/($D$5/100))-1),(VLOOKUP('USER INPUTS'!$B$24,DEFAULTS!$E$8:$F$69,2,FALSE))/10^6*(1/($D$5/100))))))),0,METHANE!$J60*(IF('USER INPUTS'!$B$24="Total landfill gas",(1/($D$5/100)),IF('USER INPUTS'!$B$24="Methane",1,IF('USER INPUTS'!$B$24="Carbon dioxide",((1/($D$5/100))-1),(VLOOKUP('USER INPUTS'!$B$24,DEFAULTS!$E$8:$F$69,2,FALSE))/10^6*(1/($D$5/100)))))))</f>
        <v>0</v>
      </c>
      <c r="H46" s="62">
        <f>IF(H$8="(short tons/year)",(F46*DEFAULTS!$B$55*DEFAULTS!$B$53/DEFAULTS!$B$54),IF(H$8="(ft^3/year)",(G46*DEFAULTS!$B$57),IF(H$8="(av ft^3/min)",(G46*DEFAULTS!$B$57/DEFAULTS!$B$58),0)))</f>
        <v>0</v>
      </c>
      <c r="I46" s="62">
        <f>IF(ISERROR(METHANE!$J60*DEFAULTS!$B$82*(IF('USER INPUTS'!$B$26="Total landfill gas",(1/($D$5/100)),IF('USER INPUTS'!$B$26="Methane",1,IF('USER INPUTS'!$B$26="Carbon dioxide",((1/($D$5/100))-1),(VLOOKUP('USER INPUTS'!$B$26,DEFAULTS!$E$8:$F$69,2,FALSE))/10^6*(1/($D$5/100))))))),0,METHANE!$J60*DEFAULTS!$B$82*(IF('USER INPUTS'!$B$26="Total landfill gas",(1/($D$5/100)),IF('USER INPUTS'!$B$26="Methane",1,IF('USER INPUTS'!$B$26="Carbon dioxide",((1/($D$5/100))-1),(VLOOKUP('USER INPUTS'!$B$26,DEFAULTS!$E$8:$F$69,2,FALSE))/10^6*(1/($D$5/100)))))))</f>
        <v>0</v>
      </c>
      <c r="J46" s="62">
        <f>IF(ISERROR(METHANE!$J60*(IF('USER INPUTS'!$B$26="Total landfill gas",(1/($D$5/100)),IF('USER INPUTS'!$B$26="Methane",1,IF('USER INPUTS'!$B$26="Carbon dioxide",((1/($D$5/100))-1),(VLOOKUP('USER INPUTS'!$B$26,DEFAULTS!$E$8:$F$69,2,FALSE))/10^6*(1/($D$5/100))))))),0,METHANE!$J60*(IF('USER INPUTS'!$B$26="Total landfill gas",(1/($D$5/100)),IF('USER INPUTS'!$B$26="Methane",1,IF('USER INPUTS'!$B$26="Carbon dioxide",((1/($D$5/100))-1),(VLOOKUP('USER INPUTS'!$B$26,DEFAULTS!$E$8:$F$69,2,FALSE))/10^6*(1/($D$5/100)))))))</f>
        <v>0</v>
      </c>
      <c r="K46" s="62">
        <f>IF(K$8="(short tons/year)",(I46*DEFAULTS!$B$55*DEFAULTS!$B$53/DEFAULTS!$B$54),IF(K$8="(ft^3/year)",(J46*DEFAULTS!$B$57),IF(K$8="(av ft^3/min)",(J46*DEFAULTS!$B$57/DEFAULTS!$B$58),0)))</f>
        <v>0</v>
      </c>
      <c r="L46" s="62">
        <f>IF(ISERROR(METHANE!$J60*DEFAULTS!$B$83*(IF('USER INPUTS'!$B$28="Total landfill gas",(1/($D$5/100)),IF('USER INPUTS'!$B$28="Methane",1,IF('USER INPUTS'!$B$28="Carbon dioxide",((1/($D$5/100))-1),(VLOOKUP('USER INPUTS'!$B$28,DEFAULTS!$E$8:$F$69,2,FALSE))/10^6*(1/($D$5/100))))))),0,METHANE!$J60*DEFAULTS!$B$83*(IF('USER INPUTS'!$B$28="Total landfill gas",(1/($D$5/100)),IF('USER INPUTS'!$B$28="Methane",1,IF('USER INPUTS'!$B$28="Carbon dioxide",((1/($D$5/100))-1),(VLOOKUP('USER INPUTS'!$B$28,DEFAULTS!$E$8:$F$69,2,FALSE))/10^6*(1/($D$5/100)))))))</f>
        <v>32546.737092337018</v>
      </c>
      <c r="M46" s="62">
        <f>IF(ISERROR(METHANE!$J60*(IF('USER INPUTS'!$B$28="Total landfill gas",(1/($D$5/100)),IF('USER INPUTS'!$B$28="Methane",1,IF('USER INPUTS'!$B$28="Carbon dioxide",((1/($D$5/100))-1),(VLOOKUP('USER INPUTS'!$B$28,DEFAULTS!$E$8:$F$69,2,FALSE))/10^6*(1/($D$5/100))))))),0,METHANE!$J60*(IF('USER INPUTS'!$B$28="Total landfill gas",(1/($D$5/100)),IF('USER INPUTS'!$B$28="Methane",1,IF('USER INPUTS'!$B$28="Carbon dioxide",((1/($D$5/100))-1),(VLOOKUP('USER INPUTS'!$B$28,DEFAULTS!$E$8:$F$69,2,FALSE))/10^6*(1/($D$5/100)))))))</f>
        <v>17780255.99076144</v>
      </c>
      <c r="N46" s="62">
        <f>IF(N$8="(short tons/year)",(L46*DEFAULTS!$B$55*DEFAULTS!$B$53/DEFAULTS!$B$54),IF(N$8="(ft^3/year)",(M46*DEFAULTS!$B$57),IF(N$8="(av ft^3/min)",(M46*DEFAULTS!$B$57/DEFAULTS!$B$58),0)))</f>
        <v>1194.6532349957006</v>
      </c>
      <c r="O46" s="62">
        <f>IF(ISERROR(METHANE!$J60*DEFAULTS!$B$84*(IF('USER INPUTS'!$B$30="Total landfill gas",(1/($D$5/100)),IF('USER INPUTS'!$B$30="Methane",1,IF('USER INPUTS'!$B$30="Carbon dioxide",((1/($D$5/100))-1),(VLOOKUP('USER INPUTS'!$B$30,DEFAULTS!$E$8:$F$69,2,FALSE))/10^6*(1/($D$5/100))))))),0,METHANE!$J60*DEFAULTS!$B$84*(IF('USER INPUTS'!$B$30="Total landfill gas",(1/($D$5/100)),IF('USER INPUTS'!$B$30="Methane",1,IF('USER INPUTS'!$B$30="Carbon dioxide",((1/($D$5/100))-1),(VLOOKUP('USER INPUTS'!$B$30,DEFAULTS!$E$8:$F$69,2,FALSE))/10^6*(1/($D$5/100)))))))</f>
        <v>0</v>
      </c>
      <c r="P46" s="62">
        <f>IF(ISERROR(METHANE!$J60*(IF('USER INPUTS'!$B$30="Total landfill gas",(1/($D$5/100)),IF('USER INPUTS'!$B$30="Methane",1,IF('USER INPUTS'!$B$30="Carbon dioxide",((1/($D$5/100))-1),(VLOOKUP('USER INPUTS'!$B$30,DEFAULTS!$E$8:$F$69,2,FALSE))/10^6*(1/($D$5/100))))))),0,METHANE!$J60*(IF('USER INPUTS'!$B$30="Total landfill gas",(1/($D$5/100)),IF('USER INPUTS'!$B$30="Methane",1,IF('USER INPUTS'!$B$30="Carbon dioxide",((1/($D$5/100))-1),(VLOOKUP('USER INPUTS'!$B$30,DEFAULTS!$E$8:$F$69,2,FALSE))/10^6*(1/($D$5/100)))))))</f>
        <v>0</v>
      </c>
      <c r="Q46" s="162">
        <f>IF(Q$8="(short tons/year)",(O46*DEFAULTS!$B$55*DEFAULTS!$B$53/DEFAULTS!$B$54),IF(Q$8="(ft^3/year)",(P46*DEFAULTS!$B$57),IF(Q$8="(av ft^3/min)",(P46*DEFAULTS!$B$57/DEFAULTS!$B$58),0)))</f>
        <v>0</v>
      </c>
    </row>
    <row r="47" spans="1:17">
      <c r="A47" s="68">
        <f>METHANE!I61</f>
        <v>2056</v>
      </c>
      <c r="B47" s="66">
        <f>IF(METHANE!E61&gt;0,METHANE!E61,0)</f>
        <v>0</v>
      </c>
      <c r="C47" s="66">
        <f>IF(METHANE!E61&gt;0,METHANE!E61*DEFAULTS!$B$55*DEFAULTS!$B$53/DEFAULTS!$B$54,0)</f>
        <v>0</v>
      </c>
      <c r="D47" s="66">
        <f>IF(METHANE!F61&gt;0,METHANE!F61,0)</f>
        <v>12946986</v>
      </c>
      <c r="E47" s="66">
        <f>IF(METHANE!F61&gt;0,METHANE!F61*DEFAULTS!$B$55*DEFAULTS!$B$53/DEFAULTS!$B$54,0)</f>
        <v>14241684.6</v>
      </c>
      <c r="F47" s="62">
        <f>IF(ISERROR(METHANE!$J61*DEFAULTS!$B$81*(IF('USER INPUTS'!$B$24="Total landfill gas",(1/($D$5/100)),IF('USER INPUTS'!$B$24="Methane",1,IF('USER INPUTS'!$B$24="Carbon dioxide",((1/($D$5/100))-1),(VLOOKUP('USER INPUTS'!$B$24,DEFAULTS!$E$8:$F$69,2,FALSE))/10^6*(1/($D$5/100))))))),0,METHANE!$J61*DEFAULTS!$B$81*(IF('USER INPUTS'!$B$24="Total landfill gas",(1/($D$5/100)),IF('USER INPUTS'!$B$24="Methane",1,IF('USER INPUTS'!$B$24="Carbon dioxide",((1/($D$5/100))-1),(VLOOKUP('USER INPUTS'!$B$24,DEFAULTS!$E$8:$F$69,2,FALSE))/10^6*(1/($D$5/100)))))))</f>
        <v>0</v>
      </c>
      <c r="G47" s="62">
        <f>IF(ISERROR(METHANE!$J61*(IF('USER INPUTS'!$B$24="Total landfill gas",(1/($D$5/100)),IF('USER INPUTS'!$B$24="Methane",1,IF('USER INPUTS'!$B$24="Carbon dioxide",((1/($D$5/100))-1),(VLOOKUP('USER INPUTS'!$B$24,DEFAULTS!$E$8:$F$69,2,FALSE))/10^6*(1/($D$5/100))))))),0,METHANE!$J61*(IF('USER INPUTS'!$B$24="Total landfill gas",(1/($D$5/100)),IF('USER INPUTS'!$B$24="Methane",1,IF('USER INPUTS'!$B$24="Carbon dioxide",((1/($D$5/100))-1),(VLOOKUP('USER INPUTS'!$B$24,DEFAULTS!$E$8:$F$69,2,FALSE))/10^6*(1/($D$5/100)))))))</f>
        <v>0</v>
      </c>
      <c r="H47" s="62">
        <f>IF(H$8="(short tons/year)",(F47*DEFAULTS!$B$55*DEFAULTS!$B$53/DEFAULTS!$B$54),IF(H$8="(ft^3/year)",(G47*DEFAULTS!$B$57),IF(H$8="(av ft^3/min)",(G47*DEFAULTS!$B$57/DEFAULTS!$B$58),0)))</f>
        <v>0</v>
      </c>
      <c r="I47" s="62">
        <f>IF(ISERROR(METHANE!$J61*DEFAULTS!$B$82*(IF('USER INPUTS'!$B$26="Total landfill gas",(1/($D$5/100)),IF('USER INPUTS'!$B$26="Methane",1,IF('USER INPUTS'!$B$26="Carbon dioxide",((1/($D$5/100))-1),(VLOOKUP('USER INPUTS'!$B$26,DEFAULTS!$E$8:$F$69,2,FALSE))/10^6*(1/($D$5/100))))))),0,METHANE!$J61*DEFAULTS!$B$82*(IF('USER INPUTS'!$B$26="Total landfill gas",(1/($D$5/100)),IF('USER INPUTS'!$B$26="Methane",1,IF('USER INPUTS'!$B$26="Carbon dioxide",((1/($D$5/100))-1),(VLOOKUP('USER INPUTS'!$B$26,DEFAULTS!$E$8:$F$69,2,FALSE))/10^6*(1/($D$5/100)))))))</f>
        <v>0</v>
      </c>
      <c r="J47" s="62">
        <f>IF(ISERROR(METHANE!$J61*(IF('USER INPUTS'!$B$26="Total landfill gas",(1/($D$5/100)),IF('USER INPUTS'!$B$26="Methane",1,IF('USER INPUTS'!$B$26="Carbon dioxide",((1/($D$5/100))-1),(VLOOKUP('USER INPUTS'!$B$26,DEFAULTS!$E$8:$F$69,2,FALSE))/10^6*(1/($D$5/100))))))),0,METHANE!$J61*(IF('USER INPUTS'!$B$26="Total landfill gas",(1/($D$5/100)),IF('USER INPUTS'!$B$26="Methane",1,IF('USER INPUTS'!$B$26="Carbon dioxide",((1/($D$5/100))-1),(VLOOKUP('USER INPUTS'!$B$26,DEFAULTS!$E$8:$F$69,2,FALSE))/10^6*(1/($D$5/100)))))))</f>
        <v>0</v>
      </c>
      <c r="K47" s="62">
        <f>IF(K$8="(short tons/year)",(I47*DEFAULTS!$B$55*DEFAULTS!$B$53/DEFAULTS!$B$54),IF(K$8="(ft^3/year)",(J47*DEFAULTS!$B$57),IF(K$8="(av ft^3/min)",(J47*DEFAULTS!$B$57/DEFAULTS!$B$58),0)))</f>
        <v>0</v>
      </c>
      <c r="L47" s="62">
        <f>IF(ISERROR(METHANE!$J61*DEFAULTS!$B$83*(IF('USER INPUTS'!$B$28="Total landfill gas",(1/($D$5/100)),IF('USER INPUTS'!$B$28="Methane",1,IF('USER INPUTS'!$B$28="Carbon dioxide",((1/($D$5/100))-1),(VLOOKUP('USER INPUTS'!$B$28,DEFAULTS!$E$8:$F$69,2,FALSE))/10^6*(1/($D$5/100))))))),0,METHANE!$J61*DEFAULTS!$B$83*(IF('USER INPUTS'!$B$28="Total landfill gas",(1/($D$5/100)),IF('USER INPUTS'!$B$28="Methane",1,IF('USER INPUTS'!$B$28="Carbon dioxide",((1/($D$5/100))-1),(VLOOKUP('USER INPUTS'!$B$28,DEFAULTS!$E$8:$F$69,2,FALSE))/10^6*(1/($D$5/100)))))))</f>
        <v>31270.561277184599</v>
      </c>
      <c r="M47" s="62">
        <f>IF(ISERROR(METHANE!$J61*(IF('USER INPUTS'!$B$28="Total landfill gas",(1/($D$5/100)),IF('USER INPUTS'!$B$28="Methane",1,IF('USER INPUTS'!$B$28="Carbon dioxide",((1/($D$5/100))-1),(VLOOKUP('USER INPUTS'!$B$28,DEFAULTS!$E$8:$F$69,2,FALSE))/10^6*(1/($D$5/100))))))),0,METHANE!$J61*(IF('USER INPUTS'!$B$28="Total landfill gas",(1/($D$5/100)),IF('USER INPUTS'!$B$28="Methane",1,IF('USER INPUTS'!$B$28="Carbon dioxide",((1/($D$5/100))-1),(VLOOKUP('USER INPUTS'!$B$28,DEFAULTS!$E$8:$F$69,2,FALSE))/10^6*(1/($D$5/100)))))))</f>
        <v>17083082.181348421</v>
      </c>
      <c r="N47" s="62">
        <f>IF(N$8="(short tons/year)",(L47*DEFAULTS!$B$55*DEFAULTS!$B$53/DEFAULTS!$B$54),IF(N$8="(ft^3/year)",(M47*DEFAULTS!$B$57),IF(N$8="(av ft^3/min)",(M47*DEFAULTS!$B$57/DEFAULTS!$B$58),0)))</f>
        <v>1147.8102116330278</v>
      </c>
      <c r="O47" s="62">
        <f>IF(ISERROR(METHANE!$J61*DEFAULTS!$B$84*(IF('USER INPUTS'!$B$30="Total landfill gas",(1/($D$5/100)),IF('USER INPUTS'!$B$30="Methane",1,IF('USER INPUTS'!$B$30="Carbon dioxide",((1/($D$5/100))-1),(VLOOKUP('USER INPUTS'!$B$30,DEFAULTS!$E$8:$F$69,2,FALSE))/10^6*(1/($D$5/100))))))),0,METHANE!$J61*DEFAULTS!$B$84*(IF('USER INPUTS'!$B$30="Total landfill gas",(1/($D$5/100)),IF('USER INPUTS'!$B$30="Methane",1,IF('USER INPUTS'!$B$30="Carbon dioxide",((1/($D$5/100))-1),(VLOOKUP('USER INPUTS'!$B$30,DEFAULTS!$E$8:$F$69,2,FALSE))/10^6*(1/($D$5/100)))))))</f>
        <v>0</v>
      </c>
      <c r="P47" s="62">
        <f>IF(ISERROR(METHANE!$J61*(IF('USER INPUTS'!$B$30="Total landfill gas",(1/($D$5/100)),IF('USER INPUTS'!$B$30="Methane",1,IF('USER INPUTS'!$B$30="Carbon dioxide",((1/($D$5/100))-1),(VLOOKUP('USER INPUTS'!$B$30,DEFAULTS!$E$8:$F$69,2,FALSE))/10^6*(1/($D$5/100))))))),0,METHANE!$J61*(IF('USER INPUTS'!$B$30="Total landfill gas",(1/($D$5/100)),IF('USER INPUTS'!$B$30="Methane",1,IF('USER INPUTS'!$B$30="Carbon dioxide",((1/($D$5/100))-1),(VLOOKUP('USER INPUTS'!$B$30,DEFAULTS!$E$8:$F$69,2,FALSE))/10^6*(1/($D$5/100)))))))</f>
        <v>0</v>
      </c>
      <c r="Q47" s="162">
        <f>IF(Q$8="(short tons/year)",(O47*DEFAULTS!$B$55*DEFAULTS!$B$53/DEFAULTS!$B$54),IF(Q$8="(ft^3/year)",(P47*DEFAULTS!$B$57),IF(Q$8="(av ft^3/min)",(P47*DEFAULTS!$B$57/DEFAULTS!$B$58),0)))</f>
        <v>0</v>
      </c>
    </row>
    <row r="48" spans="1:17">
      <c r="A48" s="68">
        <f>METHANE!I62</f>
        <v>2057</v>
      </c>
      <c r="B48" s="66">
        <f>IF(METHANE!E62&gt;0,METHANE!E62,0)</f>
        <v>0</v>
      </c>
      <c r="C48" s="66">
        <f>IF(METHANE!E62&gt;0,METHANE!E62*DEFAULTS!$B$55*DEFAULTS!$B$53/DEFAULTS!$B$54,0)</f>
        <v>0</v>
      </c>
      <c r="D48" s="66">
        <f>IF(METHANE!F62&gt;0,METHANE!F62,0)</f>
        <v>12946986</v>
      </c>
      <c r="E48" s="66">
        <f>IF(METHANE!F62&gt;0,METHANE!F62*DEFAULTS!$B$55*DEFAULTS!$B$53/DEFAULTS!$B$54,0)</f>
        <v>14241684.6</v>
      </c>
      <c r="F48" s="62">
        <f>IF(ISERROR(METHANE!$J62*DEFAULTS!$B$81*(IF('USER INPUTS'!$B$24="Total landfill gas",(1/($D$5/100)),IF('USER INPUTS'!$B$24="Methane",1,IF('USER INPUTS'!$B$24="Carbon dioxide",((1/($D$5/100))-1),(VLOOKUP('USER INPUTS'!$B$24,DEFAULTS!$E$8:$F$69,2,FALSE))/10^6*(1/($D$5/100))))))),0,METHANE!$J62*DEFAULTS!$B$81*(IF('USER INPUTS'!$B$24="Total landfill gas",(1/($D$5/100)),IF('USER INPUTS'!$B$24="Methane",1,IF('USER INPUTS'!$B$24="Carbon dioxide",((1/($D$5/100))-1),(VLOOKUP('USER INPUTS'!$B$24,DEFAULTS!$E$8:$F$69,2,FALSE))/10^6*(1/($D$5/100)))))))</f>
        <v>0</v>
      </c>
      <c r="G48" s="62">
        <f>IF(ISERROR(METHANE!$J62*(IF('USER INPUTS'!$B$24="Total landfill gas",(1/($D$5/100)),IF('USER INPUTS'!$B$24="Methane",1,IF('USER INPUTS'!$B$24="Carbon dioxide",((1/($D$5/100))-1),(VLOOKUP('USER INPUTS'!$B$24,DEFAULTS!$E$8:$F$69,2,FALSE))/10^6*(1/($D$5/100))))))),0,METHANE!$J62*(IF('USER INPUTS'!$B$24="Total landfill gas",(1/($D$5/100)),IF('USER INPUTS'!$B$24="Methane",1,IF('USER INPUTS'!$B$24="Carbon dioxide",((1/($D$5/100))-1),(VLOOKUP('USER INPUTS'!$B$24,DEFAULTS!$E$8:$F$69,2,FALSE))/10^6*(1/($D$5/100)))))))</f>
        <v>0</v>
      </c>
      <c r="H48" s="62">
        <f>IF(H$8="(short tons/year)",(F48*DEFAULTS!$B$55*DEFAULTS!$B$53/DEFAULTS!$B$54),IF(H$8="(ft^3/year)",(G48*DEFAULTS!$B$57),IF(H$8="(av ft^3/min)",(G48*DEFAULTS!$B$57/DEFAULTS!$B$58),0)))</f>
        <v>0</v>
      </c>
      <c r="I48" s="62">
        <f>IF(ISERROR(METHANE!$J62*DEFAULTS!$B$82*(IF('USER INPUTS'!$B$26="Total landfill gas",(1/($D$5/100)),IF('USER INPUTS'!$B$26="Methane",1,IF('USER INPUTS'!$B$26="Carbon dioxide",((1/($D$5/100))-1),(VLOOKUP('USER INPUTS'!$B$26,DEFAULTS!$E$8:$F$69,2,FALSE))/10^6*(1/($D$5/100))))))),0,METHANE!$J62*DEFAULTS!$B$82*(IF('USER INPUTS'!$B$26="Total landfill gas",(1/($D$5/100)),IF('USER INPUTS'!$B$26="Methane",1,IF('USER INPUTS'!$B$26="Carbon dioxide",((1/($D$5/100))-1),(VLOOKUP('USER INPUTS'!$B$26,DEFAULTS!$E$8:$F$69,2,FALSE))/10^6*(1/($D$5/100)))))))</f>
        <v>0</v>
      </c>
      <c r="J48" s="62">
        <f>IF(ISERROR(METHANE!$J62*(IF('USER INPUTS'!$B$26="Total landfill gas",(1/($D$5/100)),IF('USER INPUTS'!$B$26="Methane",1,IF('USER INPUTS'!$B$26="Carbon dioxide",((1/($D$5/100))-1),(VLOOKUP('USER INPUTS'!$B$26,DEFAULTS!$E$8:$F$69,2,FALSE))/10^6*(1/($D$5/100))))))),0,METHANE!$J62*(IF('USER INPUTS'!$B$26="Total landfill gas",(1/($D$5/100)),IF('USER INPUTS'!$B$26="Methane",1,IF('USER INPUTS'!$B$26="Carbon dioxide",((1/($D$5/100))-1),(VLOOKUP('USER INPUTS'!$B$26,DEFAULTS!$E$8:$F$69,2,FALSE))/10^6*(1/($D$5/100)))))))</f>
        <v>0</v>
      </c>
      <c r="K48" s="62">
        <f>IF(K$8="(short tons/year)",(I48*DEFAULTS!$B$55*DEFAULTS!$B$53/DEFAULTS!$B$54),IF(K$8="(ft^3/year)",(J48*DEFAULTS!$B$57),IF(K$8="(av ft^3/min)",(J48*DEFAULTS!$B$57/DEFAULTS!$B$58),0)))</f>
        <v>0</v>
      </c>
      <c r="L48" s="62">
        <f>IF(ISERROR(METHANE!$J62*DEFAULTS!$B$83*(IF('USER INPUTS'!$B$28="Total landfill gas",(1/($D$5/100)),IF('USER INPUTS'!$B$28="Methane",1,IF('USER INPUTS'!$B$28="Carbon dioxide",((1/($D$5/100))-1),(VLOOKUP('USER INPUTS'!$B$28,DEFAULTS!$E$8:$F$69,2,FALSE))/10^6*(1/($D$5/100))))))),0,METHANE!$J62*DEFAULTS!$B$83*(IF('USER INPUTS'!$B$28="Total landfill gas",(1/($D$5/100)),IF('USER INPUTS'!$B$28="Methane",1,IF('USER INPUTS'!$B$28="Carbon dioxide",((1/($D$5/100))-1),(VLOOKUP('USER INPUTS'!$B$28,DEFAULTS!$E$8:$F$69,2,FALSE))/10^6*(1/($D$5/100)))))))</f>
        <v>30044.425031484545</v>
      </c>
      <c r="M48" s="62">
        <f>IF(ISERROR(METHANE!$J62*(IF('USER INPUTS'!$B$28="Total landfill gas",(1/($D$5/100)),IF('USER INPUTS'!$B$28="Methane",1,IF('USER INPUTS'!$B$28="Carbon dioxide",((1/($D$5/100))-1),(VLOOKUP('USER INPUTS'!$B$28,DEFAULTS!$E$8:$F$69,2,FALSE))/10^6*(1/($D$5/100))))))),0,METHANE!$J62*(IF('USER INPUTS'!$B$28="Total landfill gas",(1/($D$5/100)),IF('USER INPUTS'!$B$28="Methane",1,IF('USER INPUTS'!$B$28="Carbon dioxide",((1/($D$5/100))-1),(VLOOKUP('USER INPUTS'!$B$28,DEFAULTS!$E$8:$F$69,2,FALSE))/10^6*(1/($D$5/100)))))))</f>
        <v>16413244.948010795</v>
      </c>
      <c r="N48" s="62">
        <f>IF(N$8="(short tons/year)",(L48*DEFAULTS!$B$55*DEFAULTS!$B$53/DEFAULTS!$B$54),IF(N$8="(ft^3/year)",(M48*DEFAULTS!$B$57),IF(N$8="(av ft^3/min)",(M48*DEFAULTS!$B$57/DEFAULTS!$B$58),0)))</f>
        <v>1102.8039294882062</v>
      </c>
      <c r="O48" s="62">
        <f>IF(ISERROR(METHANE!$J62*DEFAULTS!$B$84*(IF('USER INPUTS'!$B$30="Total landfill gas",(1/($D$5/100)),IF('USER INPUTS'!$B$30="Methane",1,IF('USER INPUTS'!$B$30="Carbon dioxide",((1/($D$5/100))-1),(VLOOKUP('USER INPUTS'!$B$30,DEFAULTS!$E$8:$F$69,2,FALSE))/10^6*(1/($D$5/100))))))),0,METHANE!$J62*DEFAULTS!$B$84*(IF('USER INPUTS'!$B$30="Total landfill gas",(1/($D$5/100)),IF('USER INPUTS'!$B$30="Methane",1,IF('USER INPUTS'!$B$30="Carbon dioxide",((1/($D$5/100))-1),(VLOOKUP('USER INPUTS'!$B$30,DEFAULTS!$E$8:$F$69,2,FALSE))/10^6*(1/($D$5/100)))))))</f>
        <v>0</v>
      </c>
      <c r="P48" s="62">
        <f>IF(ISERROR(METHANE!$J62*(IF('USER INPUTS'!$B$30="Total landfill gas",(1/($D$5/100)),IF('USER INPUTS'!$B$30="Methane",1,IF('USER INPUTS'!$B$30="Carbon dioxide",((1/($D$5/100))-1),(VLOOKUP('USER INPUTS'!$B$30,DEFAULTS!$E$8:$F$69,2,FALSE))/10^6*(1/($D$5/100))))))),0,METHANE!$J62*(IF('USER INPUTS'!$B$30="Total landfill gas",(1/($D$5/100)),IF('USER INPUTS'!$B$30="Methane",1,IF('USER INPUTS'!$B$30="Carbon dioxide",((1/($D$5/100))-1),(VLOOKUP('USER INPUTS'!$B$30,DEFAULTS!$E$8:$F$69,2,FALSE))/10^6*(1/($D$5/100)))))))</f>
        <v>0</v>
      </c>
      <c r="Q48" s="162">
        <f>IF(Q$8="(short tons/year)",(O48*DEFAULTS!$B$55*DEFAULTS!$B$53/DEFAULTS!$B$54),IF(Q$8="(ft^3/year)",(P48*DEFAULTS!$B$57),IF(Q$8="(av ft^3/min)",(P48*DEFAULTS!$B$57/DEFAULTS!$B$58),0)))</f>
        <v>0</v>
      </c>
    </row>
    <row r="49" spans="1:17">
      <c r="A49" s="68">
        <f>METHANE!I63</f>
        <v>2058</v>
      </c>
      <c r="B49" s="66">
        <f>IF(METHANE!E63&gt;0,METHANE!E63,0)</f>
        <v>0</v>
      </c>
      <c r="C49" s="66">
        <f>IF(METHANE!E63&gt;0,METHANE!E63*DEFAULTS!$B$55*DEFAULTS!$B$53/DEFAULTS!$B$54,0)</f>
        <v>0</v>
      </c>
      <c r="D49" s="66">
        <f>IF(METHANE!F63&gt;0,METHANE!F63,0)</f>
        <v>12946986</v>
      </c>
      <c r="E49" s="66">
        <f>IF(METHANE!F63&gt;0,METHANE!F63*DEFAULTS!$B$55*DEFAULTS!$B$53/DEFAULTS!$B$54,0)</f>
        <v>14241684.6</v>
      </c>
      <c r="F49" s="62">
        <f>IF(ISERROR(METHANE!$J63*DEFAULTS!$B$81*(IF('USER INPUTS'!$B$24="Total landfill gas",(1/($D$5/100)),IF('USER INPUTS'!$B$24="Methane",1,IF('USER INPUTS'!$B$24="Carbon dioxide",((1/($D$5/100))-1),(VLOOKUP('USER INPUTS'!$B$24,DEFAULTS!$E$8:$F$69,2,FALSE))/10^6*(1/($D$5/100))))))),0,METHANE!$J63*DEFAULTS!$B$81*(IF('USER INPUTS'!$B$24="Total landfill gas",(1/($D$5/100)),IF('USER INPUTS'!$B$24="Methane",1,IF('USER INPUTS'!$B$24="Carbon dioxide",((1/($D$5/100))-1),(VLOOKUP('USER INPUTS'!$B$24,DEFAULTS!$E$8:$F$69,2,FALSE))/10^6*(1/($D$5/100)))))))</f>
        <v>0</v>
      </c>
      <c r="G49" s="62">
        <f>IF(ISERROR(METHANE!$J63*(IF('USER INPUTS'!$B$24="Total landfill gas",(1/($D$5/100)),IF('USER INPUTS'!$B$24="Methane",1,IF('USER INPUTS'!$B$24="Carbon dioxide",((1/($D$5/100))-1),(VLOOKUP('USER INPUTS'!$B$24,DEFAULTS!$E$8:$F$69,2,FALSE))/10^6*(1/($D$5/100))))))),0,METHANE!$J63*(IF('USER INPUTS'!$B$24="Total landfill gas",(1/($D$5/100)),IF('USER INPUTS'!$B$24="Methane",1,IF('USER INPUTS'!$B$24="Carbon dioxide",((1/($D$5/100))-1),(VLOOKUP('USER INPUTS'!$B$24,DEFAULTS!$E$8:$F$69,2,FALSE))/10^6*(1/($D$5/100)))))))</f>
        <v>0</v>
      </c>
      <c r="H49" s="62">
        <f>IF(H$8="(short tons/year)",(F49*DEFAULTS!$B$55*DEFAULTS!$B$53/DEFAULTS!$B$54),IF(H$8="(ft^3/year)",(G49*DEFAULTS!$B$57),IF(H$8="(av ft^3/min)",(G49*DEFAULTS!$B$57/DEFAULTS!$B$58),0)))</f>
        <v>0</v>
      </c>
      <c r="I49" s="62">
        <f>IF(ISERROR(METHANE!$J63*DEFAULTS!$B$82*(IF('USER INPUTS'!$B$26="Total landfill gas",(1/($D$5/100)),IF('USER INPUTS'!$B$26="Methane",1,IF('USER INPUTS'!$B$26="Carbon dioxide",((1/($D$5/100))-1),(VLOOKUP('USER INPUTS'!$B$26,DEFAULTS!$E$8:$F$69,2,FALSE))/10^6*(1/($D$5/100))))))),0,METHANE!$J63*DEFAULTS!$B$82*(IF('USER INPUTS'!$B$26="Total landfill gas",(1/($D$5/100)),IF('USER INPUTS'!$B$26="Methane",1,IF('USER INPUTS'!$B$26="Carbon dioxide",((1/($D$5/100))-1),(VLOOKUP('USER INPUTS'!$B$26,DEFAULTS!$E$8:$F$69,2,FALSE))/10^6*(1/($D$5/100)))))))</f>
        <v>0</v>
      </c>
      <c r="J49" s="62">
        <f>IF(ISERROR(METHANE!$J63*(IF('USER INPUTS'!$B$26="Total landfill gas",(1/($D$5/100)),IF('USER INPUTS'!$B$26="Methane",1,IF('USER INPUTS'!$B$26="Carbon dioxide",((1/($D$5/100))-1),(VLOOKUP('USER INPUTS'!$B$26,DEFAULTS!$E$8:$F$69,2,FALSE))/10^6*(1/($D$5/100))))))),0,METHANE!$J63*(IF('USER INPUTS'!$B$26="Total landfill gas",(1/($D$5/100)),IF('USER INPUTS'!$B$26="Methane",1,IF('USER INPUTS'!$B$26="Carbon dioxide",((1/($D$5/100))-1),(VLOOKUP('USER INPUTS'!$B$26,DEFAULTS!$E$8:$F$69,2,FALSE))/10^6*(1/($D$5/100)))))))</f>
        <v>0</v>
      </c>
      <c r="K49" s="62">
        <f>IF(K$8="(short tons/year)",(I49*DEFAULTS!$B$55*DEFAULTS!$B$53/DEFAULTS!$B$54),IF(K$8="(ft^3/year)",(J49*DEFAULTS!$B$57),IF(K$8="(av ft^3/min)",(J49*DEFAULTS!$B$57/DEFAULTS!$B$58),0)))</f>
        <v>0</v>
      </c>
      <c r="L49" s="62">
        <f>IF(ISERROR(METHANE!$J63*DEFAULTS!$B$83*(IF('USER INPUTS'!$B$28="Total landfill gas",(1/($D$5/100)),IF('USER INPUTS'!$B$28="Methane",1,IF('USER INPUTS'!$B$28="Carbon dioxide",((1/($D$5/100))-1),(VLOOKUP('USER INPUTS'!$B$28,DEFAULTS!$E$8:$F$69,2,FALSE))/10^6*(1/($D$5/100))))))),0,METHANE!$J63*DEFAULTS!$B$83*(IF('USER INPUTS'!$B$28="Total landfill gas",(1/($D$5/100)),IF('USER INPUTS'!$B$28="Methane",1,IF('USER INPUTS'!$B$28="Carbon dioxide",((1/($D$5/100))-1),(VLOOKUP('USER INPUTS'!$B$28,DEFAULTS!$E$8:$F$69,2,FALSE))/10^6*(1/($D$5/100)))))))</f>
        <v>28866.366275654065</v>
      </c>
      <c r="M49" s="62">
        <f>IF(ISERROR(METHANE!$J63*(IF('USER INPUTS'!$B$28="Total landfill gas",(1/($D$5/100)),IF('USER INPUTS'!$B$28="Methane",1,IF('USER INPUTS'!$B$28="Carbon dioxide",((1/($D$5/100))-1),(VLOOKUP('USER INPUTS'!$B$28,DEFAULTS!$E$8:$F$69,2,FALSE))/10^6*(1/($D$5/100))))))),0,METHANE!$J63*(IF('USER INPUTS'!$B$28="Total landfill gas",(1/($D$5/100)),IF('USER INPUTS'!$B$28="Methane",1,IF('USER INPUTS'!$B$28="Carbon dioxide",((1/($D$5/100))-1),(VLOOKUP('USER INPUTS'!$B$28,DEFAULTS!$E$8:$F$69,2,FALSE))/10^6*(1/($D$5/100)))))))</f>
        <v>15769672.408268997</v>
      </c>
      <c r="N49" s="62">
        <f>IF(N$8="(short tons/year)",(L49*DEFAULTS!$B$55*DEFAULTS!$B$53/DEFAULTS!$B$54),IF(N$8="(ft^3/year)",(M49*DEFAULTS!$B$57),IF(N$8="(av ft^3/min)",(M49*DEFAULTS!$B$57/DEFAULTS!$B$58),0)))</f>
        <v>1059.5623689079521</v>
      </c>
      <c r="O49" s="62">
        <f>IF(ISERROR(METHANE!$J63*DEFAULTS!$B$84*(IF('USER INPUTS'!$B$30="Total landfill gas",(1/($D$5/100)),IF('USER INPUTS'!$B$30="Methane",1,IF('USER INPUTS'!$B$30="Carbon dioxide",((1/($D$5/100))-1),(VLOOKUP('USER INPUTS'!$B$30,DEFAULTS!$E$8:$F$69,2,FALSE))/10^6*(1/($D$5/100))))))),0,METHANE!$J63*DEFAULTS!$B$84*(IF('USER INPUTS'!$B$30="Total landfill gas",(1/($D$5/100)),IF('USER INPUTS'!$B$30="Methane",1,IF('USER INPUTS'!$B$30="Carbon dioxide",((1/($D$5/100))-1),(VLOOKUP('USER INPUTS'!$B$30,DEFAULTS!$E$8:$F$69,2,FALSE))/10^6*(1/($D$5/100)))))))</f>
        <v>0</v>
      </c>
      <c r="P49" s="62">
        <f>IF(ISERROR(METHANE!$J63*(IF('USER INPUTS'!$B$30="Total landfill gas",(1/($D$5/100)),IF('USER INPUTS'!$B$30="Methane",1,IF('USER INPUTS'!$B$30="Carbon dioxide",((1/($D$5/100))-1),(VLOOKUP('USER INPUTS'!$B$30,DEFAULTS!$E$8:$F$69,2,FALSE))/10^6*(1/($D$5/100))))))),0,METHANE!$J63*(IF('USER INPUTS'!$B$30="Total landfill gas",(1/($D$5/100)),IF('USER INPUTS'!$B$30="Methane",1,IF('USER INPUTS'!$B$30="Carbon dioxide",((1/($D$5/100))-1),(VLOOKUP('USER INPUTS'!$B$30,DEFAULTS!$E$8:$F$69,2,FALSE))/10^6*(1/($D$5/100)))))))</f>
        <v>0</v>
      </c>
      <c r="Q49" s="162">
        <f>IF(Q$8="(short tons/year)",(O49*DEFAULTS!$B$55*DEFAULTS!$B$53/DEFAULTS!$B$54),IF(Q$8="(ft^3/year)",(P49*DEFAULTS!$B$57),IF(Q$8="(av ft^3/min)",(P49*DEFAULTS!$B$57/DEFAULTS!$B$58),0)))</f>
        <v>0</v>
      </c>
    </row>
    <row r="50" spans="1:17">
      <c r="A50" s="68">
        <f>METHANE!I64</f>
        <v>2059</v>
      </c>
      <c r="B50" s="66">
        <f>IF(METHANE!E64&gt;0,METHANE!E64,0)</f>
        <v>0</v>
      </c>
      <c r="C50" s="66">
        <f>IF(METHANE!E64&gt;0,METHANE!E64*DEFAULTS!$B$55*DEFAULTS!$B$53/DEFAULTS!$B$54,0)</f>
        <v>0</v>
      </c>
      <c r="D50" s="66">
        <f>IF(METHANE!F64&gt;0,METHANE!F64,0)</f>
        <v>12946986</v>
      </c>
      <c r="E50" s="66">
        <f>IF(METHANE!F64&gt;0,METHANE!F64*DEFAULTS!$B$55*DEFAULTS!$B$53/DEFAULTS!$B$54,0)</f>
        <v>14241684.6</v>
      </c>
      <c r="F50" s="62">
        <f>IF(ISERROR(METHANE!$J64*DEFAULTS!$B$81*(IF('USER INPUTS'!$B$24="Total landfill gas",(1/($D$5/100)),IF('USER INPUTS'!$B$24="Methane",1,IF('USER INPUTS'!$B$24="Carbon dioxide",((1/($D$5/100))-1),(VLOOKUP('USER INPUTS'!$B$24,DEFAULTS!$E$8:$F$69,2,FALSE))/10^6*(1/($D$5/100))))))),0,METHANE!$J64*DEFAULTS!$B$81*(IF('USER INPUTS'!$B$24="Total landfill gas",(1/($D$5/100)),IF('USER INPUTS'!$B$24="Methane",1,IF('USER INPUTS'!$B$24="Carbon dioxide",((1/($D$5/100))-1),(VLOOKUP('USER INPUTS'!$B$24,DEFAULTS!$E$8:$F$69,2,FALSE))/10^6*(1/($D$5/100)))))))</f>
        <v>0</v>
      </c>
      <c r="G50" s="62">
        <f>IF(ISERROR(METHANE!$J64*(IF('USER INPUTS'!$B$24="Total landfill gas",(1/($D$5/100)),IF('USER INPUTS'!$B$24="Methane",1,IF('USER INPUTS'!$B$24="Carbon dioxide",((1/($D$5/100))-1),(VLOOKUP('USER INPUTS'!$B$24,DEFAULTS!$E$8:$F$69,2,FALSE))/10^6*(1/($D$5/100))))))),0,METHANE!$J64*(IF('USER INPUTS'!$B$24="Total landfill gas",(1/($D$5/100)),IF('USER INPUTS'!$B$24="Methane",1,IF('USER INPUTS'!$B$24="Carbon dioxide",((1/($D$5/100))-1),(VLOOKUP('USER INPUTS'!$B$24,DEFAULTS!$E$8:$F$69,2,FALSE))/10^6*(1/($D$5/100)))))))</f>
        <v>0</v>
      </c>
      <c r="H50" s="62">
        <f>IF(H$8="(short tons/year)",(F50*DEFAULTS!$B$55*DEFAULTS!$B$53/DEFAULTS!$B$54),IF(H$8="(ft^3/year)",(G50*DEFAULTS!$B$57),IF(H$8="(av ft^3/min)",(G50*DEFAULTS!$B$57/DEFAULTS!$B$58),0)))</f>
        <v>0</v>
      </c>
      <c r="I50" s="62">
        <f>IF(ISERROR(METHANE!$J64*DEFAULTS!$B$82*(IF('USER INPUTS'!$B$26="Total landfill gas",(1/($D$5/100)),IF('USER INPUTS'!$B$26="Methane",1,IF('USER INPUTS'!$B$26="Carbon dioxide",((1/($D$5/100))-1),(VLOOKUP('USER INPUTS'!$B$26,DEFAULTS!$E$8:$F$69,2,FALSE))/10^6*(1/($D$5/100))))))),0,METHANE!$J64*DEFAULTS!$B$82*(IF('USER INPUTS'!$B$26="Total landfill gas",(1/($D$5/100)),IF('USER INPUTS'!$B$26="Methane",1,IF('USER INPUTS'!$B$26="Carbon dioxide",((1/($D$5/100))-1),(VLOOKUP('USER INPUTS'!$B$26,DEFAULTS!$E$8:$F$69,2,FALSE))/10^6*(1/($D$5/100)))))))</f>
        <v>0</v>
      </c>
      <c r="J50" s="62">
        <f>IF(ISERROR(METHANE!$J64*(IF('USER INPUTS'!$B$26="Total landfill gas",(1/($D$5/100)),IF('USER INPUTS'!$B$26="Methane",1,IF('USER INPUTS'!$B$26="Carbon dioxide",((1/($D$5/100))-1),(VLOOKUP('USER INPUTS'!$B$26,DEFAULTS!$E$8:$F$69,2,FALSE))/10^6*(1/($D$5/100))))))),0,METHANE!$J64*(IF('USER INPUTS'!$B$26="Total landfill gas",(1/($D$5/100)),IF('USER INPUTS'!$B$26="Methane",1,IF('USER INPUTS'!$B$26="Carbon dioxide",((1/($D$5/100))-1),(VLOOKUP('USER INPUTS'!$B$26,DEFAULTS!$E$8:$F$69,2,FALSE))/10^6*(1/($D$5/100)))))))</f>
        <v>0</v>
      </c>
      <c r="K50" s="62">
        <f>IF(K$8="(short tons/year)",(I50*DEFAULTS!$B$55*DEFAULTS!$B$53/DEFAULTS!$B$54),IF(K$8="(ft^3/year)",(J50*DEFAULTS!$B$57),IF(K$8="(av ft^3/min)",(J50*DEFAULTS!$B$57/DEFAULTS!$B$58),0)))</f>
        <v>0</v>
      </c>
      <c r="L50" s="62">
        <f>IF(ISERROR(METHANE!$J64*DEFAULTS!$B$83*(IF('USER INPUTS'!$B$28="Total landfill gas",(1/($D$5/100)),IF('USER INPUTS'!$B$28="Methane",1,IF('USER INPUTS'!$B$28="Carbon dioxide",((1/($D$5/100))-1),(VLOOKUP('USER INPUTS'!$B$28,DEFAULTS!$E$8:$F$69,2,FALSE))/10^6*(1/($D$5/100))))))),0,METHANE!$J64*DEFAULTS!$B$83*(IF('USER INPUTS'!$B$28="Total landfill gas",(1/($D$5/100)),IF('USER INPUTS'!$B$28="Methane",1,IF('USER INPUTS'!$B$28="Carbon dioxide",((1/($D$5/100))-1),(VLOOKUP('USER INPUTS'!$B$28,DEFAULTS!$E$8:$F$69,2,FALSE))/10^6*(1/($D$5/100)))))))</f>
        <v>27734.499864351208</v>
      </c>
      <c r="M50" s="62">
        <f>IF(ISERROR(METHANE!$J64*(IF('USER INPUTS'!$B$28="Total landfill gas",(1/($D$5/100)),IF('USER INPUTS'!$B$28="Methane",1,IF('USER INPUTS'!$B$28="Carbon dioxide",((1/($D$5/100))-1),(VLOOKUP('USER INPUTS'!$B$28,DEFAULTS!$E$8:$F$69,2,FALSE))/10^6*(1/($D$5/100))))))),0,METHANE!$J64*(IF('USER INPUTS'!$B$28="Total landfill gas",(1/($D$5/100)),IF('USER INPUTS'!$B$28="Methane",1,IF('USER INPUTS'!$B$28="Carbon dioxide",((1/($D$5/100))-1),(VLOOKUP('USER INPUTS'!$B$28,DEFAULTS!$E$8:$F$69,2,FALSE))/10^6*(1/($D$5/100)))))))</f>
        <v>15151334.708756635</v>
      </c>
      <c r="N50" s="62">
        <f>IF(N$8="(short tons/year)",(L50*DEFAULTS!$B$55*DEFAULTS!$B$53/DEFAULTS!$B$54),IF(N$8="(ft^3/year)",(M50*DEFAULTS!$B$57),IF(N$8="(av ft^3/min)",(M50*DEFAULTS!$B$57/DEFAULTS!$B$58),0)))</f>
        <v>1018.0163341699782</v>
      </c>
      <c r="O50" s="62">
        <f>IF(ISERROR(METHANE!$J64*DEFAULTS!$B$84*(IF('USER INPUTS'!$B$30="Total landfill gas",(1/($D$5/100)),IF('USER INPUTS'!$B$30="Methane",1,IF('USER INPUTS'!$B$30="Carbon dioxide",((1/($D$5/100))-1),(VLOOKUP('USER INPUTS'!$B$30,DEFAULTS!$E$8:$F$69,2,FALSE))/10^6*(1/($D$5/100))))))),0,METHANE!$J64*DEFAULTS!$B$84*(IF('USER INPUTS'!$B$30="Total landfill gas",(1/($D$5/100)),IF('USER INPUTS'!$B$30="Methane",1,IF('USER INPUTS'!$B$30="Carbon dioxide",((1/($D$5/100))-1),(VLOOKUP('USER INPUTS'!$B$30,DEFAULTS!$E$8:$F$69,2,FALSE))/10^6*(1/($D$5/100)))))))</f>
        <v>0</v>
      </c>
      <c r="P50" s="62">
        <f>IF(ISERROR(METHANE!$J64*(IF('USER INPUTS'!$B$30="Total landfill gas",(1/($D$5/100)),IF('USER INPUTS'!$B$30="Methane",1,IF('USER INPUTS'!$B$30="Carbon dioxide",((1/($D$5/100))-1),(VLOOKUP('USER INPUTS'!$B$30,DEFAULTS!$E$8:$F$69,2,FALSE))/10^6*(1/($D$5/100))))))),0,METHANE!$J64*(IF('USER INPUTS'!$B$30="Total landfill gas",(1/($D$5/100)),IF('USER INPUTS'!$B$30="Methane",1,IF('USER INPUTS'!$B$30="Carbon dioxide",((1/($D$5/100))-1),(VLOOKUP('USER INPUTS'!$B$30,DEFAULTS!$E$8:$F$69,2,FALSE))/10^6*(1/($D$5/100)))))))</f>
        <v>0</v>
      </c>
      <c r="Q50" s="162">
        <f>IF(Q$8="(short tons/year)",(O50*DEFAULTS!$B$55*DEFAULTS!$B$53/DEFAULTS!$B$54),IF(Q$8="(ft^3/year)",(P50*DEFAULTS!$B$57),IF(Q$8="(av ft^3/min)",(P50*DEFAULTS!$B$57/DEFAULTS!$B$58),0)))</f>
        <v>0</v>
      </c>
    </row>
    <row r="51" spans="1:17">
      <c r="A51" s="68">
        <f>METHANE!I65</f>
        <v>2060</v>
      </c>
      <c r="B51" s="66">
        <f>IF(METHANE!E65&gt;0,METHANE!E65,0)</f>
        <v>0</v>
      </c>
      <c r="C51" s="66">
        <f>IF(METHANE!E65&gt;0,METHANE!E65*DEFAULTS!$B$55*DEFAULTS!$B$53/DEFAULTS!$B$54,0)</f>
        <v>0</v>
      </c>
      <c r="D51" s="66">
        <f>IF(METHANE!F65&gt;0,METHANE!F65,0)</f>
        <v>12946986</v>
      </c>
      <c r="E51" s="66">
        <f>IF(METHANE!F65&gt;0,METHANE!F65*DEFAULTS!$B$55*DEFAULTS!$B$53/DEFAULTS!$B$54,0)</f>
        <v>14241684.6</v>
      </c>
      <c r="F51" s="62">
        <f>IF(ISERROR(METHANE!$J65*DEFAULTS!$B$81*(IF('USER INPUTS'!$B$24="Total landfill gas",(1/($D$5/100)),IF('USER INPUTS'!$B$24="Methane",1,IF('USER INPUTS'!$B$24="Carbon dioxide",((1/($D$5/100))-1),(VLOOKUP('USER INPUTS'!$B$24,DEFAULTS!$E$8:$F$69,2,FALSE))/10^6*(1/($D$5/100))))))),0,METHANE!$J65*DEFAULTS!$B$81*(IF('USER INPUTS'!$B$24="Total landfill gas",(1/($D$5/100)),IF('USER INPUTS'!$B$24="Methane",1,IF('USER INPUTS'!$B$24="Carbon dioxide",((1/($D$5/100))-1),(VLOOKUP('USER INPUTS'!$B$24,DEFAULTS!$E$8:$F$69,2,FALSE))/10^6*(1/($D$5/100)))))))</f>
        <v>0</v>
      </c>
      <c r="G51" s="62">
        <f>IF(ISERROR(METHANE!$J65*(IF('USER INPUTS'!$B$24="Total landfill gas",(1/($D$5/100)),IF('USER INPUTS'!$B$24="Methane",1,IF('USER INPUTS'!$B$24="Carbon dioxide",((1/($D$5/100))-1),(VLOOKUP('USER INPUTS'!$B$24,DEFAULTS!$E$8:$F$69,2,FALSE))/10^6*(1/($D$5/100))))))),0,METHANE!$J65*(IF('USER INPUTS'!$B$24="Total landfill gas",(1/($D$5/100)),IF('USER INPUTS'!$B$24="Methane",1,IF('USER INPUTS'!$B$24="Carbon dioxide",((1/($D$5/100))-1),(VLOOKUP('USER INPUTS'!$B$24,DEFAULTS!$E$8:$F$69,2,FALSE))/10^6*(1/($D$5/100)))))))</f>
        <v>0</v>
      </c>
      <c r="H51" s="62">
        <f>IF(H$8="(short tons/year)",(F51*DEFAULTS!$B$55*DEFAULTS!$B$53/DEFAULTS!$B$54),IF(H$8="(ft^3/year)",(G51*DEFAULTS!$B$57),IF(H$8="(av ft^3/min)",(G51*DEFAULTS!$B$57/DEFAULTS!$B$58),0)))</f>
        <v>0</v>
      </c>
      <c r="I51" s="62">
        <f>IF(ISERROR(METHANE!$J65*DEFAULTS!$B$82*(IF('USER INPUTS'!$B$26="Total landfill gas",(1/($D$5/100)),IF('USER INPUTS'!$B$26="Methane",1,IF('USER INPUTS'!$B$26="Carbon dioxide",((1/($D$5/100))-1),(VLOOKUP('USER INPUTS'!$B$26,DEFAULTS!$E$8:$F$69,2,FALSE))/10^6*(1/($D$5/100))))))),0,METHANE!$J65*DEFAULTS!$B$82*(IF('USER INPUTS'!$B$26="Total landfill gas",(1/($D$5/100)),IF('USER INPUTS'!$B$26="Methane",1,IF('USER INPUTS'!$B$26="Carbon dioxide",((1/($D$5/100))-1),(VLOOKUP('USER INPUTS'!$B$26,DEFAULTS!$E$8:$F$69,2,FALSE))/10^6*(1/($D$5/100)))))))</f>
        <v>0</v>
      </c>
      <c r="J51" s="62">
        <f>IF(ISERROR(METHANE!$J65*(IF('USER INPUTS'!$B$26="Total landfill gas",(1/($D$5/100)),IF('USER INPUTS'!$B$26="Methane",1,IF('USER INPUTS'!$B$26="Carbon dioxide",((1/($D$5/100))-1),(VLOOKUP('USER INPUTS'!$B$26,DEFAULTS!$E$8:$F$69,2,FALSE))/10^6*(1/($D$5/100))))))),0,METHANE!$J65*(IF('USER INPUTS'!$B$26="Total landfill gas",(1/($D$5/100)),IF('USER INPUTS'!$B$26="Methane",1,IF('USER INPUTS'!$B$26="Carbon dioxide",((1/($D$5/100))-1),(VLOOKUP('USER INPUTS'!$B$26,DEFAULTS!$E$8:$F$69,2,FALSE))/10^6*(1/($D$5/100)))))))</f>
        <v>0</v>
      </c>
      <c r="K51" s="62">
        <f>IF(K$8="(short tons/year)",(I51*DEFAULTS!$B$55*DEFAULTS!$B$53/DEFAULTS!$B$54),IF(K$8="(ft^3/year)",(J51*DEFAULTS!$B$57),IF(K$8="(av ft^3/min)",(J51*DEFAULTS!$B$57/DEFAULTS!$B$58),0)))</f>
        <v>0</v>
      </c>
      <c r="L51" s="62">
        <f>IF(ISERROR(METHANE!$J65*DEFAULTS!$B$83*(IF('USER INPUTS'!$B$28="Total landfill gas",(1/($D$5/100)),IF('USER INPUTS'!$B$28="Methane",1,IF('USER INPUTS'!$B$28="Carbon dioxide",((1/($D$5/100))-1),(VLOOKUP('USER INPUTS'!$B$28,DEFAULTS!$E$8:$F$69,2,FALSE))/10^6*(1/($D$5/100))))))),0,METHANE!$J65*DEFAULTS!$B$83*(IF('USER INPUTS'!$B$28="Total landfill gas",(1/($D$5/100)),IF('USER INPUTS'!$B$28="Methane",1,IF('USER INPUTS'!$B$28="Carbon dioxide",((1/($D$5/100))-1),(VLOOKUP('USER INPUTS'!$B$28,DEFAULTS!$E$8:$F$69,2,FALSE))/10^6*(1/($D$5/100)))))))</f>
        <v>26647.014569840179</v>
      </c>
      <c r="M51" s="62">
        <f>IF(ISERROR(METHANE!$J65*(IF('USER INPUTS'!$B$28="Total landfill gas",(1/($D$5/100)),IF('USER INPUTS'!$B$28="Methane",1,IF('USER INPUTS'!$B$28="Carbon dioxide",((1/($D$5/100))-1),(VLOOKUP('USER INPUTS'!$B$28,DEFAULTS!$E$8:$F$69,2,FALSE))/10^6*(1/($D$5/100))))))),0,METHANE!$J65*(IF('USER INPUTS'!$B$28="Total landfill gas",(1/($D$5/100)),IF('USER INPUTS'!$B$28="Methane",1,IF('USER INPUTS'!$B$28="Carbon dioxide",((1/($D$5/100))-1),(VLOOKUP('USER INPUTS'!$B$28,DEFAULTS!$E$8:$F$69,2,FALSE))/10^6*(1/($D$5/100)))))))</f>
        <v>14557242.377235416</v>
      </c>
      <c r="N51" s="62">
        <f>IF(N$8="(short tons/year)",(L51*DEFAULTS!$B$55*DEFAULTS!$B$53/DEFAULTS!$B$54),IF(N$8="(ft^3/year)",(M51*DEFAULTS!$B$57),IF(N$8="(av ft^3/min)",(M51*DEFAULTS!$B$57/DEFAULTS!$B$58),0)))</f>
        <v>978.09934275507749</v>
      </c>
      <c r="O51" s="62">
        <f>IF(ISERROR(METHANE!$J65*DEFAULTS!$B$84*(IF('USER INPUTS'!$B$30="Total landfill gas",(1/($D$5/100)),IF('USER INPUTS'!$B$30="Methane",1,IF('USER INPUTS'!$B$30="Carbon dioxide",((1/($D$5/100))-1),(VLOOKUP('USER INPUTS'!$B$30,DEFAULTS!$E$8:$F$69,2,FALSE))/10^6*(1/($D$5/100))))))),0,METHANE!$J65*DEFAULTS!$B$84*(IF('USER INPUTS'!$B$30="Total landfill gas",(1/($D$5/100)),IF('USER INPUTS'!$B$30="Methane",1,IF('USER INPUTS'!$B$30="Carbon dioxide",((1/($D$5/100))-1),(VLOOKUP('USER INPUTS'!$B$30,DEFAULTS!$E$8:$F$69,2,FALSE))/10^6*(1/($D$5/100)))))))</f>
        <v>0</v>
      </c>
      <c r="P51" s="62">
        <f>IF(ISERROR(METHANE!$J65*(IF('USER INPUTS'!$B$30="Total landfill gas",(1/($D$5/100)),IF('USER INPUTS'!$B$30="Methane",1,IF('USER INPUTS'!$B$30="Carbon dioxide",((1/($D$5/100))-1),(VLOOKUP('USER INPUTS'!$B$30,DEFAULTS!$E$8:$F$69,2,FALSE))/10^6*(1/($D$5/100))))))),0,METHANE!$J65*(IF('USER INPUTS'!$B$30="Total landfill gas",(1/($D$5/100)),IF('USER INPUTS'!$B$30="Methane",1,IF('USER INPUTS'!$B$30="Carbon dioxide",((1/($D$5/100))-1),(VLOOKUP('USER INPUTS'!$B$30,DEFAULTS!$E$8:$F$69,2,FALSE))/10^6*(1/($D$5/100)))))))</f>
        <v>0</v>
      </c>
      <c r="Q51" s="162">
        <f>IF(Q$8="(short tons/year)",(O51*DEFAULTS!$B$55*DEFAULTS!$B$53/DEFAULTS!$B$54),IF(Q$8="(ft^3/year)",(P51*DEFAULTS!$B$57),IF(Q$8="(av ft^3/min)",(P51*DEFAULTS!$B$57/DEFAULTS!$B$58),0)))</f>
        <v>0</v>
      </c>
    </row>
    <row r="52" spans="1:17">
      <c r="A52" s="68">
        <f>METHANE!I66</f>
        <v>2061</v>
      </c>
      <c r="B52" s="66">
        <f>IF(METHANE!E66&gt;0,METHANE!E66,0)</f>
        <v>0</v>
      </c>
      <c r="C52" s="66">
        <f>IF(METHANE!E66&gt;0,METHANE!E66*DEFAULTS!$B$55*DEFAULTS!$B$53/DEFAULTS!$B$54,0)</f>
        <v>0</v>
      </c>
      <c r="D52" s="66">
        <f>IF(METHANE!F66&gt;0,METHANE!F66,0)</f>
        <v>12946986</v>
      </c>
      <c r="E52" s="66">
        <f>IF(METHANE!F66&gt;0,METHANE!F66*DEFAULTS!$B$55*DEFAULTS!$B$53/DEFAULTS!$B$54,0)</f>
        <v>14241684.6</v>
      </c>
      <c r="F52" s="62">
        <f>IF(ISERROR(METHANE!$J66*DEFAULTS!$B$81*(IF('USER INPUTS'!$B$24="Total landfill gas",(1/($D$5/100)),IF('USER INPUTS'!$B$24="Methane",1,IF('USER INPUTS'!$B$24="Carbon dioxide",((1/($D$5/100))-1),(VLOOKUP('USER INPUTS'!$B$24,DEFAULTS!$E$8:$F$69,2,FALSE))/10^6*(1/($D$5/100))))))),0,METHANE!$J66*DEFAULTS!$B$81*(IF('USER INPUTS'!$B$24="Total landfill gas",(1/($D$5/100)),IF('USER INPUTS'!$B$24="Methane",1,IF('USER INPUTS'!$B$24="Carbon dioxide",((1/($D$5/100))-1),(VLOOKUP('USER INPUTS'!$B$24,DEFAULTS!$E$8:$F$69,2,FALSE))/10^6*(1/($D$5/100)))))))</f>
        <v>0</v>
      </c>
      <c r="G52" s="62">
        <f>IF(ISERROR(METHANE!$J66*(IF('USER INPUTS'!$B$24="Total landfill gas",(1/($D$5/100)),IF('USER INPUTS'!$B$24="Methane",1,IF('USER INPUTS'!$B$24="Carbon dioxide",((1/($D$5/100))-1),(VLOOKUP('USER INPUTS'!$B$24,DEFAULTS!$E$8:$F$69,2,FALSE))/10^6*(1/($D$5/100))))))),0,METHANE!$J66*(IF('USER INPUTS'!$B$24="Total landfill gas",(1/($D$5/100)),IF('USER INPUTS'!$B$24="Methane",1,IF('USER INPUTS'!$B$24="Carbon dioxide",((1/($D$5/100))-1),(VLOOKUP('USER INPUTS'!$B$24,DEFAULTS!$E$8:$F$69,2,FALSE))/10^6*(1/($D$5/100)))))))</f>
        <v>0</v>
      </c>
      <c r="H52" s="62">
        <f>IF(H$8="(short tons/year)",(F52*DEFAULTS!$B$55*DEFAULTS!$B$53/DEFAULTS!$B$54),IF(H$8="(ft^3/year)",(G52*DEFAULTS!$B$57),IF(H$8="(av ft^3/min)",(G52*DEFAULTS!$B$57/DEFAULTS!$B$58),0)))</f>
        <v>0</v>
      </c>
      <c r="I52" s="62">
        <f>IF(ISERROR(METHANE!$J66*DEFAULTS!$B$82*(IF('USER INPUTS'!$B$26="Total landfill gas",(1/($D$5/100)),IF('USER INPUTS'!$B$26="Methane",1,IF('USER INPUTS'!$B$26="Carbon dioxide",((1/($D$5/100))-1),(VLOOKUP('USER INPUTS'!$B$26,DEFAULTS!$E$8:$F$69,2,FALSE))/10^6*(1/($D$5/100))))))),0,METHANE!$J66*DEFAULTS!$B$82*(IF('USER INPUTS'!$B$26="Total landfill gas",(1/($D$5/100)),IF('USER INPUTS'!$B$26="Methane",1,IF('USER INPUTS'!$B$26="Carbon dioxide",((1/($D$5/100))-1),(VLOOKUP('USER INPUTS'!$B$26,DEFAULTS!$E$8:$F$69,2,FALSE))/10^6*(1/($D$5/100)))))))</f>
        <v>0</v>
      </c>
      <c r="J52" s="62">
        <f>IF(ISERROR(METHANE!$J66*(IF('USER INPUTS'!$B$26="Total landfill gas",(1/($D$5/100)),IF('USER INPUTS'!$B$26="Methane",1,IF('USER INPUTS'!$B$26="Carbon dioxide",((1/($D$5/100))-1),(VLOOKUP('USER INPUTS'!$B$26,DEFAULTS!$E$8:$F$69,2,FALSE))/10^6*(1/($D$5/100))))))),0,METHANE!$J66*(IF('USER INPUTS'!$B$26="Total landfill gas",(1/($D$5/100)),IF('USER INPUTS'!$B$26="Methane",1,IF('USER INPUTS'!$B$26="Carbon dioxide",((1/($D$5/100))-1),(VLOOKUP('USER INPUTS'!$B$26,DEFAULTS!$E$8:$F$69,2,FALSE))/10^6*(1/($D$5/100)))))))</f>
        <v>0</v>
      </c>
      <c r="K52" s="62">
        <f>IF(K$8="(short tons/year)",(I52*DEFAULTS!$B$55*DEFAULTS!$B$53/DEFAULTS!$B$54),IF(K$8="(ft^3/year)",(J52*DEFAULTS!$B$57),IF(K$8="(av ft^3/min)",(J52*DEFAULTS!$B$57/DEFAULTS!$B$58),0)))</f>
        <v>0</v>
      </c>
      <c r="L52" s="62">
        <f>IF(ISERROR(METHANE!$J66*DEFAULTS!$B$83*(IF('USER INPUTS'!$B$28="Total landfill gas",(1/($D$5/100)),IF('USER INPUTS'!$B$28="Methane",1,IF('USER INPUTS'!$B$28="Carbon dioxide",((1/($D$5/100))-1),(VLOOKUP('USER INPUTS'!$B$28,DEFAULTS!$E$8:$F$69,2,FALSE))/10^6*(1/($D$5/100))))))),0,METHANE!$J66*DEFAULTS!$B$83*(IF('USER INPUTS'!$B$28="Total landfill gas",(1/($D$5/100)),IF('USER INPUTS'!$B$28="Methane",1,IF('USER INPUTS'!$B$28="Carbon dioxide",((1/($D$5/100))-1),(VLOOKUP('USER INPUTS'!$B$28,DEFAULTS!$E$8:$F$69,2,FALSE))/10^6*(1/($D$5/100)))))))</f>
        <v>25602.170183640534</v>
      </c>
      <c r="M52" s="62">
        <f>IF(ISERROR(METHANE!$J66*(IF('USER INPUTS'!$B$28="Total landfill gas",(1/($D$5/100)),IF('USER INPUTS'!$B$28="Methane",1,IF('USER INPUTS'!$B$28="Carbon dioxide",((1/($D$5/100))-1),(VLOOKUP('USER INPUTS'!$B$28,DEFAULTS!$E$8:$F$69,2,FALSE))/10^6*(1/($D$5/100))))))),0,METHANE!$J66*(IF('USER INPUTS'!$B$28="Total landfill gas",(1/($D$5/100)),IF('USER INPUTS'!$B$28="Methane",1,IF('USER INPUTS'!$B$28="Carbon dioxide",((1/($D$5/100))-1),(VLOOKUP('USER INPUTS'!$B$28,DEFAULTS!$E$8:$F$69,2,FALSE))/10^6*(1/($D$5/100)))))))</f>
        <v>13986444.73922845</v>
      </c>
      <c r="N52" s="62">
        <f>IF(N$8="(short tons/year)",(L52*DEFAULTS!$B$55*DEFAULTS!$B$53/DEFAULTS!$B$54),IF(N$8="(ft^3/year)",(M52*DEFAULTS!$B$57),IF(N$8="(av ft^3/min)",(M52*DEFAULTS!$B$57/DEFAULTS!$B$58),0)))</f>
        <v>939.74751896090697</v>
      </c>
      <c r="O52" s="62">
        <f>IF(ISERROR(METHANE!$J66*DEFAULTS!$B$84*(IF('USER INPUTS'!$B$30="Total landfill gas",(1/($D$5/100)),IF('USER INPUTS'!$B$30="Methane",1,IF('USER INPUTS'!$B$30="Carbon dioxide",((1/($D$5/100))-1),(VLOOKUP('USER INPUTS'!$B$30,DEFAULTS!$E$8:$F$69,2,FALSE))/10^6*(1/($D$5/100))))))),0,METHANE!$J66*DEFAULTS!$B$84*(IF('USER INPUTS'!$B$30="Total landfill gas",(1/($D$5/100)),IF('USER INPUTS'!$B$30="Methane",1,IF('USER INPUTS'!$B$30="Carbon dioxide",((1/($D$5/100))-1),(VLOOKUP('USER INPUTS'!$B$30,DEFAULTS!$E$8:$F$69,2,FALSE))/10^6*(1/($D$5/100)))))))</f>
        <v>0</v>
      </c>
      <c r="P52" s="62">
        <f>IF(ISERROR(METHANE!$J66*(IF('USER INPUTS'!$B$30="Total landfill gas",(1/($D$5/100)),IF('USER INPUTS'!$B$30="Methane",1,IF('USER INPUTS'!$B$30="Carbon dioxide",((1/($D$5/100))-1),(VLOOKUP('USER INPUTS'!$B$30,DEFAULTS!$E$8:$F$69,2,FALSE))/10^6*(1/($D$5/100))))))),0,METHANE!$J66*(IF('USER INPUTS'!$B$30="Total landfill gas",(1/($D$5/100)),IF('USER INPUTS'!$B$30="Methane",1,IF('USER INPUTS'!$B$30="Carbon dioxide",((1/($D$5/100))-1),(VLOOKUP('USER INPUTS'!$B$30,DEFAULTS!$E$8:$F$69,2,FALSE))/10^6*(1/($D$5/100)))))))</f>
        <v>0</v>
      </c>
      <c r="Q52" s="162">
        <f>IF(Q$8="(short tons/year)",(O52*DEFAULTS!$B$55*DEFAULTS!$B$53/DEFAULTS!$B$54),IF(Q$8="(ft^3/year)",(P52*DEFAULTS!$B$57),IF(Q$8="(av ft^3/min)",(P52*DEFAULTS!$B$57/DEFAULTS!$B$58),0)))</f>
        <v>0</v>
      </c>
    </row>
    <row r="53" spans="1:17">
      <c r="A53" s="68">
        <f>METHANE!I67</f>
        <v>2062</v>
      </c>
      <c r="B53" s="66">
        <f>IF(METHANE!E67&gt;0,METHANE!E67,0)</f>
        <v>0</v>
      </c>
      <c r="C53" s="66">
        <f>IF(METHANE!E67&gt;0,METHANE!E67*DEFAULTS!$B$55*DEFAULTS!$B$53/DEFAULTS!$B$54,0)</f>
        <v>0</v>
      </c>
      <c r="D53" s="66">
        <f>IF(METHANE!F67&gt;0,METHANE!F67,0)</f>
        <v>12946986</v>
      </c>
      <c r="E53" s="66">
        <f>IF(METHANE!F67&gt;0,METHANE!F67*DEFAULTS!$B$55*DEFAULTS!$B$53/DEFAULTS!$B$54,0)</f>
        <v>14241684.6</v>
      </c>
      <c r="F53" s="62">
        <f>IF(ISERROR(METHANE!$J67*DEFAULTS!$B$81*(IF('USER INPUTS'!$B$24="Total landfill gas",(1/($D$5/100)),IF('USER INPUTS'!$B$24="Methane",1,IF('USER INPUTS'!$B$24="Carbon dioxide",((1/($D$5/100))-1),(VLOOKUP('USER INPUTS'!$B$24,DEFAULTS!$E$8:$F$69,2,FALSE))/10^6*(1/($D$5/100))))))),0,METHANE!$J67*DEFAULTS!$B$81*(IF('USER INPUTS'!$B$24="Total landfill gas",(1/($D$5/100)),IF('USER INPUTS'!$B$24="Methane",1,IF('USER INPUTS'!$B$24="Carbon dioxide",((1/($D$5/100))-1),(VLOOKUP('USER INPUTS'!$B$24,DEFAULTS!$E$8:$F$69,2,FALSE))/10^6*(1/($D$5/100)))))))</f>
        <v>0</v>
      </c>
      <c r="G53" s="62">
        <f>IF(ISERROR(METHANE!$J67*(IF('USER INPUTS'!$B$24="Total landfill gas",(1/($D$5/100)),IF('USER INPUTS'!$B$24="Methane",1,IF('USER INPUTS'!$B$24="Carbon dioxide",((1/($D$5/100))-1),(VLOOKUP('USER INPUTS'!$B$24,DEFAULTS!$E$8:$F$69,2,FALSE))/10^6*(1/($D$5/100))))))),0,METHANE!$J67*(IF('USER INPUTS'!$B$24="Total landfill gas",(1/($D$5/100)),IF('USER INPUTS'!$B$24="Methane",1,IF('USER INPUTS'!$B$24="Carbon dioxide",((1/($D$5/100))-1),(VLOOKUP('USER INPUTS'!$B$24,DEFAULTS!$E$8:$F$69,2,FALSE))/10^6*(1/($D$5/100)))))))</f>
        <v>0</v>
      </c>
      <c r="H53" s="62">
        <f>IF(H$8="(short tons/year)",(F53*DEFAULTS!$B$55*DEFAULTS!$B$53/DEFAULTS!$B$54),IF(H$8="(ft^3/year)",(G53*DEFAULTS!$B$57),IF(H$8="(av ft^3/min)",(G53*DEFAULTS!$B$57/DEFAULTS!$B$58),0)))</f>
        <v>0</v>
      </c>
      <c r="I53" s="62">
        <f>IF(ISERROR(METHANE!$J67*DEFAULTS!$B$82*(IF('USER INPUTS'!$B$26="Total landfill gas",(1/($D$5/100)),IF('USER INPUTS'!$B$26="Methane",1,IF('USER INPUTS'!$B$26="Carbon dioxide",((1/($D$5/100))-1),(VLOOKUP('USER INPUTS'!$B$26,DEFAULTS!$E$8:$F$69,2,FALSE))/10^6*(1/($D$5/100))))))),0,METHANE!$J67*DEFAULTS!$B$82*(IF('USER INPUTS'!$B$26="Total landfill gas",(1/($D$5/100)),IF('USER INPUTS'!$B$26="Methane",1,IF('USER INPUTS'!$B$26="Carbon dioxide",((1/($D$5/100))-1),(VLOOKUP('USER INPUTS'!$B$26,DEFAULTS!$E$8:$F$69,2,FALSE))/10^6*(1/($D$5/100)))))))</f>
        <v>0</v>
      </c>
      <c r="J53" s="62">
        <f>IF(ISERROR(METHANE!$J67*(IF('USER INPUTS'!$B$26="Total landfill gas",(1/($D$5/100)),IF('USER INPUTS'!$B$26="Methane",1,IF('USER INPUTS'!$B$26="Carbon dioxide",((1/($D$5/100))-1),(VLOOKUP('USER INPUTS'!$B$26,DEFAULTS!$E$8:$F$69,2,FALSE))/10^6*(1/($D$5/100))))))),0,METHANE!$J67*(IF('USER INPUTS'!$B$26="Total landfill gas",(1/($D$5/100)),IF('USER INPUTS'!$B$26="Methane",1,IF('USER INPUTS'!$B$26="Carbon dioxide",((1/($D$5/100))-1),(VLOOKUP('USER INPUTS'!$B$26,DEFAULTS!$E$8:$F$69,2,FALSE))/10^6*(1/($D$5/100)))))))</f>
        <v>0</v>
      </c>
      <c r="K53" s="62">
        <f>IF(K$8="(short tons/year)",(I53*DEFAULTS!$B$55*DEFAULTS!$B$53/DEFAULTS!$B$54),IF(K$8="(ft^3/year)",(J53*DEFAULTS!$B$57),IF(K$8="(av ft^3/min)",(J53*DEFAULTS!$B$57/DEFAULTS!$B$58),0)))</f>
        <v>0</v>
      </c>
      <c r="L53" s="62">
        <f>IF(ISERROR(METHANE!$J67*DEFAULTS!$B$83*(IF('USER INPUTS'!$B$28="Total landfill gas",(1/($D$5/100)),IF('USER INPUTS'!$B$28="Methane",1,IF('USER INPUTS'!$B$28="Carbon dioxide",((1/($D$5/100))-1),(VLOOKUP('USER INPUTS'!$B$28,DEFAULTS!$E$8:$F$69,2,FALSE))/10^6*(1/($D$5/100))))))),0,METHANE!$J67*DEFAULTS!$B$83*(IF('USER INPUTS'!$B$28="Total landfill gas",(1/($D$5/100)),IF('USER INPUTS'!$B$28="Methane",1,IF('USER INPUTS'!$B$28="Carbon dioxide",((1/($D$5/100))-1),(VLOOKUP('USER INPUTS'!$B$28,DEFAULTS!$E$8:$F$69,2,FALSE))/10^6*(1/($D$5/100)))))))</f>
        <v>24598.29473182232</v>
      </c>
      <c r="M53" s="62">
        <f>IF(ISERROR(METHANE!$J67*(IF('USER INPUTS'!$B$28="Total landfill gas",(1/($D$5/100)),IF('USER INPUTS'!$B$28="Methane",1,IF('USER INPUTS'!$B$28="Carbon dioxide",((1/($D$5/100))-1),(VLOOKUP('USER INPUTS'!$B$28,DEFAULTS!$E$8:$F$69,2,FALSE))/10^6*(1/($D$5/100))))))),0,METHANE!$J67*(IF('USER INPUTS'!$B$28="Total landfill gas",(1/($D$5/100)),IF('USER INPUTS'!$B$28="Methane",1,IF('USER INPUTS'!$B$28="Carbon dioxide",((1/($D$5/100))-1),(VLOOKUP('USER INPUTS'!$B$28,DEFAULTS!$E$8:$F$69,2,FALSE))/10^6*(1/($D$5/100)))))))</f>
        <v>13438028.396738263</v>
      </c>
      <c r="N53" s="62">
        <f>IF(N$8="(short tons/year)",(L53*DEFAULTS!$B$55*DEFAULTS!$B$53/DEFAULTS!$B$54),IF(N$8="(ft^3/year)",(M53*DEFAULTS!$B$57),IF(N$8="(av ft^3/min)",(M53*DEFAULTS!$B$57/DEFAULTS!$B$58),0)))</f>
        <v>902.89949168723695</v>
      </c>
      <c r="O53" s="62">
        <f>IF(ISERROR(METHANE!$J67*DEFAULTS!$B$84*(IF('USER INPUTS'!$B$30="Total landfill gas",(1/($D$5/100)),IF('USER INPUTS'!$B$30="Methane",1,IF('USER INPUTS'!$B$30="Carbon dioxide",((1/($D$5/100))-1),(VLOOKUP('USER INPUTS'!$B$30,DEFAULTS!$E$8:$F$69,2,FALSE))/10^6*(1/($D$5/100))))))),0,METHANE!$J67*DEFAULTS!$B$84*(IF('USER INPUTS'!$B$30="Total landfill gas",(1/($D$5/100)),IF('USER INPUTS'!$B$30="Methane",1,IF('USER INPUTS'!$B$30="Carbon dioxide",((1/($D$5/100))-1),(VLOOKUP('USER INPUTS'!$B$30,DEFAULTS!$E$8:$F$69,2,FALSE))/10^6*(1/($D$5/100)))))))</f>
        <v>0</v>
      </c>
      <c r="P53" s="62">
        <f>IF(ISERROR(METHANE!$J67*(IF('USER INPUTS'!$B$30="Total landfill gas",(1/($D$5/100)),IF('USER INPUTS'!$B$30="Methane",1,IF('USER INPUTS'!$B$30="Carbon dioxide",((1/($D$5/100))-1),(VLOOKUP('USER INPUTS'!$B$30,DEFAULTS!$E$8:$F$69,2,FALSE))/10^6*(1/($D$5/100))))))),0,METHANE!$J67*(IF('USER INPUTS'!$B$30="Total landfill gas",(1/($D$5/100)),IF('USER INPUTS'!$B$30="Methane",1,IF('USER INPUTS'!$B$30="Carbon dioxide",((1/($D$5/100))-1),(VLOOKUP('USER INPUTS'!$B$30,DEFAULTS!$E$8:$F$69,2,FALSE))/10^6*(1/($D$5/100)))))))</f>
        <v>0</v>
      </c>
      <c r="Q53" s="162">
        <f>IF(Q$8="(short tons/year)",(O53*DEFAULTS!$B$55*DEFAULTS!$B$53/DEFAULTS!$B$54),IF(Q$8="(ft^3/year)",(P53*DEFAULTS!$B$57),IF(Q$8="(av ft^3/min)",(P53*DEFAULTS!$B$57/DEFAULTS!$B$58),0)))</f>
        <v>0</v>
      </c>
    </row>
    <row r="54" spans="1:17">
      <c r="A54" s="68">
        <f>METHANE!I68</f>
        <v>2063</v>
      </c>
      <c r="B54" s="66">
        <f>IF(METHANE!E68&gt;0,METHANE!E68,0)</f>
        <v>0</v>
      </c>
      <c r="C54" s="66">
        <f>IF(METHANE!E68&gt;0,METHANE!E68*DEFAULTS!$B$55*DEFAULTS!$B$53/DEFAULTS!$B$54,0)</f>
        <v>0</v>
      </c>
      <c r="D54" s="66">
        <f>IF(METHANE!F68&gt;0,METHANE!F68,0)</f>
        <v>12946986</v>
      </c>
      <c r="E54" s="66">
        <f>IF(METHANE!F68&gt;0,METHANE!F68*DEFAULTS!$B$55*DEFAULTS!$B$53/DEFAULTS!$B$54,0)</f>
        <v>14241684.6</v>
      </c>
      <c r="F54" s="62">
        <f>IF(ISERROR(METHANE!$J68*DEFAULTS!$B$81*(IF('USER INPUTS'!$B$24="Total landfill gas",(1/($D$5/100)),IF('USER INPUTS'!$B$24="Methane",1,IF('USER INPUTS'!$B$24="Carbon dioxide",((1/($D$5/100))-1),(VLOOKUP('USER INPUTS'!$B$24,DEFAULTS!$E$8:$F$69,2,FALSE))/10^6*(1/($D$5/100))))))),0,METHANE!$J68*DEFAULTS!$B$81*(IF('USER INPUTS'!$B$24="Total landfill gas",(1/($D$5/100)),IF('USER INPUTS'!$B$24="Methane",1,IF('USER INPUTS'!$B$24="Carbon dioxide",((1/($D$5/100))-1),(VLOOKUP('USER INPUTS'!$B$24,DEFAULTS!$E$8:$F$69,2,FALSE))/10^6*(1/($D$5/100)))))))</f>
        <v>0</v>
      </c>
      <c r="G54" s="62">
        <f>IF(ISERROR(METHANE!$J68*(IF('USER INPUTS'!$B$24="Total landfill gas",(1/($D$5/100)),IF('USER INPUTS'!$B$24="Methane",1,IF('USER INPUTS'!$B$24="Carbon dioxide",((1/($D$5/100))-1),(VLOOKUP('USER INPUTS'!$B$24,DEFAULTS!$E$8:$F$69,2,FALSE))/10^6*(1/($D$5/100))))))),0,METHANE!$J68*(IF('USER INPUTS'!$B$24="Total landfill gas",(1/($D$5/100)),IF('USER INPUTS'!$B$24="Methane",1,IF('USER INPUTS'!$B$24="Carbon dioxide",((1/($D$5/100))-1),(VLOOKUP('USER INPUTS'!$B$24,DEFAULTS!$E$8:$F$69,2,FALSE))/10^6*(1/($D$5/100)))))))</f>
        <v>0</v>
      </c>
      <c r="H54" s="62">
        <f>IF(H$8="(short tons/year)",(F54*DEFAULTS!$B$55*DEFAULTS!$B$53/DEFAULTS!$B$54),IF(H$8="(ft^3/year)",(G54*DEFAULTS!$B$57),IF(H$8="(av ft^3/min)",(G54*DEFAULTS!$B$57/DEFAULTS!$B$58),0)))</f>
        <v>0</v>
      </c>
      <c r="I54" s="62">
        <f>IF(ISERROR(METHANE!$J68*DEFAULTS!$B$82*(IF('USER INPUTS'!$B$26="Total landfill gas",(1/($D$5/100)),IF('USER INPUTS'!$B$26="Methane",1,IF('USER INPUTS'!$B$26="Carbon dioxide",((1/($D$5/100))-1),(VLOOKUP('USER INPUTS'!$B$26,DEFAULTS!$E$8:$F$69,2,FALSE))/10^6*(1/($D$5/100))))))),0,METHANE!$J68*DEFAULTS!$B$82*(IF('USER INPUTS'!$B$26="Total landfill gas",(1/($D$5/100)),IF('USER INPUTS'!$B$26="Methane",1,IF('USER INPUTS'!$B$26="Carbon dioxide",((1/($D$5/100))-1),(VLOOKUP('USER INPUTS'!$B$26,DEFAULTS!$E$8:$F$69,2,FALSE))/10^6*(1/($D$5/100)))))))</f>
        <v>0</v>
      </c>
      <c r="J54" s="62">
        <f>IF(ISERROR(METHANE!$J68*(IF('USER INPUTS'!$B$26="Total landfill gas",(1/($D$5/100)),IF('USER INPUTS'!$B$26="Methane",1,IF('USER INPUTS'!$B$26="Carbon dioxide",((1/($D$5/100))-1),(VLOOKUP('USER INPUTS'!$B$26,DEFAULTS!$E$8:$F$69,2,FALSE))/10^6*(1/($D$5/100))))))),0,METHANE!$J68*(IF('USER INPUTS'!$B$26="Total landfill gas",(1/($D$5/100)),IF('USER INPUTS'!$B$26="Methane",1,IF('USER INPUTS'!$B$26="Carbon dioxide",((1/($D$5/100))-1),(VLOOKUP('USER INPUTS'!$B$26,DEFAULTS!$E$8:$F$69,2,FALSE))/10^6*(1/($D$5/100)))))))</f>
        <v>0</v>
      </c>
      <c r="K54" s="62">
        <f>IF(K$8="(short tons/year)",(I54*DEFAULTS!$B$55*DEFAULTS!$B$53/DEFAULTS!$B$54),IF(K$8="(ft^3/year)",(J54*DEFAULTS!$B$57),IF(K$8="(av ft^3/min)",(J54*DEFAULTS!$B$57/DEFAULTS!$B$58),0)))</f>
        <v>0</v>
      </c>
      <c r="L54" s="62">
        <f>IF(ISERROR(METHANE!$J68*DEFAULTS!$B$83*(IF('USER INPUTS'!$B$28="Total landfill gas",(1/($D$5/100)),IF('USER INPUTS'!$B$28="Methane",1,IF('USER INPUTS'!$B$28="Carbon dioxide",((1/($D$5/100))-1),(VLOOKUP('USER INPUTS'!$B$28,DEFAULTS!$E$8:$F$69,2,FALSE))/10^6*(1/($D$5/100))))))),0,METHANE!$J68*DEFAULTS!$B$83*(IF('USER INPUTS'!$B$28="Total landfill gas",(1/($D$5/100)),IF('USER INPUTS'!$B$28="Methane",1,IF('USER INPUTS'!$B$28="Carbon dioxide",((1/($D$5/100))-1),(VLOOKUP('USER INPUTS'!$B$28,DEFAULTS!$E$8:$F$69,2,FALSE))/10^6*(1/($D$5/100)))))))</f>
        <v>23633.781799491109</v>
      </c>
      <c r="M54" s="62">
        <f>IF(ISERROR(METHANE!$J68*(IF('USER INPUTS'!$B$28="Total landfill gas",(1/($D$5/100)),IF('USER INPUTS'!$B$28="Methane",1,IF('USER INPUTS'!$B$28="Carbon dioxide",((1/($D$5/100))-1),(VLOOKUP('USER INPUTS'!$B$28,DEFAULTS!$E$8:$F$69,2,FALSE))/10^6*(1/($D$5/100))))))),0,METHANE!$J68*(IF('USER INPUTS'!$B$28="Total landfill gas",(1/($D$5/100)),IF('USER INPUTS'!$B$28="Methane",1,IF('USER INPUTS'!$B$28="Carbon dioxide",((1/($D$5/100))-1),(VLOOKUP('USER INPUTS'!$B$28,DEFAULTS!$E$8:$F$69,2,FALSE))/10^6*(1/($D$5/100)))))))</f>
        <v>12911115.766615147</v>
      </c>
      <c r="N54" s="62">
        <f>IF(N$8="(short tons/year)",(L54*DEFAULTS!$B$55*DEFAULTS!$B$53/DEFAULTS!$B$54),IF(N$8="(ft^3/year)",(M54*DEFAULTS!$B$57),IF(N$8="(av ft^3/min)",(M54*DEFAULTS!$B$57/DEFAULTS!$B$58),0)))</f>
        <v>867.49629622909788</v>
      </c>
      <c r="O54" s="62">
        <f>IF(ISERROR(METHANE!$J68*DEFAULTS!$B$84*(IF('USER INPUTS'!$B$30="Total landfill gas",(1/($D$5/100)),IF('USER INPUTS'!$B$30="Methane",1,IF('USER INPUTS'!$B$30="Carbon dioxide",((1/($D$5/100))-1),(VLOOKUP('USER INPUTS'!$B$30,DEFAULTS!$E$8:$F$69,2,FALSE))/10^6*(1/($D$5/100))))))),0,METHANE!$J68*DEFAULTS!$B$84*(IF('USER INPUTS'!$B$30="Total landfill gas",(1/($D$5/100)),IF('USER INPUTS'!$B$30="Methane",1,IF('USER INPUTS'!$B$30="Carbon dioxide",((1/($D$5/100))-1),(VLOOKUP('USER INPUTS'!$B$30,DEFAULTS!$E$8:$F$69,2,FALSE))/10^6*(1/($D$5/100)))))))</f>
        <v>0</v>
      </c>
      <c r="P54" s="62">
        <f>IF(ISERROR(METHANE!$J68*(IF('USER INPUTS'!$B$30="Total landfill gas",(1/($D$5/100)),IF('USER INPUTS'!$B$30="Methane",1,IF('USER INPUTS'!$B$30="Carbon dioxide",((1/($D$5/100))-1),(VLOOKUP('USER INPUTS'!$B$30,DEFAULTS!$E$8:$F$69,2,FALSE))/10^6*(1/($D$5/100))))))),0,METHANE!$J68*(IF('USER INPUTS'!$B$30="Total landfill gas",(1/($D$5/100)),IF('USER INPUTS'!$B$30="Methane",1,IF('USER INPUTS'!$B$30="Carbon dioxide",((1/($D$5/100))-1),(VLOOKUP('USER INPUTS'!$B$30,DEFAULTS!$E$8:$F$69,2,FALSE))/10^6*(1/($D$5/100)))))))</f>
        <v>0</v>
      </c>
      <c r="Q54" s="162">
        <f>IF(Q$8="(short tons/year)",(O54*DEFAULTS!$B$55*DEFAULTS!$B$53/DEFAULTS!$B$54),IF(Q$8="(ft^3/year)",(P54*DEFAULTS!$B$57),IF(Q$8="(av ft^3/min)",(P54*DEFAULTS!$B$57/DEFAULTS!$B$58),0)))</f>
        <v>0</v>
      </c>
    </row>
    <row r="55" spans="1:17">
      <c r="A55" s="68">
        <f>METHANE!I69</f>
        <v>2064</v>
      </c>
      <c r="B55" s="66">
        <f>IF(METHANE!E69&gt;0,METHANE!E69,0)</f>
        <v>0</v>
      </c>
      <c r="C55" s="66">
        <f>IF(METHANE!E69&gt;0,METHANE!E69*DEFAULTS!$B$55*DEFAULTS!$B$53/DEFAULTS!$B$54,0)</f>
        <v>0</v>
      </c>
      <c r="D55" s="66">
        <f>IF(METHANE!F69&gt;0,METHANE!F69,0)</f>
        <v>12946986</v>
      </c>
      <c r="E55" s="66">
        <f>IF(METHANE!F69&gt;0,METHANE!F69*DEFAULTS!$B$55*DEFAULTS!$B$53/DEFAULTS!$B$54,0)</f>
        <v>14241684.6</v>
      </c>
      <c r="F55" s="62">
        <f>IF(ISERROR(METHANE!$J69*DEFAULTS!$B$81*(IF('USER INPUTS'!$B$24="Total landfill gas",(1/($D$5/100)),IF('USER INPUTS'!$B$24="Methane",1,IF('USER INPUTS'!$B$24="Carbon dioxide",((1/($D$5/100))-1),(VLOOKUP('USER INPUTS'!$B$24,DEFAULTS!$E$8:$F$69,2,FALSE))/10^6*(1/($D$5/100))))))),0,METHANE!$J69*DEFAULTS!$B$81*(IF('USER INPUTS'!$B$24="Total landfill gas",(1/($D$5/100)),IF('USER INPUTS'!$B$24="Methane",1,IF('USER INPUTS'!$B$24="Carbon dioxide",((1/($D$5/100))-1),(VLOOKUP('USER INPUTS'!$B$24,DEFAULTS!$E$8:$F$69,2,FALSE))/10^6*(1/($D$5/100)))))))</f>
        <v>0</v>
      </c>
      <c r="G55" s="62">
        <f>IF(ISERROR(METHANE!$J69*(IF('USER INPUTS'!$B$24="Total landfill gas",(1/($D$5/100)),IF('USER INPUTS'!$B$24="Methane",1,IF('USER INPUTS'!$B$24="Carbon dioxide",((1/($D$5/100))-1),(VLOOKUP('USER INPUTS'!$B$24,DEFAULTS!$E$8:$F$69,2,FALSE))/10^6*(1/($D$5/100))))))),0,METHANE!$J69*(IF('USER INPUTS'!$B$24="Total landfill gas",(1/($D$5/100)),IF('USER INPUTS'!$B$24="Methane",1,IF('USER INPUTS'!$B$24="Carbon dioxide",((1/($D$5/100))-1),(VLOOKUP('USER INPUTS'!$B$24,DEFAULTS!$E$8:$F$69,2,FALSE))/10^6*(1/($D$5/100)))))))</f>
        <v>0</v>
      </c>
      <c r="H55" s="62">
        <f>IF(H$8="(short tons/year)",(F55*DEFAULTS!$B$55*DEFAULTS!$B$53/DEFAULTS!$B$54),IF(H$8="(ft^3/year)",(G55*DEFAULTS!$B$57),IF(H$8="(av ft^3/min)",(G55*DEFAULTS!$B$57/DEFAULTS!$B$58),0)))</f>
        <v>0</v>
      </c>
      <c r="I55" s="62">
        <f>IF(ISERROR(METHANE!$J69*DEFAULTS!$B$82*(IF('USER INPUTS'!$B$26="Total landfill gas",(1/($D$5/100)),IF('USER INPUTS'!$B$26="Methane",1,IF('USER INPUTS'!$B$26="Carbon dioxide",((1/($D$5/100))-1),(VLOOKUP('USER INPUTS'!$B$26,DEFAULTS!$E$8:$F$69,2,FALSE))/10^6*(1/($D$5/100))))))),0,METHANE!$J69*DEFAULTS!$B$82*(IF('USER INPUTS'!$B$26="Total landfill gas",(1/($D$5/100)),IF('USER INPUTS'!$B$26="Methane",1,IF('USER INPUTS'!$B$26="Carbon dioxide",((1/($D$5/100))-1),(VLOOKUP('USER INPUTS'!$B$26,DEFAULTS!$E$8:$F$69,2,FALSE))/10^6*(1/($D$5/100)))))))</f>
        <v>0</v>
      </c>
      <c r="J55" s="62">
        <f>IF(ISERROR(METHANE!$J69*(IF('USER INPUTS'!$B$26="Total landfill gas",(1/($D$5/100)),IF('USER INPUTS'!$B$26="Methane",1,IF('USER INPUTS'!$B$26="Carbon dioxide",((1/($D$5/100))-1),(VLOOKUP('USER INPUTS'!$B$26,DEFAULTS!$E$8:$F$69,2,FALSE))/10^6*(1/($D$5/100))))))),0,METHANE!$J69*(IF('USER INPUTS'!$B$26="Total landfill gas",(1/($D$5/100)),IF('USER INPUTS'!$B$26="Methane",1,IF('USER INPUTS'!$B$26="Carbon dioxide",((1/($D$5/100))-1),(VLOOKUP('USER INPUTS'!$B$26,DEFAULTS!$E$8:$F$69,2,FALSE))/10^6*(1/($D$5/100)))))))</f>
        <v>0</v>
      </c>
      <c r="K55" s="62">
        <f>IF(K$8="(short tons/year)",(I55*DEFAULTS!$B$55*DEFAULTS!$B$53/DEFAULTS!$B$54),IF(K$8="(ft^3/year)",(J55*DEFAULTS!$B$57),IF(K$8="(av ft^3/min)",(J55*DEFAULTS!$B$57/DEFAULTS!$B$58),0)))</f>
        <v>0</v>
      </c>
      <c r="L55" s="62">
        <f>IF(ISERROR(METHANE!$J69*DEFAULTS!$B$83*(IF('USER INPUTS'!$B$28="Total landfill gas",(1/($D$5/100)),IF('USER INPUTS'!$B$28="Methane",1,IF('USER INPUTS'!$B$28="Carbon dioxide",((1/($D$5/100))-1),(VLOOKUP('USER INPUTS'!$B$28,DEFAULTS!$E$8:$F$69,2,FALSE))/10^6*(1/($D$5/100))))))),0,METHANE!$J69*DEFAULTS!$B$83*(IF('USER INPUTS'!$B$28="Total landfill gas",(1/($D$5/100)),IF('USER INPUTS'!$B$28="Methane",1,IF('USER INPUTS'!$B$28="Carbon dioxide",((1/($D$5/100))-1),(VLOOKUP('USER INPUTS'!$B$28,DEFAULTS!$E$8:$F$69,2,FALSE))/10^6*(1/($D$5/100)))))))</f>
        <v>22707.087960181445</v>
      </c>
      <c r="M55" s="62">
        <f>IF(ISERROR(METHANE!$J69*(IF('USER INPUTS'!$B$28="Total landfill gas",(1/($D$5/100)),IF('USER INPUTS'!$B$28="Methane",1,IF('USER INPUTS'!$B$28="Carbon dioxide",((1/($D$5/100))-1),(VLOOKUP('USER INPUTS'!$B$28,DEFAULTS!$E$8:$F$69,2,FALSE))/10^6*(1/($D$5/100))))))),0,METHANE!$J69*(IF('USER INPUTS'!$B$28="Total landfill gas",(1/($D$5/100)),IF('USER INPUTS'!$B$28="Methane",1,IF('USER INPUTS'!$B$28="Carbon dioxide",((1/($D$5/100))-1),(VLOOKUP('USER INPUTS'!$B$28,DEFAULTS!$E$8:$F$69,2,FALSE))/10^6*(1/($D$5/100)))))))</f>
        <v>12404863.676236885</v>
      </c>
      <c r="N55" s="62">
        <f>IF(N$8="(short tons/year)",(L55*DEFAULTS!$B$55*DEFAULTS!$B$53/DEFAULTS!$B$54),IF(N$8="(ft^3/year)",(M55*DEFAULTS!$B$57),IF(N$8="(av ft^3/min)",(M55*DEFAULTS!$B$57/DEFAULTS!$B$58),0)))</f>
        <v>833.4812799206727</v>
      </c>
      <c r="O55" s="62">
        <f>IF(ISERROR(METHANE!$J69*DEFAULTS!$B$84*(IF('USER INPUTS'!$B$30="Total landfill gas",(1/($D$5/100)),IF('USER INPUTS'!$B$30="Methane",1,IF('USER INPUTS'!$B$30="Carbon dioxide",((1/($D$5/100))-1),(VLOOKUP('USER INPUTS'!$B$30,DEFAULTS!$E$8:$F$69,2,FALSE))/10^6*(1/($D$5/100))))))),0,METHANE!$J69*DEFAULTS!$B$84*(IF('USER INPUTS'!$B$30="Total landfill gas",(1/($D$5/100)),IF('USER INPUTS'!$B$30="Methane",1,IF('USER INPUTS'!$B$30="Carbon dioxide",((1/($D$5/100))-1),(VLOOKUP('USER INPUTS'!$B$30,DEFAULTS!$E$8:$F$69,2,FALSE))/10^6*(1/($D$5/100)))))))</f>
        <v>0</v>
      </c>
      <c r="P55" s="62">
        <f>IF(ISERROR(METHANE!$J69*(IF('USER INPUTS'!$B$30="Total landfill gas",(1/($D$5/100)),IF('USER INPUTS'!$B$30="Methane",1,IF('USER INPUTS'!$B$30="Carbon dioxide",((1/($D$5/100))-1),(VLOOKUP('USER INPUTS'!$B$30,DEFAULTS!$E$8:$F$69,2,FALSE))/10^6*(1/($D$5/100))))))),0,METHANE!$J69*(IF('USER INPUTS'!$B$30="Total landfill gas",(1/($D$5/100)),IF('USER INPUTS'!$B$30="Methane",1,IF('USER INPUTS'!$B$30="Carbon dioxide",((1/($D$5/100))-1),(VLOOKUP('USER INPUTS'!$B$30,DEFAULTS!$E$8:$F$69,2,FALSE))/10^6*(1/($D$5/100)))))))</f>
        <v>0</v>
      </c>
      <c r="Q55" s="162">
        <f>IF(Q$8="(short tons/year)",(O55*DEFAULTS!$B$55*DEFAULTS!$B$53/DEFAULTS!$B$54),IF(Q$8="(ft^3/year)",(P55*DEFAULTS!$B$57),IF(Q$8="(av ft^3/min)",(P55*DEFAULTS!$B$57/DEFAULTS!$B$58),0)))</f>
        <v>0</v>
      </c>
    </row>
    <row r="56" spans="1:17">
      <c r="A56" s="68">
        <f>METHANE!I70</f>
        <v>2065</v>
      </c>
      <c r="B56" s="66">
        <f>IF(METHANE!E70&gt;0,METHANE!E70,0)</f>
        <v>0</v>
      </c>
      <c r="C56" s="66">
        <f>IF(METHANE!E70&gt;0,METHANE!E70*DEFAULTS!$B$55*DEFAULTS!$B$53/DEFAULTS!$B$54,0)</f>
        <v>0</v>
      </c>
      <c r="D56" s="66">
        <f>IF(METHANE!F70&gt;0,METHANE!F70,0)</f>
        <v>12946986</v>
      </c>
      <c r="E56" s="66">
        <f>IF(METHANE!F70&gt;0,METHANE!F70*DEFAULTS!$B$55*DEFAULTS!$B$53/DEFAULTS!$B$54,0)</f>
        <v>14241684.6</v>
      </c>
      <c r="F56" s="62">
        <f>IF(ISERROR(METHANE!$J70*DEFAULTS!$B$81*(IF('USER INPUTS'!$B$24="Total landfill gas",(1/($D$5/100)),IF('USER INPUTS'!$B$24="Methane",1,IF('USER INPUTS'!$B$24="Carbon dioxide",((1/($D$5/100))-1),(VLOOKUP('USER INPUTS'!$B$24,DEFAULTS!$E$8:$F$69,2,FALSE))/10^6*(1/($D$5/100))))))),0,METHANE!$J70*DEFAULTS!$B$81*(IF('USER INPUTS'!$B$24="Total landfill gas",(1/($D$5/100)),IF('USER INPUTS'!$B$24="Methane",1,IF('USER INPUTS'!$B$24="Carbon dioxide",((1/($D$5/100))-1),(VLOOKUP('USER INPUTS'!$B$24,DEFAULTS!$E$8:$F$69,2,FALSE))/10^6*(1/($D$5/100)))))))</f>
        <v>0</v>
      </c>
      <c r="G56" s="62">
        <f>IF(ISERROR(METHANE!$J70*(IF('USER INPUTS'!$B$24="Total landfill gas",(1/($D$5/100)),IF('USER INPUTS'!$B$24="Methane",1,IF('USER INPUTS'!$B$24="Carbon dioxide",((1/($D$5/100))-1),(VLOOKUP('USER INPUTS'!$B$24,DEFAULTS!$E$8:$F$69,2,FALSE))/10^6*(1/($D$5/100))))))),0,METHANE!$J70*(IF('USER INPUTS'!$B$24="Total landfill gas",(1/($D$5/100)),IF('USER INPUTS'!$B$24="Methane",1,IF('USER INPUTS'!$B$24="Carbon dioxide",((1/($D$5/100))-1),(VLOOKUP('USER INPUTS'!$B$24,DEFAULTS!$E$8:$F$69,2,FALSE))/10^6*(1/($D$5/100)))))))</f>
        <v>0</v>
      </c>
      <c r="H56" s="62">
        <f>IF(H$8="(short tons/year)",(F56*DEFAULTS!$B$55*DEFAULTS!$B$53/DEFAULTS!$B$54),IF(H$8="(ft^3/year)",(G56*DEFAULTS!$B$57),IF(H$8="(av ft^3/min)",(G56*DEFAULTS!$B$57/DEFAULTS!$B$58),0)))</f>
        <v>0</v>
      </c>
      <c r="I56" s="62">
        <f>IF(ISERROR(METHANE!$J70*DEFAULTS!$B$82*(IF('USER INPUTS'!$B$26="Total landfill gas",(1/($D$5/100)),IF('USER INPUTS'!$B$26="Methane",1,IF('USER INPUTS'!$B$26="Carbon dioxide",((1/($D$5/100))-1),(VLOOKUP('USER INPUTS'!$B$26,DEFAULTS!$E$8:$F$69,2,FALSE))/10^6*(1/($D$5/100))))))),0,METHANE!$J70*DEFAULTS!$B$82*(IF('USER INPUTS'!$B$26="Total landfill gas",(1/($D$5/100)),IF('USER INPUTS'!$B$26="Methane",1,IF('USER INPUTS'!$B$26="Carbon dioxide",((1/($D$5/100))-1),(VLOOKUP('USER INPUTS'!$B$26,DEFAULTS!$E$8:$F$69,2,FALSE))/10^6*(1/($D$5/100)))))))</f>
        <v>0</v>
      </c>
      <c r="J56" s="62">
        <f>IF(ISERROR(METHANE!$J70*(IF('USER INPUTS'!$B$26="Total landfill gas",(1/($D$5/100)),IF('USER INPUTS'!$B$26="Methane",1,IF('USER INPUTS'!$B$26="Carbon dioxide",((1/($D$5/100))-1),(VLOOKUP('USER INPUTS'!$B$26,DEFAULTS!$E$8:$F$69,2,FALSE))/10^6*(1/($D$5/100))))))),0,METHANE!$J70*(IF('USER INPUTS'!$B$26="Total landfill gas",(1/($D$5/100)),IF('USER INPUTS'!$B$26="Methane",1,IF('USER INPUTS'!$B$26="Carbon dioxide",((1/($D$5/100))-1),(VLOOKUP('USER INPUTS'!$B$26,DEFAULTS!$E$8:$F$69,2,FALSE))/10^6*(1/($D$5/100)))))))</f>
        <v>0</v>
      </c>
      <c r="K56" s="62">
        <f>IF(K$8="(short tons/year)",(I56*DEFAULTS!$B$55*DEFAULTS!$B$53/DEFAULTS!$B$54),IF(K$8="(ft^3/year)",(J56*DEFAULTS!$B$57),IF(K$8="(av ft^3/min)",(J56*DEFAULTS!$B$57/DEFAULTS!$B$58),0)))</f>
        <v>0</v>
      </c>
      <c r="L56" s="62">
        <f>IF(ISERROR(METHANE!$J70*DEFAULTS!$B$83*(IF('USER INPUTS'!$B$28="Total landfill gas",(1/($D$5/100)),IF('USER INPUTS'!$B$28="Methane",1,IF('USER INPUTS'!$B$28="Carbon dioxide",((1/($D$5/100))-1),(VLOOKUP('USER INPUTS'!$B$28,DEFAULTS!$E$8:$F$69,2,FALSE))/10^6*(1/($D$5/100))))))),0,METHANE!$J70*DEFAULTS!$B$83*(IF('USER INPUTS'!$B$28="Total landfill gas",(1/($D$5/100)),IF('USER INPUTS'!$B$28="Methane",1,IF('USER INPUTS'!$B$28="Carbon dioxide",((1/($D$5/100))-1),(VLOOKUP('USER INPUTS'!$B$28,DEFAULTS!$E$8:$F$69,2,FALSE))/10^6*(1/($D$5/100)))))))</f>
        <v>21816.730306045207</v>
      </c>
      <c r="M56" s="62">
        <f>IF(ISERROR(METHANE!$J70*(IF('USER INPUTS'!$B$28="Total landfill gas",(1/($D$5/100)),IF('USER INPUTS'!$B$28="Methane",1,IF('USER INPUTS'!$B$28="Carbon dioxide",((1/($D$5/100))-1),(VLOOKUP('USER INPUTS'!$B$28,DEFAULTS!$E$8:$F$69,2,FALSE))/10^6*(1/($D$5/100))))))),0,METHANE!$J70*(IF('USER INPUTS'!$B$28="Total landfill gas",(1/($D$5/100)),IF('USER INPUTS'!$B$28="Methane",1,IF('USER INPUTS'!$B$28="Carbon dioxide",((1/($D$5/100))-1),(VLOOKUP('USER INPUTS'!$B$28,DEFAULTS!$E$8:$F$69,2,FALSE))/10^6*(1/($D$5/100)))))))</f>
        <v>11918462.014252665</v>
      </c>
      <c r="N56" s="62">
        <f>IF(N$8="(short tons/year)",(L56*DEFAULTS!$B$55*DEFAULTS!$B$53/DEFAULTS!$B$54),IF(N$8="(ft^3/year)",(M56*DEFAULTS!$B$57),IF(N$8="(av ft^3/min)",(M56*DEFAULTS!$B$57/DEFAULTS!$B$58),0)))</f>
        <v>800.8000114789437</v>
      </c>
      <c r="O56" s="62">
        <f>IF(ISERROR(METHANE!$J70*DEFAULTS!$B$84*(IF('USER INPUTS'!$B$30="Total landfill gas",(1/($D$5/100)),IF('USER INPUTS'!$B$30="Methane",1,IF('USER INPUTS'!$B$30="Carbon dioxide",((1/($D$5/100))-1),(VLOOKUP('USER INPUTS'!$B$30,DEFAULTS!$E$8:$F$69,2,FALSE))/10^6*(1/($D$5/100))))))),0,METHANE!$J70*DEFAULTS!$B$84*(IF('USER INPUTS'!$B$30="Total landfill gas",(1/($D$5/100)),IF('USER INPUTS'!$B$30="Methane",1,IF('USER INPUTS'!$B$30="Carbon dioxide",((1/($D$5/100))-1),(VLOOKUP('USER INPUTS'!$B$30,DEFAULTS!$E$8:$F$69,2,FALSE))/10^6*(1/($D$5/100)))))))</f>
        <v>0</v>
      </c>
      <c r="P56" s="62">
        <f>IF(ISERROR(METHANE!$J70*(IF('USER INPUTS'!$B$30="Total landfill gas",(1/($D$5/100)),IF('USER INPUTS'!$B$30="Methane",1,IF('USER INPUTS'!$B$30="Carbon dioxide",((1/($D$5/100))-1),(VLOOKUP('USER INPUTS'!$B$30,DEFAULTS!$E$8:$F$69,2,FALSE))/10^6*(1/($D$5/100))))))),0,METHANE!$J70*(IF('USER INPUTS'!$B$30="Total landfill gas",(1/($D$5/100)),IF('USER INPUTS'!$B$30="Methane",1,IF('USER INPUTS'!$B$30="Carbon dioxide",((1/($D$5/100))-1),(VLOOKUP('USER INPUTS'!$B$30,DEFAULTS!$E$8:$F$69,2,FALSE))/10^6*(1/($D$5/100)))))))</f>
        <v>0</v>
      </c>
      <c r="Q56" s="162">
        <f>IF(Q$8="(short tons/year)",(O56*DEFAULTS!$B$55*DEFAULTS!$B$53/DEFAULTS!$B$54),IF(Q$8="(ft^3/year)",(P56*DEFAULTS!$B$57),IF(Q$8="(av ft^3/min)",(P56*DEFAULTS!$B$57/DEFAULTS!$B$58),0)))</f>
        <v>0</v>
      </c>
    </row>
    <row r="57" spans="1:17">
      <c r="A57" s="68">
        <f>METHANE!I71</f>
        <v>2066</v>
      </c>
      <c r="B57" s="66">
        <f>IF(METHANE!E71&gt;0,METHANE!E71,0)</f>
        <v>0</v>
      </c>
      <c r="C57" s="66">
        <f>IF(METHANE!E71&gt;0,METHANE!E71*DEFAULTS!$B$55*DEFAULTS!$B$53/DEFAULTS!$B$54,0)</f>
        <v>0</v>
      </c>
      <c r="D57" s="66">
        <f>IF(METHANE!F71&gt;0,METHANE!F71,0)</f>
        <v>12946986</v>
      </c>
      <c r="E57" s="66">
        <f>IF(METHANE!F71&gt;0,METHANE!F71*DEFAULTS!$B$55*DEFAULTS!$B$53/DEFAULTS!$B$54,0)</f>
        <v>14241684.6</v>
      </c>
      <c r="F57" s="62">
        <f>IF(ISERROR(METHANE!$J71*DEFAULTS!$B$81*(IF('USER INPUTS'!$B$24="Total landfill gas",(1/($D$5/100)),IF('USER INPUTS'!$B$24="Methane",1,IF('USER INPUTS'!$B$24="Carbon dioxide",((1/($D$5/100))-1),(VLOOKUP('USER INPUTS'!$B$24,DEFAULTS!$E$8:$F$69,2,FALSE))/10^6*(1/($D$5/100))))))),0,METHANE!$J71*DEFAULTS!$B$81*(IF('USER INPUTS'!$B$24="Total landfill gas",(1/($D$5/100)),IF('USER INPUTS'!$B$24="Methane",1,IF('USER INPUTS'!$B$24="Carbon dioxide",((1/($D$5/100))-1),(VLOOKUP('USER INPUTS'!$B$24,DEFAULTS!$E$8:$F$69,2,FALSE))/10^6*(1/($D$5/100)))))))</f>
        <v>0</v>
      </c>
      <c r="G57" s="62">
        <f>IF(ISERROR(METHANE!$J71*(IF('USER INPUTS'!$B$24="Total landfill gas",(1/($D$5/100)),IF('USER INPUTS'!$B$24="Methane",1,IF('USER INPUTS'!$B$24="Carbon dioxide",((1/($D$5/100))-1),(VLOOKUP('USER INPUTS'!$B$24,DEFAULTS!$E$8:$F$69,2,FALSE))/10^6*(1/($D$5/100))))))),0,METHANE!$J71*(IF('USER INPUTS'!$B$24="Total landfill gas",(1/($D$5/100)),IF('USER INPUTS'!$B$24="Methane",1,IF('USER INPUTS'!$B$24="Carbon dioxide",((1/($D$5/100))-1),(VLOOKUP('USER INPUTS'!$B$24,DEFAULTS!$E$8:$F$69,2,FALSE))/10^6*(1/($D$5/100)))))))</f>
        <v>0</v>
      </c>
      <c r="H57" s="62">
        <f>IF(H$8="(short tons/year)",(F57*DEFAULTS!$B$55*DEFAULTS!$B$53/DEFAULTS!$B$54),IF(H$8="(ft^3/year)",(G57*DEFAULTS!$B$57),IF(H$8="(av ft^3/min)",(G57*DEFAULTS!$B$57/DEFAULTS!$B$58),0)))</f>
        <v>0</v>
      </c>
      <c r="I57" s="62">
        <f>IF(ISERROR(METHANE!$J71*DEFAULTS!$B$82*(IF('USER INPUTS'!$B$26="Total landfill gas",(1/($D$5/100)),IF('USER INPUTS'!$B$26="Methane",1,IF('USER INPUTS'!$B$26="Carbon dioxide",((1/($D$5/100))-1),(VLOOKUP('USER INPUTS'!$B$26,DEFAULTS!$E$8:$F$69,2,FALSE))/10^6*(1/($D$5/100))))))),0,METHANE!$J71*DEFAULTS!$B$82*(IF('USER INPUTS'!$B$26="Total landfill gas",(1/($D$5/100)),IF('USER INPUTS'!$B$26="Methane",1,IF('USER INPUTS'!$B$26="Carbon dioxide",((1/($D$5/100))-1),(VLOOKUP('USER INPUTS'!$B$26,DEFAULTS!$E$8:$F$69,2,FALSE))/10^6*(1/($D$5/100)))))))</f>
        <v>0</v>
      </c>
      <c r="J57" s="62">
        <f>IF(ISERROR(METHANE!$J71*(IF('USER INPUTS'!$B$26="Total landfill gas",(1/($D$5/100)),IF('USER INPUTS'!$B$26="Methane",1,IF('USER INPUTS'!$B$26="Carbon dioxide",((1/($D$5/100))-1),(VLOOKUP('USER INPUTS'!$B$26,DEFAULTS!$E$8:$F$69,2,FALSE))/10^6*(1/($D$5/100))))))),0,METHANE!$J71*(IF('USER INPUTS'!$B$26="Total landfill gas",(1/($D$5/100)),IF('USER INPUTS'!$B$26="Methane",1,IF('USER INPUTS'!$B$26="Carbon dioxide",((1/($D$5/100))-1),(VLOOKUP('USER INPUTS'!$B$26,DEFAULTS!$E$8:$F$69,2,FALSE))/10^6*(1/($D$5/100)))))))</f>
        <v>0</v>
      </c>
      <c r="K57" s="62">
        <f>IF(K$8="(short tons/year)",(I57*DEFAULTS!$B$55*DEFAULTS!$B$53/DEFAULTS!$B$54),IF(K$8="(ft^3/year)",(J57*DEFAULTS!$B$57),IF(K$8="(av ft^3/min)",(J57*DEFAULTS!$B$57/DEFAULTS!$B$58),0)))</f>
        <v>0</v>
      </c>
      <c r="L57" s="62">
        <f>IF(ISERROR(METHANE!$J71*DEFAULTS!$B$83*(IF('USER INPUTS'!$B$28="Total landfill gas",(1/($D$5/100)),IF('USER INPUTS'!$B$28="Methane",1,IF('USER INPUTS'!$B$28="Carbon dioxide",((1/($D$5/100))-1),(VLOOKUP('USER INPUTS'!$B$28,DEFAULTS!$E$8:$F$69,2,FALSE))/10^6*(1/($D$5/100))))))),0,METHANE!$J71*DEFAULTS!$B$83*(IF('USER INPUTS'!$B$28="Total landfill gas",(1/($D$5/100)),IF('USER INPUTS'!$B$28="Methane",1,IF('USER INPUTS'!$B$28="Carbon dioxide",((1/($D$5/100))-1),(VLOOKUP('USER INPUTS'!$B$28,DEFAULTS!$E$8:$F$69,2,FALSE))/10^6*(1/($D$5/100)))))))</f>
        <v>20961.284074882667</v>
      </c>
      <c r="M57" s="62">
        <f>IF(ISERROR(METHANE!$J71*(IF('USER INPUTS'!$B$28="Total landfill gas",(1/($D$5/100)),IF('USER INPUTS'!$B$28="Methane",1,IF('USER INPUTS'!$B$28="Carbon dioxide",((1/($D$5/100))-1),(VLOOKUP('USER INPUTS'!$B$28,DEFAULTS!$E$8:$F$69,2,FALSE))/10^6*(1/($D$5/100))))))),0,METHANE!$J71*(IF('USER INPUTS'!$B$28="Total landfill gas",(1/($D$5/100)),IF('USER INPUTS'!$B$28="Methane",1,IF('USER INPUTS'!$B$28="Carbon dioxide",((1/($D$5/100))-1),(VLOOKUP('USER INPUTS'!$B$28,DEFAULTS!$E$8:$F$69,2,FALSE))/10^6*(1/($D$5/100)))))))</f>
        <v>11451132.434232084</v>
      </c>
      <c r="N57" s="62">
        <f>IF(N$8="(short tons/year)",(L57*DEFAULTS!$B$55*DEFAULTS!$B$53/DEFAULTS!$B$54),IF(N$8="(ft^3/year)",(M57*DEFAULTS!$B$57),IF(N$8="(av ft^3/min)",(M57*DEFAULTS!$B$57/DEFAULTS!$B$58),0)))</f>
        <v>769.40019390202815</v>
      </c>
      <c r="O57" s="62">
        <f>IF(ISERROR(METHANE!$J71*DEFAULTS!$B$84*(IF('USER INPUTS'!$B$30="Total landfill gas",(1/($D$5/100)),IF('USER INPUTS'!$B$30="Methane",1,IF('USER INPUTS'!$B$30="Carbon dioxide",((1/($D$5/100))-1),(VLOOKUP('USER INPUTS'!$B$30,DEFAULTS!$E$8:$F$69,2,FALSE))/10^6*(1/($D$5/100))))))),0,METHANE!$J71*DEFAULTS!$B$84*(IF('USER INPUTS'!$B$30="Total landfill gas",(1/($D$5/100)),IF('USER INPUTS'!$B$30="Methane",1,IF('USER INPUTS'!$B$30="Carbon dioxide",((1/($D$5/100))-1),(VLOOKUP('USER INPUTS'!$B$30,DEFAULTS!$E$8:$F$69,2,FALSE))/10^6*(1/($D$5/100)))))))</f>
        <v>0</v>
      </c>
      <c r="P57" s="62">
        <f>IF(ISERROR(METHANE!$J71*(IF('USER INPUTS'!$B$30="Total landfill gas",(1/($D$5/100)),IF('USER INPUTS'!$B$30="Methane",1,IF('USER INPUTS'!$B$30="Carbon dioxide",((1/($D$5/100))-1),(VLOOKUP('USER INPUTS'!$B$30,DEFAULTS!$E$8:$F$69,2,FALSE))/10^6*(1/($D$5/100))))))),0,METHANE!$J71*(IF('USER INPUTS'!$B$30="Total landfill gas",(1/($D$5/100)),IF('USER INPUTS'!$B$30="Methane",1,IF('USER INPUTS'!$B$30="Carbon dioxide",((1/($D$5/100))-1),(VLOOKUP('USER INPUTS'!$B$30,DEFAULTS!$E$8:$F$69,2,FALSE))/10^6*(1/($D$5/100)))))))</f>
        <v>0</v>
      </c>
      <c r="Q57" s="162">
        <f>IF(Q$8="(short tons/year)",(O57*DEFAULTS!$B$55*DEFAULTS!$B$53/DEFAULTS!$B$54),IF(Q$8="(ft^3/year)",(P57*DEFAULTS!$B$57),IF(Q$8="(av ft^3/min)",(P57*DEFAULTS!$B$57/DEFAULTS!$B$58),0)))</f>
        <v>0</v>
      </c>
    </row>
    <row r="58" spans="1:17">
      <c r="A58" s="68">
        <f>METHANE!I72</f>
        <v>2067</v>
      </c>
      <c r="B58" s="66">
        <f>IF(METHANE!E72&gt;0,METHANE!E72,0)</f>
        <v>0</v>
      </c>
      <c r="C58" s="66">
        <f>IF(METHANE!E72&gt;0,METHANE!E72*DEFAULTS!$B$55*DEFAULTS!$B$53/DEFAULTS!$B$54,0)</f>
        <v>0</v>
      </c>
      <c r="D58" s="66">
        <f>IF(METHANE!F72&gt;0,METHANE!F72,0)</f>
        <v>12946986</v>
      </c>
      <c r="E58" s="66">
        <f>IF(METHANE!F72&gt;0,METHANE!F72*DEFAULTS!$B$55*DEFAULTS!$B$53/DEFAULTS!$B$54,0)</f>
        <v>14241684.6</v>
      </c>
      <c r="F58" s="62">
        <f>IF(ISERROR(METHANE!$J72*DEFAULTS!$B$81*(IF('USER INPUTS'!$B$24="Total landfill gas",(1/($D$5/100)),IF('USER INPUTS'!$B$24="Methane",1,IF('USER INPUTS'!$B$24="Carbon dioxide",((1/($D$5/100))-1),(VLOOKUP('USER INPUTS'!$B$24,DEFAULTS!$E$8:$F$69,2,FALSE))/10^6*(1/($D$5/100))))))),0,METHANE!$J72*DEFAULTS!$B$81*(IF('USER INPUTS'!$B$24="Total landfill gas",(1/($D$5/100)),IF('USER INPUTS'!$B$24="Methane",1,IF('USER INPUTS'!$B$24="Carbon dioxide",((1/($D$5/100))-1),(VLOOKUP('USER INPUTS'!$B$24,DEFAULTS!$E$8:$F$69,2,FALSE))/10^6*(1/($D$5/100)))))))</f>
        <v>0</v>
      </c>
      <c r="G58" s="62">
        <f>IF(ISERROR(METHANE!$J72*(IF('USER INPUTS'!$B$24="Total landfill gas",(1/($D$5/100)),IF('USER INPUTS'!$B$24="Methane",1,IF('USER INPUTS'!$B$24="Carbon dioxide",((1/($D$5/100))-1),(VLOOKUP('USER INPUTS'!$B$24,DEFAULTS!$E$8:$F$69,2,FALSE))/10^6*(1/($D$5/100))))))),0,METHANE!$J72*(IF('USER INPUTS'!$B$24="Total landfill gas",(1/($D$5/100)),IF('USER INPUTS'!$B$24="Methane",1,IF('USER INPUTS'!$B$24="Carbon dioxide",((1/($D$5/100))-1),(VLOOKUP('USER INPUTS'!$B$24,DEFAULTS!$E$8:$F$69,2,FALSE))/10^6*(1/($D$5/100)))))))</f>
        <v>0</v>
      </c>
      <c r="H58" s="62">
        <f>IF(H$8="(short tons/year)",(F58*DEFAULTS!$B$55*DEFAULTS!$B$53/DEFAULTS!$B$54),IF(H$8="(ft^3/year)",(G58*DEFAULTS!$B$57),IF(H$8="(av ft^3/min)",(G58*DEFAULTS!$B$57/DEFAULTS!$B$58),0)))</f>
        <v>0</v>
      </c>
      <c r="I58" s="62">
        <f>IF(ISERROR(METHANE!$J72*DEFAULTS!$B$82*(IF('USER INPUTS'!$B$26="Total landfill gas",(1/($D$5/100)),IF('USER INPUTS'!$B$26="Methane",1,IF('USER INPUTS'!$B$26="Carbon dioxide",((1/($D$5/100))-1),(VLOOKUP('USER INPUTS'!$B$26,DEFAULTS!$E$8:$F$69,2,FALSE))/10^6*(1/($D$5/100))))))),0,METHANE!$J72*DEFAULTS!$B$82*(IF('USER INPUTS'!$B$26="Total landfill gas",(1/($D$5/100)),IF('USER INPUTS'!$B$26="Methane",1,IF('USER INPUTS'!$B$26="Carbon dioxide",((1/($D$5/100))-1),(VLOOKUP('USER INPUTS'!$B$26,DEFAULTS!$E$8:$F$69,2,FALSE))/10^6*(1/($D$5/100)))))))</f>
        <v>0</v>
      </c>
      <c r="J58" s="62">
        <f>IF(ISERROR(METHANE!$J72*(IF('USER INPUTS'!$B$26="Total landfill gas",(1/($D$5/100)),IF('USER INPUTS'!$B$26="Methane",1,IF('USER INPUTS'!$B$26="Carbon dioxide",((1/($D$5/100))-1),(VLOOKUP('USER INPUTS'!$B$26,DEFAULTS!$E$8:$F$69,2,FALSE))/10^6*(1/($D$5/100))))))),0,METHANE!$J72*(IF('USER INPUTS'!$B$26="Total landfill gas",(1/($D$5/100)),IF('USER INPUTS'!$B$26="Methane",1,IF('USER INPUTS'!$B$26="Carbon dioxide",((1/($D$5/100))-1),(VLOOKUP('USER INPUTS'!$B$26,DEFAULTS!$E$8:$F$69,2,FALSE))/10^6*(1/($D$5/100)))))))</f>
        <v>0</v>
      </c>
      <c r="K58" s="62">
        <f>IF(K$8="(short tons/year)",(I58*DEFAULTS!$B$55*DEFAULTS!$B$53/DEFAULTS!$B$54),IF(K$8="(ft^3/year)",(J58*DEFAULTS!$B$57),IF(K$8="(av ft^3/min)",(J58*DEFAULTS!$B$57/DEFAULTS!$B$58),0)))</f>
        <v>0</v>
      </c>
      <c r="L58" s="62">
        <f>IF(ISERROR(METHANE!$J72*DEFAULTS!$B$83*(IF('USER INPUTS'!$B$28="Total landfill gas",(1/($D$5/100)),IF('USER INPUTS'!$B$28="Methane",1,IF('USER INPUTS'!$B$28="Carbon dioxide",((1/($D$5/100))-1),(VLOOKUP('USER INPUTS'!$B$28,DEFAULTS!$E$8:$F$69,2,FALSE))/10^6*(1/($D$5/100))))))),0,METHANE!$J72*DEFAULTS!$B$83*(IF('USER INPUTS'!$B$28="Total landfill gas",(1/($D$5/100)),IF('USER INPUTS'!$B$28="Methane",1,IF('USER INPUTS'!$B$28="Carbon dioxide",((1/($D$5/100))-1),(VLOOKUP('USER INPUTS'!$B$28,DEFAULTS!$E$8:$F$69,2,FALSE))/10^6*(1/($D$5/100)))))))</f>
        <v>20139.380370219042</v>
      </c>
      <c r="M58" s="62">
        <f>IF(ISERROR(METHANE!$J72*(IF('USER INPUTS'!$B$28="Total landfill gas",(1/($D$5/100)),IF('USER INPUTS'!$B$28="Methane",1,IF('USER INPUTS'!$B$28="Carbon dioxide",((1/($D$5/100))-1),(VLOOKUP('USER INPUTS'!$B$28,DEFAULTS!$E$8:$F$69,2,FALSE))/10^6*(1/($D$5/100))))))),0,METHANE!$J72*(IF('USER INPUTS'!$B$28="Total landfill gas",(1/($D$5/100)),IF('USER INPUTS'!$B$28="Methane",1,IF('USER INPUTS'!$B$28="Carbon dioxide",((1/($D$5/100))-1),(VLOOKUP('USER INPUTS'!$B$28,DEFAULTS!$E$8:$F$69,2,FALSE))/10^6*(1/($D$5/100)))))))</f>
        <v>11002127.109144824</v>
      </c>
      <c r="N58" s="62">
        <f>IF(N$8="(short tons/year)",(L58*DEFAULTS!$B$55*DEFAULTS!$B$53/DEFAULTS!$B$54),IF(N$8="(ft^3/year)",(M58*DEFAULTS!$B$57),IF(N$8="(av ft^3/min)",(M58*DEFAULTS!$B$57/DEFAULTS!$B$58),0)))</f>
        <v>739.23158078281858</v>
      </c>
      <c r="O58" s="62">
        <f>IF(ISERROR(METHANE!$J72*DEFAULTS!$B$84*(IF('USER INPUTS'!$B$30="Total landfill gas",(1/($D$5/100)),IF('USER INPUTS'!$B$30="Methane",1,IF('USER INPUTS'!$B$30="Carbon dioxide",((1/($D$5/100))-1),(VLOOKUP('USER INPUTS'!$B$30,DEFAULTS!$E$8:$F$69,2,FALSE))/10^6*(1/($D$5/100))))))),0,METHANE!$J72*DEFAULTS!$B$84*(IF('USER INPUTS'!$B$30="Total landfill gas",(1/($D$5/100)),IF('USER INPUTS'!$B$30="Methane",1,IF('USER INPUTS'!$B$30="Carbon dioxide",((1/($D$5/100))-1),(VLOOKUP('USER INPUTS'!$B$30,DEFAULTS!$E$8:$F$69,2,FALSE))/10^6*(1/($D$5/100)))))))</f>
        <v>0</v>
      </c>
      <c r="P58" s="62">
        <f>IF(ISERROR(METHANE!$J72*(IF('USER INPUTS'!$B$30="Total landfill gas",(1/($D$5/100)),IF('USER INPUTS'!$B$30="Methane",1,IF('USER INPUTS'!$B$30="Carbon dioxide",((1/($D$5/100))-1),(VLOOKUP('USER INPUTS'!$B$30,DEFAULTS!$E$8:$F$69,2,FALSE))/10^6*(1/($D$5/100))))))),0,METHANE!$J72*(IF('USER INPUTS'!$B$30="Total landfill gas",(1/($D$5/100)),IF('USER INPUTS'!$B$30="Methane",1,IF('USER INPUTS'!$B$30="Carbon dioxide",((1/($D$5/100))-1),(VLOOKUP('USER INPUTS'!$B$30,DEFAULTS!$E$8:$F$69,2,FALSE))/10^6*(1/($D$5/100)))))))</f>
        <v>0</v>
      </c>
      <c r="Q58" s="162">
        <f>IF(Q$8="(short tons/year)",(O58*DEFAULTS!$B$55*DEFAULTS!$B$53/DEFAULTS!$B$54),IF(Q$8="(ft^3/year)",(P58*DEFAULTS!$B$57),IF(Q$8="(av ft^3/min)",(P58*DEFAULTS!$B$57/DEFAULTS!$B$58),0)))</f>
        <v>0</v>
      </c>
    </row>
    <row r="59" spans="1:17">
      <c r="A59" s="68">
        <f>METHANE!I73</f>
        <v>2068</v>
      </c>
      <c r="B59" s="66">
        <f>IF(METHANE!E73&gt;0,METHANE!E73,0)</f>
        <v>0</v>
      </c>
      <c r="C59" s="66">
        <f>IF(METHANE!E73&gt;0,METHANE!E73*DEFAULTS!$B$55*DEFAULTS!$B$53/DEFAULTS!$B$54,0)</f>
        <v>0</v>
      </c>
      <c r="D59" s="66">
        <f>IF(METHANE!F73&gt;0,METHANE!F73,0)</f>
        <v>12946986</v>
      </c>
      <c r="E59" s="66">
        <f>IF(METHANE!F73&gt;0,METHANE!F73*DEFAULTS!$B$55*DEFAULTS!$B$53/DEFAULTS!$B$54,0)</f>
        <v>14241684.6</v>
      </c>
      <c r="F59" s="62">
        <f>IF(ISERROR(METHANE!$J73*DEFAULTS!$B$81*(IF('USER INPUTS'!$B$24="Total landfill gas",(1/($D$5/100)),IF('USER INPUTS'!$B$24="Methane",1,IF('USER INPUTS'!$B$24="Carbon dioxide",((1/($D$5/100))-1),(VLOOKUP('USER INPUTS'!$B$24,DEFAULTS!$E$8:$F$69,2,FALSE))/10^6*(1/($D$5/100))))))),0,METHANE!$J73*DEFAULTS!$B$81*(IF('USER INPUTS'!$B$24="Total landfill gas",(1/($D$5/100)),IF('USER INPUTS'!$B$24="Methane",1,IF('USER INPUTS'!$B$24="Carbon dioxide",((1/($D$5/100))-1),(VLOOKUP('USER INPUTS'!$B$24,DEFAULTS!$E$8:$F$69,2,FALSE))/10^6*(1/($D$5/100)))))))</f>
        <v>0</v>
      </c>
      <c r="G59" s="62">
        <f>IF(ISERROR(METHANE!$J73*(IF('USER INPUTS'!$B$24="Total landfill gas",(1/($D$5/100)),IF('USER INPUTS'!$B$24="Methane",1,IF('USER INPUTS'!$B$24="Carbon dioxide",((1/($D$5/100))-1),(VLOOKUP('USER INPUTS'!$B$24,DEFAULTS!$E$8:$F$69,2,FALSE))/10^6*(1/($D$5/100))))))),0,METHANE!$J73*(IF('USER INPUTS'!$B$24="Total landfill gas",(1/($D$5/100)),IF('USER INPUTS'!$B$24="Methane",1,IF('USER INPUTS'!$B$24="Carbon dioxide",((1/($D$5/100))-1),(VLOOKUP('USER INPUTS'!$B$24,DEFAULTS!$E$8:$F$69,2,FALSE))/10^6*(1/($D$5/100)))))))</f>
        <v>0</v>
      </c>
      <c r="H59" s="62">
        <f>IF(H$8="(short tons/year)",(F59*DEFAULTS!$B$55*DEFAULTS!$B$53/DEFAULTS!$B$54),IF(H$8="(ft^3/year)",(G59*DEFAULTS!$B$57),IF(H$8="(av ft^3/min)",(G59*DEFAULTS!$B$57/DEFAULTS!$B$58),0)))</f>
        <v>0</v>
      </c>
      <c r="I59" s="62">
        <f>IF(ISERROR(METHANE!$J73*DEFAULTS!$B$82*(IF('USER INPUTS'!$B$26="Total landfill gas",(1/($D$5/100)),IF('USER INPUTS'!$B$26="Methane",1,IF('USER INPUTS'!$B$26="Carbon dioxide",((1/($D$5/100))-1),(VLOOKUP('USER INPUTS'!$B$26,DEFAULTS!$E$8:$F$69,2,FALSE))/10^6*(1/($D$5/100))))))),0,METHANE!$J73*DEFAULTS!$B$82*(IF('USER INPUTS'!$B$26="Total landfill gas",(1/($D$5/100)),IF('USER INPUTS'!$B$26="Methane",1,IF('USER INPUTS'!$B$26="Carbon dioxide",((1/($D$5/100))-1),(VLOOKUP('USER INPUTS'!$B$26,DEFAULTS!$E$8:$F$69,2,FALSE))/10^6*(1/($D$5/100)))))))</f>
        <v>0</v>
      </c>
      <c r="J59" s="62">
        <f>IF(ISERROR(METHANE!$J73*(IF('USER INPUTS'!$B$26="Total landfill gas",(1/($D$5/100)),IF('USER INPUTS'!$B$26="Methane",1,IF('USER INPUTS'!$B$26="Carbon dioxide",((1/($D$5/100))-1),(VLOOKUP('USER INPUTS'!$B$26,DEFAULTS!$E$8:$F$69,2,FALSE))/10^6*(1/($D$5/100))))))),0,METHANE!$J73*(IF('USER INPUTS'!$B$26="Total landfill gas",(1/($D$5/100)),IF('USER INPUTS'!$B$26="Methane",1,IF('USER INPUTS'!$B$26="Carbon dioxide",((1/($D$5/100))-1),(VLOOKUP('USER INPUTS'!$B$26,DEFAULTS!$E$8:$F$69,2,FALSE))/10^6*(1/($D$5/100)))))))</f>
        <v>0</v>
      </c>
      <c r="K59" s="62">
        <f>IF(K$8="(short tons/year)",(I59*DEFAULTS!$B$55*DEFAULTS!$B$53/DEFAULTS!$B$54),IF(K$8="(ft^3/year)",(J59*DEFAULTS!$B$57),IF(K$8="(av ft^3/min)",(J59*DEFAULTS!$B$57/DEFAULTS!$B$58),0)))</f>
        <v>0</v>
      </c>
      <c r="L59" s="62">
        <f>IF(ISERROR(METHANE!$J73*DEFAULTS!$B$83*(IF('USER INPUTS'!$B$28="Total landfill gas",(1/($D$5/100)),IF('USER INPUTS'!$B$28="Methane",1,IF('USER INPUTS'!$B$28="Carbon dioxide",((1/($D$5/100))-1),(VLOOKUP('USER INPUTS'!$B$28,DEFAULTS!$E$8:$F$69,2,FALSE))/10^6*(1/($D$5/100))))))),0,METHANE!$J73*DEFAULTS!$B$83*(IF('USER INPUTS'!$B$28="Total landfill gas",(1/($D$5/100)),IF('USER INPUTS'!$B$28="Methane",1,IF('USER INPUTS'!$B$28="Carbon dioxide",((1/($D$5/100))-1),(VLOOKUP('USER INPUTS'!$B$28,DEFAULTS!$E$8:$F$69,2,FALSE))/10^6*(1/($D$5/100)))))))</f>
        <v>19349.703970778057</v>
      </c>
      <c r="M59" s="62">
        <f>IF(ISERROR(METHANE!$J73*(IF('USER INPUTS'!$B$28="Total landfill gas",(1/($D$5/100)),IF('USER INPUTS'!$B$28="Methane",1,IF('USER INPUTS'!$B$28="Carbon dioxide",((1/($D$5/100))-1),(VLOOKUP('USER INPUTS'!$B$28,DEFAULTS!$E$8:$F$69,2,FALSE))/10^6*(1/($D$5/100))))))),0,METHANE!$J73*(IF('USER INPUTS'!$B$28="Total landfill gas",(1/($D$5/100)),IF('USER INPUTS'!$B$28="Methane",1,IF('USER INPUTS'!$B$28="Carbon dioxide",((1/($D$5/100))-1),(VLOOKUP('USER INPUTS'!$B$28,DEFAULTS!$E$8:$F$69,2,FALSE))/10^6*(1/($D$5/100)))))))</f>
        <v>10570727.534677824</v>
      </c>
      <c r="N59" s="62">
        <f>IF(N$8="(short tons/year)",(L59*DEFAULTS!$B$55*DEFAULTS!$B$53/DEFAULTS!$B$54),IF(N$8="(ft^3/year)",(M59*DEFAULTS!$B$57),IF(N$8="(av ft^3/min)",(M59*DEFAULTS!$B$57/DEFAULTS!$B$58),0)))</f>
        <v>710.24589590400933</v>
      </c>
      <c r="O59" s="62">
        <f>IF(ISERROR(METHANE!$J73*DEFAULTS!$B$84*(IF('USER INPUTS'!$B$30="Total landfill gas",(1/($D$5/100)),IF('USER INPUTS'!$B$30="Methane",1,IF('USER INPUTS'!$B$30="Carbon dioxide",((1/($D$5/100))-1),(VLOOKUP('USER INPUTS'!$B$30,DEFAULTS!$E$8:$F$69,2,FALSE))/10^6*(1/($D$5/100))))))),0,METHANE!$J73*DEFAULTS!$B$84*(IF('USER INPUTS'!$B$30="Total landfill gas",(1/($D$5/100)),IF('USER INPUTS'!$B$30="Methane",1,IF('USER INPUTS'!$B$30="Carbon dioxide",((1/($D$5/100))-1),(VLOOKUP('USER INPUTS'!$B$30,DEFAULTS!$E$8:$F$69,2,FALSE))/10^6*(1/($D$5/100)))))))</f>
        <v>0</v>
      </c>
      <c r="P59" s="62">
        <f>IF(ISERROR(METHANE!$J73*(IF('USER INPUTS'!$B$30="Total landfill gas",(1/($D$5/100)),IF('USER INPUTS'!$B$30="Methane",1,IF('USER INPUTS'!$B$30="Carbon dioxide",((1/($D$5/100))-1),(VLOOKUP('USER INPUTS'!$B$30,DEFAULTS!$E$8:$F$69,2,FALSE))/10^6*(1/($D$5/100))))))),0,METHANE!$J73*(IF('USER INPUTS'!$B$30="Total landfill gas",(1/($D$5/100)),IF('USER INPUTS'!$B$30="Methane",1,IF('USER INPUTS'!$B$30="Carbon dioxide",((1/($D$5/100))-1),(VLOOKUP('USER INPUTS'!$B$30,DEFAULTS!$E$8:$F$69,2,FALSE))/10^6*(1/($D$5/100)))))))</f>
        <v>0</v>
      </c>
      <c r="Q59" s="162">
        <f>IF(Q$8="(short tons/year)",(O59*DEFAULTS!$B$55*DEFAULTS!$B$53/DEFAULTS!$B$54),IF(Q$8="(ft^3/year)",(P59*DEFAULTS!$B$57),IF(Q$8="(av ft^3/min)",(P59*DEFAULTS!$B$57/DEFAULTS!$B$58),0)))</f>
        <v>0</v>
      </c>
    </row>
    <row r="60" spans="1:17">
      <c r="A60" s="68">
        <f>METHANE!I74</f>
        <v>2069</v>
      </c>
      <c r="B60" s="66">
        <f>IF(METHANE!E74&gt;0,METHANE!E74,0)</f>
        <v>0</v>
      </c>
      <c r="C60" s="66">
        <f>IF(METHANE!E74&gt;0,METHANE!E74*DEFAULTS!$B$55*DEFAULTS!$B$53/DEFAULTS!$B$54,0)</f>
        <v>0</v>
      </c>
      <c r="D60" s="66">
        <f>IF(METHANE!F74&gt;0,METHANE!F74,0)</f>
        <v>12946986</v>
      </c>
      <c r="E60" s="66">
        <f>IF(METHANE!F74&gt;0,METHANE!F74*DEFAULTS!$B$55*DEFAULTS!$B$53/DEFAULTS!$B$54,0)</f>
        <v>14241684.6</v>
      </c>
      <c r="F60" s="62">
        <f>IF(ISERROR(METHANE!$J74*DEFAULTS!$B$81*(IF('USER INPUTS'!$B$24="Total landfill gas",(1/($D$5/100)),IF('USER INPUTS'!$B$24="Methane",1,IF('USER INPUTS'!$B$24="Carbon dioxide",((1/($D$5/100))-1),(VLOOKUP('USER INPUTS'!$B$24,DEFAULTS!$E$8:$F$69,2,FALSE))/10^6*(1/($D$5/100))))))),0,METHANE!$J74*DEFAULTS!$B$81*(IF('USER INPUTS'!$B$24="Total landfill gas",(1/($D$5/100)),IF('USER INPUTS'!$B$24="Methane",1,IF('USER INPUTS'!$B$24="Carbon dioxide",((1/($D$5/100))-1),(VLOOKUP('USER INPUTS'!$B$24,DEFAULTS!$E$8:$F$69,2,FALSE))/10^6*(1/($D$5/100)))))))</f>
        <v>0</v>
      </c>
      <c r="G60" s="62">
        <f>IF(ISERROR(METHANE!$J74*(IF('USER INPUTS'!$B$24="Total landfill gas",(1/($D$5/100)),IF('USER INPUTS'!$B$24="Methane",1,IF('USER INPUTS'!$B$24="Carbon dioxide",((1/($D$5/100))-1),(VLOOKUP('USER INPUTS'!$B$24,DEFAULTS!$E$8:$F$69,2,FALSE))/10^6*(1/($D$5/100))))))),0,METHANE!$J74*(IF('USER INPUTS'!$B$24="Total landfill gas",(1/($D$5/100)),IF('USER INPUTS'!$B$24="Methane",1,IF('USER INPUTS'!$B$24="Carbon dioxide",((1/($D$5/100))-1),(VLOOKUP('USER INPUTS'!$B$24,DEFAULTS!$E$8:$F$69,2,FALSE))/10^6*(1/($D$5/100)))))))</f>
        <v>0</v>
      </c>
      <c r="H60" s="62">
        <f>IF(H$8="(short tons/year)",(F60*DEFAULTS!$B$55*DEFAULTS!$B$53/DEFAULTS!$B$54),IF(H$8="(ft^3/year)",(G60*DEFAULTS!$B$57),IF(H$8="(av ft^3/min)",(G60*DEFAULTS!$B$57/DEFAULTS!$B$58),0)))</f>
        <v>0</v>
      </c>
      <c r="I60" s="62">
        <f>IF(ISERROR(METHANE!$J74*DEFAULTS!$B$82*(IF('USER INPUTS'!$B$26="Total landfill gas",(1/($D$5/100)),IF('USER INPUTS'!$B$26="Methane",1,IF('USER INPUTS'!$B$26="Carbon dioxide",((1/($D$5/100))-1),(VLOOKUP('USER INPUTS'!$B$26,DEFAULTS!$E$8:$F$69,2,FALSE))/10^6*(1/($D$5/100))))))),0,METHANE!$J74*DEFAULTS!$B$82*(IF('USER INPUTS'!$B$26="Total landfill gas",(1/($D$5/100)),IF('USER INPUTS'!$B$26="Methane",1,IF('USER INPUTS'!$B$26="Carbon dioxide",((1/($D$5/100))-1),(VLOOKUP('USER INPUTS'!$B$26,DEFAULTS!$E$8:$F$69,2,FALSE))/10^6*(1/($D$5/100)))))))</f>
        <v>0</v>
      </c>
      <c r="J60" s="62">
        <f>IF(ISERROR(METHANE!$J74*(IF('USER INPUTS'!$B$26="Total landfill gas",(1/($D$5/100)),IF('USER INPUTS'!$B$26="Methane",1,IF('USER INPUTS'!$B$26="Carbon dioxide",((1/($D$5/100))-1),(VLOOKUP('USER INPUTS'!$B$26,DEFAULTS!$E$8:$F$69,2,FALSE))/10^6*(1/($D$5/100))))))),0,METHANE!$J74*(IF('USER INPUTS'!$B$26="Total landfill gas",(1/($D$5/100)),IF('USER INPUTS'!$B$26="Methane",1,IF('USER INPUTS'!$B$26="Carbon dioxide",((1/($D$5/100))-1),(VLOOKUP('USER INPUTS'!$B$26,DEFAULTS!$E$8:$F$69,2,FALSE))/10^6*(1/($D$5/100)))))))</f>
        <v>0</v>
      </c>
      <c r="K60" s="62">
        <f>IF(K$8="(short tons/year)",(I60*DEFAULTS!$B$55*DEFAULTS!$B$53/DEFAULTS!$B$54),IF(K$8="(ft^3/year)",(J60*DEFAULTS!$B$57),IF(K$8="(av ft^3/min)",(J60*DEFAULTS!$B$57/DEFAULTS!$B$58),0)))</f>
        <v>0</v>
      </c>
      <c r="L60" s="62">
        <f>IF(ISERROR(METHANE!$J74*DEFAULTS!$B$83*(IF('USER INPUTS'!$B$28="Total landfill gas",(1/($D$5/100)),IF('USER INPUTS'!$B$28="Methane",1,IF('USER INPUTS'!$B$28="Carbon dioxide",((1/($D$5/100))-1),(VLOOKUP('USER INPUTS'!$B$28,DEFAULTS!$E$8:$F$69,2,FALSE))/10^6*(1/($D$5/100))))))),0,METHANE!$J74*DEFAULTS!$B$83*(IF('USER INPUTS'!$B$28="Total landfill gas",(1/($D$5/100)),IF('USER INPUTS'!$B$28="Methane",1,IF('USER INPUTS'!$B$28="Carbon dioxide",((1/($D$5/100))-1),(VLOOKUP('USER INPUTS'!$B$28,DEFAULTS!$E$8:$F$69,2,FALSE))/10^6*(1/($D$5/100)))))))</f>
        <v>18590.991225847334</v>
      </c>
      <c r="M60" s="62">
        <f>IF(ISERROR(METHANE!$J74*(IF('USER INPUTS'!$B$28="Total landfill gas",(1/($D$5/100)),IF('USER INPUTS'!$B$28="Methane",1,IF('USER INPUTS'!$B$28="Carbon dioxide",((1/($D$5/100))-1),(VLOOKUP('USER INPUTS'!$B$28,DEFAULTS!$E$8:$F$69,2,FALSE))/10^6*(1/($D$5/100))))))),0,METHANE!$J74*(IF('USER INPUTS'!$B$28="Total landfill gas",(1/($D$5/100)),IF('USER INPUTS'!$B$28="Methane",1,IF('USER INPUTS'!$B$28="Carbon dioxide",((1/($D$5/100))-1),(VLOOKUP('USER INPUTS'!$B$28,DEFAULTS!$E$8:$F$69,2,FALSE))/10^6*(1/($D$5/100)))))))</f>
        <v>10156243.379475128</v>
      </c>
      <c r="N60" s="62">
        <f>IF(N$8="(short tons/year)",(L60*DEFAULTS!$B$55*DEFAULTS!$B$53/DEFAULTS!$B$54),IF(N$8="(ft^3/year)",(M60*DEFAULTS!$B$57),IF(N$8="(av ft^3/min)",(M60*DEFAULTS!$B$57/DEFAULTS!$B$58),0)))</f>
        <v>682.39675598585256</v>
      </c>
      <c r="O60" s="62">
        <f>IF(ISERROR(METHANE!$J74*DEFAULTS!$B$84*(IF('USER INPUTS'!$B$30="Total landfill gas",(1/($D$5/100)),IF('USER INPUTS'!$B$30="Methane",1,IF('USER INPUTS'!$B$30="Carbon dioxide",((1/($D$5/100))-1),(VLOOKUP('USER INPUTS'!$B$30,DEFAULTS!$E$8:$F$69,2,FALSE))/10^6*(1/($D$5/100))))))),0,METHANE!$J74*DEFAULTS!$B$84*(IF('USER INPUTS'!$B$30="Total landfill gas",(1/($D$5/100)),IF('USER INPUTS'!$B$30="Methane",1,IF('USER INPUTS'!$B$30="Carbon dioxide",((1/($D$5/100))-1),(VLOOKUP('USER INPUTS'!$B$30,DEFAULTS!$E$8:$F$69,2,FALSE))/10^6*(1/($D$5/100)))))))</f>
        <v>0</v>
      </c>
      <c r="P60" s="62">
        <f>IF(ISERROR(METHANE!$J74*(IF('USER INPUTS'!$B$30="Total landfill gas",(1/($D$5/100)),IF('USER INPUTS'!$B$30="Methane",1,IF('USER INPUTS'!$B$30="Carbon dioxide",((1/($D$5/100))-1),(VLOOKUP('USER INPUTS'!$B$30,DEFAULTS!$E$8:$F$69,2,FALSE))/10^6*(1/($D$5/100))))))),0,METHANE!$J74*(IF('USER INPUTS'!$B$30="Total landfill gas",(1/($D$5/100)),IF('USER INPUTS'!$B$30="Methane",1,IF('USER INPUTS'!$B$30="Carbon dioxide",((1/($D$5/100))-1),(VLOOKUP('USER INPUTS'!$B$30,DEFAULTS!$E$8:$F$69,2,FALSE))/10^6*(1/($D$5/100)))))))</f>
        <v>0</v>
      </c>
      <c r="Q60" s="162">
        <f>IF(Q$8="(short tons/year)",(O60*DEFAULTS!$B$55*DEFAULTS!$B$53/DEFAULTS!$B$54),IF(Q$8="(ft^3/year)",(P60*DEFAULTS!$B$57),IF(Q$8="(av ft^3/min)",(P60*DEFAULTS!$B$57/DEFAULTS!$B$58),0)))</f>
        <v>0</v>
      </c>
    </row>
    <row r="61" spans="1:17">
      <c r="A61" s="68">
        <f>METHANE!I75</f>
        <v>2070</v>
      </c>
      <c r="B61" s="66">
        <f>IF(METHANE!E75&gt;0,METHANE!E75,0)</f>
        <v>0</v>
      </c>
      <c r="C61" s="66">
        <f>IF(METHANE!E75&gt;0,METHANE!E75*DEFAULTS!$B$55*DEFAULTS!$B$53/DEFAULTS!$B$54,0)</f>
        <v>0</v>
      </c>
      <c r="D61" s="66">
        <f>IF(METHANE!F75&gt;0,METHANE!F75,0)</f>
        <v>12946986</v>
      </c>
      <c r="E61" s="66">
        <f>IF(METHANE!F75&gt;0,METHANE!F75*DEFAULTS!$B$55*DEFAULTS!$B$53/DEFAULTS!$B$54,0)</f>
        <v>14241684.6</v>
      </c>
      <c r="F61" s="62">
        <f>IF(ISERROR(METHANE!$J75*DEFAULTS!$B$81*(IF('USER INPUTS'!$B$24="Total landfill gas",(1/($D$5/100)),IF('USER INPUTS'!$B$24="Methane",1,IF('USER INPUTS'!$B$24="Carbon dioxide",((1/($D$5/100))-1),(VLOOKUP('USER INPUTS'!$B$24,DEFAULTS!$E$8:$F$69,2,FALSE))/10^6*(1/($D$5/100))))))),0,METHANE!$J75*DEFAULTS!$B$81*(IF('USER INPUTS'!$B$24="Total landfill gas",(1/($D$5/100)),IF('USER INPUTS'!$B$24="Methane",1,IF('USER INPUTS'!$B$24="Carbon dioxide",((1/($D$5/100))-1),(VLOOKUP('USER INPUTS'!$B$24,DEFAULTS!$E$8:$F$69,2,FALSE))/10^6*(1/($D$5/100)))))))</f>
        <v>0</v>
      </c>
      <c r="G61" s="62">
        <f>IF(ISERROR(METHANE!$J75*(IF('USER INPUTS'!$B$24="Total landfill gas",(1/($D$5/100)),IF('USER INPUTS'!$B$24="Methane",1,IF('USER INPUTS'!$B$24="Carbon dioxide",((1/($D$5/100))-1),(VLOOKUP('USER INPUTS'!$B$24,DEFAULTS!$E$8:$F$69,2,FALSE))/10^6*(1/($D$5/100))))))),0,METHANE!$J75*(IF('USER INPUTS'!$B$24="Total landfill gas",(1/($D$5/100)),IF('USER INPUTS'!$B$24="Methane",1,IF('USER INPUTS'!$B$24="Carbon dioxide",((1/($D$5/100))-1),(VLOOKUP('USER INPUTS'!$B$24,DEFAULTS!$E$8:$F$69,2,FALSE))/10^6*(1/($D$5/100)))))))</f>
        <v>0</v>
      </c>
      <c r="H61" s="62">
        <f>IF(H$8="(short tons/year)",(F61*DEFAULTS!$B$55*DEFAULTS!$B$53/DEFAULTS!$B$54),IF(H$8="(ft^3/year)",(G61*DEFAULTS!$B$57),IF(H$8="(av ft^3/min)",(G61*DEFAULTS!$B$57/DEFAULTS!$B$58),0)))</f>
        <v>0</v>
      </c>
      <c r="I61" s="62">
        <f>IF(ISERROR(METHANE!$J75*DEFAULTS!$B$82*(IF('USER INPUTS'!$B$26="Total landfill gas",(1/($D$5/100)),IF('USER INPUTS'!$B$26="Methane",1,IF('USER INPUTS'!$B$26="Carbon dioxide",((1/($D$5/100))-1),(VLOOKUP('USER INPUTS'!$B$26,DEFAULTS!$E$8:$F$69,2,FALSE))/10^6*(1/($D$5/100))))))),0,METHANE!$J75*DEFAULTS!$B$82*(IF('USER INPUTS'!$B$26="Total landfill gas",(1/($D$5/100)),IF('USER INPUTS'!$B$26="Methane",1,IF('USER INPUTS'!$B$26="Carbon dioxide",((1/($D$5/100))-1),(VLOOKUP('USER INPUTS'!$B$26,DEFAULTS!$E$8:$F$69,2,FALSE))/10^6*(1/($D$5/100)))))))</f>
        <v>0</v>
      </c>
      <c r="J61" s="62">
        <f>IF(ISERROR(METHANE!$J75*(IF('USER INPUTS'!$B$26="Total landfill gas",(1/($D$5/100)),IF('USER INPUTS'!$B$26="Methane",1,IF('USER INPUTS'!$B$26="Carbon dioxide",((1/($D$5/100))-1),(VLOOKUP('USER INPUTS'!$B$26,DEFAULTS!$E$8:$F$69,2,FALSE))/10^6*(1/($D$5/100))))))),0,METHANE!$J75*(IF('USER INPUTS'!$B$26="Total landfill gas",(1/($D$5/100)),IF('USER INPUTS'!$B$26="Methane",1,IF('USER INPUTS'!$B$26="Carbon dioxide",((1/($D$5/100))-1),(VLOOKUP('USER INPUTS'!$B$26,DEFAULTS!$E$8:$F$69,2,FALSE))/10^6*(1/($D$5/100)))))))</f>
        <v>0</v>
      </c>
      <c r="K61" s="62">
        <f>IF(K$8="(short tons/year)",(I61*DEFAULTS!$B$55*DEFAULTS!$B$53/DEFAULTS!$B$54),IF(K$8="(ft^3/year)",(J61*DEFAULTS!$B$57),IF(K$8="(av ft^3/min)",(J61*DEFAULTS!$B$57/DEFAULTS!$B$58),0)))</f>
        <v>0</v>
      </c>
      <c r="L61" s="62">
        <f>IF(ISERROR(METHANE!$J75*DEFAULTS!$B$83*(IF('USER INPUTS'!$B$28="Total landfill gas",(1/($D$5/100)),IF('USER INPUTS'!$B$28="Methane",1,IF('USER INPUTS'!$B$28="Carbon dioxide",((1/($D$5/100))-1),(VLOOKUP('USER INPUTS'!$B$28,DEFAULTS!$E$8:$F$69,2,FALSE))/10^6*(1/($D$5/100))))))),0,METHANE!$J75*DEFAULTS!$B$83*(IF('USER INPUTS'!$B$28="Total landfill gas",(1/($D$5/100)),IF('USER INPUTS'!$B$28="Methane",1,IF('USER INPUTS'!$B$28="Carbon dioxide",((1/($D$5/100))-1),(VLOOKUP('USER INPUTS'!$B$28,DEFAULTS!$E$8:$F$69,2,FALSE))/10^6*(1/($D$5/100)))))))</f>
        <v>17862.028033167619</v>
      </c>
      <c r="M61" s="62">
        <f>IF(ISERROR(METHANE!$J75*(IF('USER INPUTS'!$B$28="Total landfill gas",(1/($D$5/100)),IF('USER INPUTS'!$B$28="Methane",1,IF('USER INPUTS'!$B$28="Carbon dioxide",((1/($D$5/100))-1),(VLOOKUP('USER INPUTS'!$B$28,DEFAULTS!$E$8:$F$69,2,FALSE))/10^6*(1/($D$5/100))))))),0,METHANE!$J75*(IF('USER INPUTS'!$B$28="Total landfill gas",(1/($D$5/100)),IF('USER INPUTS'!$B$28="Methane",1,IF('USER INPUTS'!$B$28="Carbon dioxide",((1/($D$5/100))-1),(VLOOKUP('USER INPUTS'!$B$28,DEFAULTS!$E$8:$F$69,2,FALSE))/10^6*(1/($D$5/100)))))))</f>
        <v>9758011.380460402</v>
      </c>
      <c r="N61" s="62">
        <f>IF(N$8="(short tons/year)",(L61*DEFAULTS!$B$55*DEFAULTS!$B$53/DEFAULTS!$B$54),IF(N$8="(ft^3/year)",(M61*DEFAULTS!$B$57),IF(N$8="(av ft^3/min)",(M61*DEFAULTS!$B$57/DEFAULTS!$B$58),0)))</f>
        <v>655.63959646301191</v>
      </c>
      <c r="O61" s="62">
        <f>IF(ISERROR(METHANE!$J75*DEFAULTS!$B$84*(IF('USER INPUTS'!$B$30="Total landfill gas",(1/($D$5/100)),IF('USER INPUTS'!$B$30="Methane",1,IF('USER INPUTS'!$B$30="Carbon dioxide",((1/($D$5/100))-1),(VLOOKUP('USER INPUTS'!$B$30,DEFAULTS!$E$8:$F$69,2,FALSE))/10^6*(1/($D$5/100))))))),0,METHANE!$J75*DEFAULTS!$B$84*(IF('USER INPUTS'!$B$30="Total landfill gas",(1/($D$5/100)),IF('USER INPUTS'!$B$30="Methane",1,IF('USER INPUTS'!$B$30="Carbon dioxide",((1/($D$5/100))-1),(VLOOKUP('USER INPUTS'!$B$30,DEFAULTS!$E$8:$F$69,2,FALSE))/10^6*(1/($D$5/100)))))))</f>
        <v>0</v>
      </c>
      <c r="P61" s="62">
        <f>IF(ISERROR(METHANE!$J75*(IF('USER INPUTS'!$B$30="Total landfill gas",(1/($D$5/100)),IF('USER INPUTS'!$B$30="Methane",1,IF('USER INPUTS'!$B$30="Carbon dioxide",((1/($D$5/100))-1),(VLOOKUP('USER INPUTS'!$B$30,DEFAULTS!$E$8:$F$69,2,FALSE))/10^6*(1/($D$5/100))))))),0,METHANE!$J75*(IF('USER INPUTS'!$B$30="Total landfill gas",(1/($D$5/100)),IF('USER INPUTS'!$B$30="Methane",1,IF('USER INPUTS'!$B$30="Carbon dioxide",((1/($D$5/100))-1),(VLOOKUP('USER INPUTS'!$B$30,DEFAULTS!$E$8:$F$69,2,FALSE))/10^6*(1/($D$5/100)))))))</f>
        <v>0</v>
      </c>
      <c r="Q61" s="162">
        <f>IF(Q$8="(short tons/year)",(O61*DEFAULTS!$B$55*DEFAULTS!$B$53/DEFAULTS!$B$54),IF(Q$8="(ft^3/year)",(P61*DEFAULTS!$B$57),IF(Q$8="(av ft^3/min)",(P61*DEFAULTS!$B$57/DEFAULTS!$B$58),0)))</f>
        <v>0</v>
      </c>
    </row>
    <row r="62" spans="1:17">
      <c r="A62" s="68">
        <f>METHANE!I76</f>
        <v>2071</v>
      </c>
      <c r="B62" s="66">
        <f>IF(METHANE!E76&gt;0,METHANE!E76,0)</f>
        <v>0</v>
      </c>
      <c r="C62" s="66">
        <f>IF(METHANE!E76&gt;0,METHANE!E76*DEFAULTS!$B$55*DEFAULTS!$B$53/DEFAULTS!$B$54,0)</f>
        <v>0</v>
      </c>
      <c r="D62" s="66">
        <f>IF(METHANE!F76&gt;0,METHANE!F76,0)</f>
        <v>12946986</v>
      </c>
      <c r="E62" s="66">
        <f>IF(METHANE!F76&gt;0,METHANE!F76*DEFAULTS!$B$55*DEFAULTS!$B$53/DEFAULTS!$B$54,0)</f>
        <v>14241684.6</v>
      </c>
      <c r="F62" s="62">
        <f>IF(ISERROR(METHANE!$J76*DEFAULTS!$B$81*(IF('USER INPUTS'!$B$24="Total landfill gas",(1/($D$5/100)),IF('USER INPUTS'!$B$24="Methane",1,IF('USER INPUTS'!$B$24="Carbon dioxide",((1/($D$5/100))-1),(VLOOKUP('USER INPUTS'!$B$24,DEFAULTS!$E$8:$F$69,2,FALSE))/10^6*(1/($D$5/100))))))),0,METHANE!$J76*DEFAULTS!$B$81*(IF('USER INPUTS'!$B$24="Total landfill gas",(1/($D$5/100)),IF('USER INPUTS'!$B$24="Methane",1,IF('USER INPUTS'!$B$24="Carbon dioxide",((1/($D$5/100))-1),(VLOOKUP('USER INPUTS'!$B$24,DEFAULTS!$E$8:$F$69,2,FALSE))/10^6*(1/($D$5/100)))))))</f>
        <v>0</v>
      </c>
      <c r="G62" s="62">
        <f>IF(ISERROR(METHANE!$J76*(IF('USER INPUTS'!$B$24="Total landfill gas",(1/($D$5/100)),IF('USER INPUTS'!$B$24="Methane",1,IF('USER INPUTS'!$B$24="Carbon dioxide",((1/($D$5/100))-1),(VLOOKUP('USER INPUTS'!$B$24,DEFAULTS!$E$8:$F$69,2,FALSE))/10^6*(1/($D$5/100))))))),0,METHANE!$J76*(IF('USER INPUTS'!$B$24="Total landfill gas",(1/($D$5/100)),IF('USER INPUTS'!$B$24="Methane",1,IF('USER INPUTS'!$B$24="Carbon dioxide",((1/($D$5/100))-1),(VLOOKUP('USER INPUTS'!$B$24,DEFAULTS!$E$8:$F$69,2,FALSE))/10^6*(1/($D$5/100)))))))</f>
        <v>0</v>
      </c>
      <c r="H62" s="62">
        <f>IF(H$8="(short tons/year)",(F62*DEFAULTS!$B$55*DEFAULTS!$B$53/DEFAULTS!$B$54),IF(H$8="(ft^3/year)",(G62*DEFAULTS!$B$57),IF(H$8="(av ft^3/min)",(G62*DEFAULTS!$B$57/DEFAULTS!$B$58),0)))</f>
        <v>0</v>
      </c>
      <c r="I62" s="62">
        <f>IF(ISERROR(METHANE!$J76*DEFAULTS!$B$82*(IF('USER INPUTS'!$B$26="Total landfill gas",(1/($D$5/100)),IF('USER INPUTS'!$B$26="Methane",1,IF('USER INPUTS'!$B$26="Carbon dioxide",((1/($D$5/100))-1),(VLOOKUP('USER INPUTS'!$B$26,DEFAULTS!$E$8:$F$69,2,FALSE))/10^6*(1/($D$5/100))))))),0,METHANE!$J76*DEFAULTS!$B$82*(IF('USER INPUTS'!$B$26="Total landfill gas",(1/($D$5/100)),IF('USER INPUTS'!$B$26="Methane",1,IF('USER INPUTS'!$B$26="Carbon dioxide",((1/($D$5/100))-1),(VLOOKUP('USER INPUTS'!$B$26,DEFAULTS!$E$8:$F$69,2,FALSE))/10^6*(1/($D$5/100)))))))</f>
        <v>0</v>
      </c>
      <c r="J62" s="62">
        <f>IF(ISERROR(METHANE!$J76*(IF('USER INPUTS'!$B$26="Total landfill gas",(1/($D$5/100)),IF('USER INPUTS'!$B$26="Methane",1,IF('USER INPUTS'!$B$26="Carbon dioxide",((1/($D$5/100))-1),(VLOOKUP('USER INPUTS'!$B$26,DEFAULTS!$E$8:$F$69,2,FALSE))/10^6*(1/($D$5/100))))))),0,METHANE!$J76*(IF('USER INPUTS'!$B$26="Total landfill gas",(1/($D$5/100)),IF('USER INPUTS'!$B$26="Methane",1,IF('USER INPUTS'!$B$26="Carbon dioxide",((1/($D$5/100))-1),(VLOOKUP('USER INPUTS'!$B$26,DEFAULTS!$E$8:$F$69,2,FALSE))/10^6*(1/($D$5/100)))))))</f>
        <v>0</v>
      </c>
      <c r="K62" s="62">
        <f>IF(K$8="(short tons/year)",(I62*DEFAULTS!$B$55*DEFAULTS!$B$53/DEFAULTS!$B$54),IF(K$8="(ft^3/year)",(J62*DEFAULTS!$B$57),IF(K$8="(av ft^3/min)",(J62*DEFAULTS!$B$57/DEFAULTS!$B$58),0)))</f>
        <v>0</v>
      </c>
      <c r="L62" s="62">
        <f>IF(ISERROR(METHANE!$J76*DEFAULTS!$B$83*(IF('USER INPUTS'!$B$28="Total landfill gas",(1/($D$5/100)),IF('USER INPUTS'!$B$28="Methane",1,IF('USER INPUTS'!$B$28="Carbon dioxide",((1/($D$5/100))-1),(VLOOKUP('USER INPUTS'!$B$28,DEFAULTS!$E$8:$F$69,2,FALSE))/10^6*(1/($D$5/100))))))),0,METHANE!$J76*DEFAULTS!$B$83*(IF('USER INPUTS'!$B$28="Total landfill gas",(1/($D$5/100)),IF('USER INPUTS'!$B$28="Methane",1,IF('USER INPUTS'!$B$28="Carbon dioxide",((1/($D$5/100))-1),(VLOOKUP('USER INPUTS'!$B$28,DEFAULTS!$E$8:$F$69,2,FALSE))/10^6*(1/($D$5/100)))))))</f>
        <v>17161.647896110193</v>
      </c>
      <c r="M62" s="62">
        <f>IF(ISERROR(METHANE!$J76*(IF('USER INPUTS'!$B$28="Total landfill gas",(1/($D$5/100)),IF('USER INPUTS'!$B$28="Methane",1,IF('USER INPUTS'!$B$28="Carbon dioxide",((1/($D$5/100))-1),(VLOOKUP('USER INPUTS'!$B$28,DEFAULTS!$E$8:$F$69,2,FALSE))/10^6*(1/($D$5/100))))))),0,METHANE!$J76*(IF('USER INPUTS'!$B$28="Total landfill gas",(1/($D$5/100)),IF('USER INPUTS'!$B$28="Methane",1,IF('USER INPUTS'!$B$28="Carbon dioxide",((1/($D$5/100))-1),(VLOOKUP('USER INPUTS'!$B$28,DEFAULTS!$E$8:$F$69,2,FALSE))/10^6*(1/($D$5/100)))))))</f>
        <v>9375394.2814745381</v>
      </c>
      <c r="N62" s="62">
        <f>IF(N$8="(short tons/year)",(L62*DEFAULTS!$B$55*DEFAULTS!$B$53/DEFAULTS!$B$54),IF(N$8="(ft^3/year)",(M62*DEFAULTS!$B$57),IF(N$8="(av ft^3/min)",(M62*DEFAULTS!$B$57/DEFAULTS!$B$58),0)))</f>
        <v>629.93160017175285</v>
      </c>
      <c r="O62" s="62">
        <f>IF(ISERROR(METHANE!$J76*DEFAULTS!$B$84*(IF('USER INPUTS'!$B$30="Total landfill gas",(1/($D$5/100)),IF('USER INPUTS'!$B$30="Methane",1,IF('USER INPUTS'!$B$30="Carbon dioxide",((1/($D$5/100))-1),(VLOOKUP('USER INPUTS'!$B$30,DEFAULTS!$E$8:$F$69,2,FALSE))/10^6*(1/($D$5/100))))))),0,METHANE!$J76*DEFAULTS!$B$84*(IF('USER INPUTS'!$B$30="Total landfill gas",(1/($D$5/100)),IF('USER INPUTS'!$B$30="Methane",1,IF('USER INPUTS'!$B$30="Carbon dioxide",((1/($D$5/100))-1),(VLOOKUP('USER INPUTS'!$B$30,DEFAULTS!$E$8:$F$69,2,FALSE))/10^6*(1/($D$5/100)))))))</f>
        <v>0</v>
      </c>
      <c r="P62" s="62">
        <f>IF(ISERROR(METHANE!$J76*(IF('USER INPUTS'!$B$30="Total landfill gas",(1/($D$5/100)),IF('USER INPUTS'!$B$30="Methane",1,IF('USER INPUTS'!$B$30="Carbon dioxide",((1/($D$5/100))-1),(VLOOKUP('USER INPUTS'!$B$30,DEFAULTS!$E$8:$F$69,2,FALSE))/10^6*(1/($D$5/100))))))),0,METHANE!$J76*(IF('USER INPUTS'!$B$30="Total landfill gas",(1/($D$5/100)),IF('USER INPUTS'!$B$30="Methane",1,IF('USER INPUTS'!$B$30="Carbon dioxide",((1/($D$5/100))-1),(VLOOKUP('USER INPUTS'!$B$30,DEFAULTS!$E$8:$F$69,2,FALSE))/10^6*(1/($D$5/100)))))))</f>
        <v>0</v>
      </c>
      <c r="Q62" s="162">
        <f>IF(Q$8="(short tons/year)",(O62*DEFAULTS!$B$55*DEFAULTS!$B$53/DEFAULTS!$B$54),IF(Q$8="(ft^3/year)",(P62*DEFAULTS!$B$57),IF(Q$8="(av ft^3/min)",(P62*DEFAULTS!$B$57/DEFAULTS!$B$58),0)))</f>
        <v>0</v>
      </c>
    </row>
    <row r="63" spans="1:17">
      <c r="A63" s="68">
        <f>METHANE!I77</f>
        <v>2072</v>
      </c>
      <c r="B63" s="66">
        <f>IF(METHANE!E77&gt;0,METHANE!E77,0)</f>
        <v>0</v>
      </c>
      <c r="C63" s="66">
        <f>IF(METHANE!E77&gt;0,METHANE!E77*DEFAULTS!$B$55*DEFAULTS!$B$53/DEFAULTS!$B$54,0)</f>
        <v>0</v>
      </c>
      <c r="D63" s="66">
        <f>IF(METHANE!F77&gt;0,METHANE!F77,0)</f>
        <v>12946986</v>
      </c>
      <c r="E63" s="66">
        <f>IF(METHANE!F77&gt;0,METHANE!F77*DEFAULTS!$B$55*DEFAULTS!$B$53/DEFAULTS!$B$54,0)</f>
        <v>14241684.6</v>
      </c>
      <c r="F63" s="62">
        <f>IF(ISERROR(METHANE!$J77*DEFAULTS!$B$81*(IF('USER INPUTS'!$B$24="Total landfill gas",(1/($D$5/100)),IF('USER INPUTS'!$B$24="Methane",1,IF('USER INPUTS'!$B$24="Carbon dioxide",((1/($D$5/100))-1),(VLOOKUP('USER INPUTS'!$B$24,DEFAULTS!$E$8:$F$69,2,FALSE))/10^6*(1/($D$5/100))))))),0,METHANE!$J77*DEFAULTS!$B$81*(IF('USER INPUTS'!$B$24="Total landfill gas",(1/($D$5/100)),IF('USER INPUTS'!$B$24="Methane",1,IF('USER INPUTS'!$B$24="Carbon dioxide",((1/($D$5/100))-1),(VLOOKUP('USER INPUTS'!$B$24,DEFAULTS!$E$8:$F$69,2,FALSE))/10^6*(1/($D$5/100)))))))</f>
        <v>0</v>
      </c>
      <c r="G63" s="62">
        <f>IF(ISERROR(METHANE!$J77*(IF('USER INPUTS'!$B$24="Total landfill gas",(1/($D$5/100)),IF('USER INPUTS'!$B$24="Methane",1,IF('USER INPUTS'!$B$24="Carbon dioxide",((1/($D$5/100))-1),(VLOOKUP('USER INPUTS'!$B$24,DEFAULTS!$E$8:$F$69,2,FALSE))/10^6*(1/($D$5/100))))))),0,METHANE!$J77*(IF('USER INPUTS'!$B$24="Total landfill gas",(1/($D$5/100)),IF('USER INPUTS'!$B$24="Methane",1,IF('USER INPUTS'!$B$24="Carbon dioxide",((1/($D$5/100))-1),(VLOOKUP('USER INPUTS'!$B$24,DEFAULTS!$E$8:$F$69,2,FALSE))/10^6*(1/($D$5/100)))))))</f>
        <v>0</v>
      </c>
      <c r="H63" s="62">
        <f>IF(H$8="(short tons/year)",(F63*DEFAULTS!$B$55*DEFAULTS!$B$53/DEFAULTS!$B$54),IF(H$8="(ft^3/year)",(G63*DEFAULTS!$B$57),IF(H$8="(av ft^3/min)",(G63*DEFAULTS!$B$57/DEFAULTS!$B$58),0)))</f>
        <v>0</v>
      </c>
      <c r="I63" s="62">
        <f>IF(ISERROR(METHANE!$J77*DEFAULTS!$B$82*(IF('USER INPUTS'!$B$26="Total landfill gas",(1/($D$5/100)),IF('USER INPUTS'!$B$26="Methane",1,IF('USER INPUTS'!$B$26="Carbon dioxide",((1/($D$5/100))-1),(VLOOKUP('USER INPUTS'!$B$26,DEFAULTS!$E$8:$F$69,2,FALSE))/10^6*(1/($D$5/100))))))),0,METHANE!$J77*DEFAULTS!$B$82*(IF('USER INPUTS'!$B$26="Total landfill gas",(1/($D$5/100)),IF('USER INPUTS'!$B$26="Methane",1,IF('USER INPUTS'!$B$26="Carbon dioxide",((1/($D$5/100))-1),(VLOOKUP('USER INPUTS'!$B$26,DEFAULTS!$E$8:$F$69,2,FALSE))/10^6*(1/($D$5/100)))))))</f>
        <v>0</v>
      </c>
      <c r="J63" s="62">
        <f>IF(ISERROR(METHANE!$J77*(IF('USER INPUTS'!$B$26="Total landfill gas",(1/($D$5/100)),IF('USER INPUTS'!$B$26="Methane",1,IF('USER INPUTS'!$B$26="Carbon dioxide",((1/($D$5/100))-1),(VLOOKUP('USER INPUTS'!$B$26,DEFAULTS!$E$8:$F$69,2,FALSE))/10^6*(1/($D$5/100))))))),0,METHANE!$J77*(IF('USER INPUTS'!$B$26="Total landfill gas",(1/($D$5/100)),IF('USER INPUTS'!$B$26="Methane",1,IF('USER INPUTS'!$B$26="Carbon dioxide",((1/($D$5/100))-1),(VLOOKUP('USER INPUTS'!$B$26,DEFAULTS!$E$8:$F$69,2,FALSE))/10^6*(1/($D$5/100)))))))</f>
        <v>0</v>
      </c>
      <c r="K63" s="62">
        <f>IF(K$8="(short tons/year)",(I63*DEFAULTS!$B$55*DEFAULTS!$B$53/DEFAULTS!$B$54),IF(K$8="(ft^3/year)",(J63*DEFAULTS!$B$57),IF(K$8="(av ft^3/min)",(J63*DEFAULTS!$B$57/DEFAULTS!$B$58),0)))</f>
        <v>0</v>
      </c>
      <c r="L63" s="62">
        <f>IF(ISERROR(METHANE!$J77*DEFAULTS!$B$83*(IF('USER INPUTS'!$B$28="Total landfill gas",(1/($D$5/100)),IF('USER INPUTS'!$B$28="Methane",1,IF('USER INPUTS'!$B$28="Carbon dioxide",((1/($D$5/100))-1),(VLOOKUP('USER INPUTS'!$B$28,DEFAULTS!$E$8:$F$69,2,FALSE))/10^6*(1/($D$5/100))))))),0,METHANE!$J77*DEFAULTS!$B$83*(IF('USER INPUTS'!$B$28="Total landfill gas",(1/($D$5/100)),IF('USER INPUTS'!$B$28="Methane",1,IF('USER INPUTS'!$B$28="Carbon dioxide",((1/($D$5/100))-1),(VLOOKUP('USER INPUTS'!$B$28,DEFAULTS!$E$8:$F$69,2,FALSE))/10^6*(1/($D$5/100)))))))</f>
        <v>16488.730057033361</v>
      </c>
      <c r="M63" s="62">
        <f>IF(ISERROR(METHANE!$J77*(IF('USER INPUTS'!$B$28="Total landfill gas",(1/($D$5/100)),IF('USER INPUTS'!$B$28="Methane",1,IF('USER INPUTS'!$B$28="Carbon dioxide",((1/($D$5/100))-1),(VLOOKUP('USER INPUTS'!$B$28,DEFAULTS!$E$8:$F$69,2,FALSE))/10^6*(1/($D$5/100))))))),0,METHANE!$J77*(IF('USER INPUTS'!$B$28="Total landfill gas",(1/($D$5/100)),IF('USER INPUTS'!$B$28="Methane",1,IF('USER INPUTS'!$B$28="Carbon dioxide",((1/($D$5/100))-1),(VLOOKUP('USER INPUTS'!$B$28,DEFAULTS!$E$8:$F$69,2,FALSE))/10^6*(1/($D$5/100)))))))</f>
        <v>9007779.8135298211</v>
      </c>
      <c r="N63" s="62">
        <f>IF(N$8="(short tons/year)",(L63*DEFAULTS!$B$55*DEFAULTS!$B$53/DEFAULTS!$B$54),IF(N$8="(ft^3/year)",(M63*DEFAULTS!$B$57),IF(N$8="(av ft^3/min)",(M63*DEFAULTS!$B$57/DEFAULTS!$B$58),0)))</f>
        <v>605.23162883334408</v>
      </c>
      <c r="O63" s="62">
        <f>IF(ISERROR(METHANE!$J77*DEFAULTS!$B$84*(IF('USER INPUTS'!$B$30="Total landfill gas",(1/($D$5/100)),IF('USER INPUTS'!$B$30="Methane",1,IF('USER INPUTS'!$B$30="Carbon dioxide",((1/($D$5/100))-1),(VLOOKUP('USER INPUTS'!$B$30,DEFAULTS!$E$8:$F$69,2,FALSE))/10^6*(1/($D$5/100))))))),0,METHANE!$J77*DEFAULTS!$B$84*(IF('USER INPUTS'!$B$30="Total landfill gas",(1/($D$5/100)),IF('USER INPUTS'!$B$30="Methane",1,IF('USER INPUTS'!$B$30="Carbon dioxide",((1/($D$5/100))-1),(VLOOKUP('USER INPUTS'!$B$30,DEFAULTS!$E$8:$F$69,2,FALSE))/10^6*(1/($D$5/100)))))))</f>
        <v>0</v>
      </c>
      <c r="P63" s="62">
        <f>IF(ISERROR(METHANE!$J77*(IF('USER INPUTS'!$B$30="Total landfill gas",(1/($D$5/100)),IF('USER INPUTS'!$B$30="Methane",1,IF('USER INPUTS'!$B$30="Carbon dioxide",((1/($D$5/100))-1),(VLOOKUP('USER INPUTS'!$B$30,DEFAULTS!$E$8:$F$69,2,FALSE))/10^6*(1/($D$5/100))))))),0,METHANE!$J77*(IF('USER INPUTS'!$B$30="Total landfill gas",(1/($D$5/100)),IF('USER INPUTS'!$B$30="Methane",1,IF('USER INPUTS'!$B$30="Carbon dioxide",((1/($D$5/100))-1),(VLOOKUP('USER INPUTS'!$B$30,DEFAULTS!$E$8:$F$69,2,FALSE))/10^6*(1/($D$5/100)))))))</f>
        <v>0</v>
      </c>
      <c r="Q63" s="162">
        <f>IF(Q$8="(short tons/year)",(O63*DEFAULTS!$B$55*DEFAULTS!$B$53/DEFAULTS!$B$54),IF(Q$8="(ft^3/year)",(P63*DEFAULTS!$B$57),IF(Q$8="(av ft^3/min)",(P63*DEFAULTS!$B$57/DEFAULTS!$B$58),0)))</f>
        <v>0</v>
      </c>
    </row>
    <row r="64" spans="1:17">
      <c r="A64" s="68">
        <f>METHANE!I78</f>
        <v>2073</v>
      </c>
      <c r="B64" s="66">
        <f>IF(METHANE!E78&gt;0,METHANE!E78,0)</f>
        <v>0</v>
      </c>
      <c r="C64" s="66">
        <f>IF(METHANE!E78&gt;0,METHANE!E78*DEFAULTS!$B$55*DEFAULTS!$B$53/DEFAULTS!$B$54,0)</f>
        <v>0</v>
      </c>
      <c r="D64" s="66">
        <f>IF(METHANE!F78&gt;0,METHANE!F78,0)</f>
        <v>12946986</v>
      </c>
      <c r="E64" s="66">
        <f>IF(METHANE!F78&gt;0,METHANE!F78*DEFAULTS!$B$55*DEFAULTS!$B$53/DEFAULTS!$B$54,0)</f>
        <v>14241684.6</v>
      </c>
      <c r="F64" s="62">
        <f>IF(ISERROR(METHANE!$J78*DEFAULTS!$B$81*(IF('USER INPUTS'!$B$24="Total landfill gas",(1/($D$5/100)),IF('USER INPUTS'!$B$24="Methane",1,IF('USER INPUTS'!$B$24="Carbon dioxide",((1/($D$5/100))-1),(VLOOKUP('USER INPUTS'!$B$24,DEFAULTS!$E$8:$F$69,2,FALSE))/10^6*(1/($D$5/100))))))),0,METHANE!$J78*DEFAULTS!$B$81*(IF('USER INPUTS'!$B$24="Total landfill gas",(1/($D$5/100)),IF('USER INPUTS'!$B$24="Methane",1,IF('USER INPUTS'!$B$24="Carbon dioxide",((1/($D$5/100))-1),(VLOOKUP('USER INPUTS'!$B$24,DEFAULTS!$E$8:$F$69,2,FALSE))/10^6*(1/($D$5/100)))))))</f>
        <v>0</v>
      </c>
      <c r="G64" s="62">
        <f>IF(ISERROR(METHANE!$J78*(IF('USER INPUTS'!$B$24="Total landfill gas",(1/($D$5/100)),IF('USER INPUTS'!$B$24="Methane",1,IF('USER INPUTS'!$B$24="Carbon dioxide",((1/($D$5/100))-1),(VLOOKUP('USER INPUTS'!$B$24,DEFAULTS!$E$8:$F$69,2,FALSE))/10^6*(1/($D$5/100))))))),0,METHANE!$J78*(IF('USER INPUTS'!$B$24="Total landfill gas",(1/($D$5/100)),IF('USER INPUTS'!$B$24="Methane",1,IF('USER INPUTS'!$B$24="Carbon dioxide",((1/($D$5/100))-1),(VLOOKUP('USER INPUTS'!$B$24,DEFAULTS!$E$8:$F$69,2,FALSE))/10^6*(1/($D$5/100)))))))</f>
        <v>0</v>
      </c>
      <c r="H64" s="62">
        <f>IF(H$8="(short tons/year)",(F64*DEFAULTS!$B$55*DEFAULTS!$B$53/DEFAULTS!$B$54),IF(H$8="(ft^3/year)",(G64*DEFAULTS!$B$57),IF(H$8="(av ft^3/min)",(G64*DEFAULTS!$B$57/DEFAULTS!$B$58),0)))</f>
        <v>0</v>
      </c>
      <c r="I64" s="62">
        <f>IF(ISERROR(METHANE!$J78*DEFAULTS!$B$82*(IF('USER INPUTS'!$B$26="Total landfill gas",(1/($D$5/100)),IF('USER INPUTS'!$B$26="Methane",1,IF('USER INPUTS'!$B$26="Carbon dioxide",((1/($D$5/100))-1),(VLOOKUP('USER INPUTS'!$B$26,DEFAULTS!$E$8:$F$69,2,FALSE))/10^6*(1/($D$5/100))))))),0,METHANE!$J78*DEFAULTS!$B$82*(IF('USER INPUTS'!$B$26="Total landfill gas",(1/($D$5/100)),IF('USER INPUTS'!$B$26="Methane",1,IF('USER INPUTS'!$B$26="Carbon dioxide",((1/($D$5/100))-1),(VLOOKUP('USER INPUTS'!$B$26,DEFAULTS!$E$8:$F$69,2,FALSE))/10^6*(1/($D$5/100)))))))</f>
        <v>0</v>
      </c>
      <c r="J64" s="62">
        <f>IF(ISERROR(METHANE!$J78*(IF('USER INPUTS'!$B$26="Total landfill gas",(1/($D$5/100)),IF('USER INPUTS'!$B$26="Methane",1,IF('USER INPUTS'!$B$26="Carbon dioxide",((1/($D$5/100))-1),(VLOOKUP('USER INPUTS'!$B$26,DEFAULTS!$E$8:$F$69,2,FALSE))/10^6*(1/($D$5/100))))))),0,METHANE!$J78*(IF('USER INPUTS'!$B$26="Total landfill gas",(1/($D$5/100)),IF('USER INPUTS'!$B$26="Methane",1,IF('USER INPUTS'!$B$26="Carbon dioxide",((1/($D$5/100))-1),(VLOOKUP('USER INPUTS'!$B$26,DEFAULTS!$E$8:$F$69,2,FALSE))/10^6*(1/($D$5/100)))))))</f>
        <v>0</v>
      </c>
      <c r="K64" s="62">
        <f>IF(K$8="(short tons/year)",(I64*DEFAULTS!$B$55*DEFAULTS!$B$53/DEFAULTS!$B$54),IF(K$8="(ft^3/year)",(J64*DEFAULTS!$B$57),IF(K$8="(av ft^3/min)",(J64*DEFAULTS!$B$57/DEFAULTS!$B$58),0)))</f>
        <v>0</v>
      </c>
      <c r="L64" s="62">
        <f>IF(ISERROR(METHANE!$J78*DEFAULTS!$B$83*(IF('USER INPUTS'!$B$28="Total landfill gas",(1/($D$5/100)),IF('USER INPUTS'!$B$28="Methane",1,IF('USER INPUTS'!$B$28="Carbon dioxide",((1/($D$5/100))-1),(VLOOKUP('USER INPUTS'!$B$28,DEFAULTS!$E$8:$F$69,2,FALSE))/10^6*(1/($D$5/100))))))),0,METHANE!$J78*DEFAULTS!$B$83*(IF('USER INPUTS'!$B$28="Total landfill gas",(1/($D$5/100)),IF('USER INPUTS'!$B$28="Methane",1,IF('USER INPUTS'!$B$28="Carbon dioxide",((1/($D$5/100))-1),(VLOOKUP('USER INPUTS'!$B$28,DEFAULTS!$E$8:$F$69,2,FALSE))/10^6*(1/($D$5/100)))))))</f>
        <v>15842.197703831132</v>
      </c>
      <c r="M64" s="62">
        <f>IF(ISERROR(METHANE!$J78*(IF('USER INPUTS'!$B$28="Total landfill gas",(1/($D$5/100)),IF('USER INPUTS'!$B$28="Methane",1,IF('USER INPUTS'!$B$28="Carbon dioxide",((1/($D$5/100))-1),(VLOOKUP('USER INPUTS'!$B$28,DEFAULTS!$E$8:$F$69,2,FALSE))/10^6*(1/($D$5/100))))))),0,METHANE!$J78*(IF('USER INPUTS'!$B$28="Total landfill gas",(1/($D$5/100)),IF('USER INPUTS'!$B$28="Methane",1,IF('USER INPUTS'!$B$28="Carbon dioxide",((1/($D$5/100))-1),(VLOOKUP('USER INPUTS'!$B$28,DEFAULTS!$E$8:$F$69,2,FALSE))/10^6*(1/($D$5/100)))))))</f>
        <v>8654579.7150489334</v>
      </c>
      <c r="N64" s="62">
        <f>IF(N$8="(short tons/year)",(L64*DEFAULTS!$B$55*DEFAULTS!$B$53/DEFAULTS!$B$54),IF(N$8="(ft^3/year)",(M64*DEFAULTS!$B$57),IF(N$8="(av ft^3/min)",(M64*DEFAULTS!$B$57/DEFAULTS!$B$58),0)))</f>
        <v>581.50015722403555</v>
      </c>
      <c r="O64" s="62">
        <f>IF(ISERROR(METHANE!$J78*DEFAULTS!$B$84*(IF('USER INPUTS'!$B$30="Total landfill gas",(1/($D$5/100)),IF('USER INPUTS'!$B$30="Methane",1,IF('USER INPUTS'!$B$30="Carbon dioxide",((1/($D$5/100))-1),(VLOOKUP('USER INPUTS'!$B$30,DEFAULTS!$E$8:$F$69,2,FALSE))/10^6*(1/($D$5/100))))))),0,METHANE!$J78*DEFAULTS!$B$84*(IF('USER INPUTS'!$B$30="Total landfill gas",(1/($D$5/100)),IF('USER INPUTS'!$B$30="Methane",1,IF('USER INPUTS'!$B$30="Carbon dioxide",((1/($D$5/100))-1),(VLOOKUP('USER INPUTS'!$B$30,DEFAULTS!$E$8:$F$69,2,FALSE))/10^6*(1/($D$5/100)))))))</f>
        <v>0</v>
      </c>
      <c r="P64" s="62">
        <f>IF(ISERROR(METHANE!$J78*(IF('USER INPUTS'!$B$30="Total landfill gas",(1/($D$5/100)),IF('USER INPUTS'!$B$30="Methane",1,IF('USER INPUTS'!$B$30="Carbon dioxide",((1/($D$5/100))-1),(VLOOKUP('USER INPUTS'!$B$30,DEFAULTS!$E$8:$F$69,2,FALSE))/10^6*(1/($D$5/100))))))),0,METHANE!$J78*(IF('USER INPUTS'!$B$30="Total landfill gas",(1/($D$5/100)),IF('USER INPUTS'!$B$30="Methane",1,IF('USER INPUTS'!$B$30="Carbon dioxide",((1/($D$5/100))-1),(VLOOKUP('USER INPUTS'!$B$30,DEFAULTS!$E$8:$F$69,2,FALSE))/10^6*(1/($D$5/100)))))))</f>
        <v>0</v>
      </c>
      <c r="Q64" s="162">
        <f>IF(Q$8="(short tons/year)",(O64*DEFAULTS!$B$55*DEFAULTS!$B$53/DEFAULTS!$B$54),IF(Q$8="(ft^3/year)",(P64*DEFAULTS!$B$57),IF(Q$8="(av ft^3/min)",(P64*DEFAULTS!$B$57/DEFAULTS!$B$58),0)))</f>
        <v>0</v>
      </c>
    </row>
    <row r="65" spans="1:17">
      <c r="A65" s="68">
        <f>METHANE!I79</f>
        <v>2074</v>
      </c>
      <c r="B65" s="66">
        <f>IF(METHANE!E79&gt;0,METHANE!E79,0)</f>
        <v>0</v>
      </c>
      <c r="C65" s="66">
        <f>IF(METHANE!E79&gt;0,METHANE!E79*DEFAULTS!$B$55*DEFAULTS!$B$53/DEFAULTS!$B$54,0)</f>
        <v>0</v>
      </c>
      <c r="D65" s="66">
        <f>IF(METHANE!F79&gt;0,METHANE!F79,0)</f>
        <v>12946986</v>
      </c>
      <c r="E65" s="66">
        <f>IF(METHANE!F79&gt;0,METHANE!F79*DEFAULTS!$B$55*DEFAULTS!$B$53/DEFAULTS!$B$54,0)</f>
        <v>14241684.6</v>
      </c>
      <c r="F65" s="62">
        <f>IF(ISERROR(METHANE!$J79*DEFAULTS!$B$81*(IF('USER INPUTS'!$B$24="Total landfill gas",(1/($D$5/100)),IF('USER INPUTS'!$B$24="Methane",1,IF('USER INPUTS'!$B$24="Carbon dioxide",((1/($D$5/100))-1),(VLOOKUP('USER INPUTS'!$B$24,DEFAULTS!$E$8:$F$69,2,FALSE))/10^6*(1/($D$5/100))))))),0,METHANE!$J79*DEFAULTS!$B$81*(IF('USER INPUTS'!$B$24="Total landfill gas",(1/($D$5/100)),IF('USER INPUTS'!$B$24="Methane",1,IF('USER INPUTS'!$B$24="Carbon dioxide",((1/($D$5/100))-1),(VLOOKUP('USER INPUTS'!$B$24,DEFAULTS!$E$8:$F$69,2,FALSE))/10^6*(1/($D$5/100)))))))</f>
        <v>0</v>
      </c>
      <c r="G65" s="62">
        <f>IF(ISERROR(METHANE!$J79*(IF('USER INPUTS'!$B$24="Total landfill gas",(1/($D$5/100)),IF('USER INPUTS'!$B$24="Methane",1,IF('USER INPUTS'!$B$24="Carbon dioxide",((1/($D$5/100))-1),(VLOOKUP('USER INPUTS'!$B$24,DEFAULTS!$E$8:$F$69,2,FALSE))/10^6*(1/($D$5/100))))))),0,METHANE!$J79*(IF('USER INPUTS'!$B$24="Total landfill gas",(1/($D$5/100)),IF('USER INPUTS'!$B$24="Methane",1,IF('USER INPUTS'!$B$24="Carbon dioxide",((1/($D$5/100))-1),(VLOOKUP('USER INPUTS'!$B$24,DEFAULTS!$E$8:$F$69,2,FALSE))/10^6*(1/($D$5/100)))))))</f>
        <v>0</v>
      </c>
      <c r="H65" s="62">
        <f>IF(H$8="(short tons/year)",(F65*DEFAULTS!$B$55*DEFAULTS!$B$53/DEFAULTS!$B$54),IF(H$8="(ft^3/year)",(G65*DEFAULTS!$B$57),IF(H$8="(av ft^3/min)",(G65*DEFAULTS!$B$57/DEFAULTS!$B$58),0)))</f>
        <v>0</v>
      </c>
      <c r="I65" s="62">
        <f>IF(ISERROR(METHANE!$J79*DEFAULTS!$B$82*(IF('USER INPUTS'!$B$26="Total landfill gas",(1/($D$5/100)),IF('USER INPUTS'!$B$26="Methane",1,IF('USER INPUTS'!$B$26="Carbon dioxide",((1/($D$5/100))-1),(VLOOKUP('USER INPUTS'!$B$26,DEFAULTS!$E$8:$F$69,2,FALSE))/10^6*(1/($D$5/100))))))),0,METHANE!$J79*DEFAULTS!$B$82*(IF('USER INPUTS'!$B$26="Total landfill gas",(1/($D$5/100)),IF('USER INPUTS'!$B$26="Methane",1,IF('USER INPUTS'!$B$26="Carbon dioxide",((1/($D$5/100))-1),(VLOOKUP('USER INPUTS'!$B$26,DEFAULTS!$E$8:$F$69,2,FALSE))/10^6*(1/($D$5/100)))))))</f>
        <v>0</v>
      </c>
      <c r="J65" s="62">
        <f>IF(ISERROR(METHANE!$J79*(IF('USER INPUTS'!$B$26="Total landfill gas",(1/($D$5/100)),IF('USER INPUTS'!$B$26="Methane",1,IF('USER INPUTS'!$B$26="Carbon dioxide",((1/($D$5/100))-1),(VLOOKUP('USER INPUTS'!$B$26,DEFAULTS!$E$8:$F$69,2,FALSE))/10^6*(1/($D$5/100))))))),0,METHANE!$J79*(IF('USER INPUTS'!$B$26="Total landfill gas",(1/($D$5/100)),IF('USER INPUTS'!$B$26="Methane",1,IF('USER INPUTS'!$B$26="Carbon dioxide",((1/($D$5/100))-1),(VLOOKUP('USER INPUTS'!$B$26,DEFAULTS!$E$8:$F$69,2,FALSE))/10^6*(1/($D$5/100)))))))</f>
        <v>0</v>
      </c>
      <c r="K65" s="62">
        <f>IF(K$8="(short tons/year)",(I65*DEFAULTS!$B$55*DEFAULTS!$B$53/DEFAULTS!$B$54),IF(K$8="(ft^3/year)",(J65*DEFAULTS!$B$57),IF(K$8="(av ft^3/min)",(J65*DEFAULTS!$B$57/DEFAULTS!$B$58),0)))</f>
        <v>0</v>
      </c>
      <c r="L65" s="62">
        <f>IF(ISERROR(METHANE!$J79*DEFAULTS!$B$83*(IF('USER INPUTS'!$B$28="Total landfill gas",(1/($D$5/100)),IF('USER INPUTS'!$B$28="Methane",1,IF('USER INPUTS'!$B$28="Carbon dioxide",((1/($D$5/100))-1),(VLOOKUP('USER INPUTS'!$B$28,DEFAULTS!$E$8:$F$69,2,FALSE))/10^6*(1/($D$5/100))))))),0,METHANE!$J79*DEFAULTS!$B$83*(IF('USER INPUTS'!$B$28="Total landfill gas",(1/($D$5/100)),IF('USER INPUTS'!$B$28="Methane",1,IF('USER INPUTS'!$B$28="Carbon dioxide",((1/($D$5/100))-1),(VLOOKUP('USER INPUTS'!$B$28,DEFAULTS!$E$8:$F$69,2,FALSE))/10^6*(1/($D$5/100)))))))</f>
        <v>15221.01624680414</v>
      </c>
      <c r="M65" s="62">
        <f>IF(ISERROR(METHANE!$J79*(IF('USER INPUTS'!$B$28="Total landfill gas",(1/($D$5/100)),IF('USER INPUTS'!$B$28="Methane",1,IF('USER INPUTS'!$B$28="Carbon dioxide",((1/($D$5/100))-1),(VLOOKUP('USER INPUTS'!$B$28,DEFAULTS!$E$8:$F$69,2,FALSE))/10^6*(1/($D$5/100))))))),0,METHANE!$J79*(IF('USER INPUTS'!$B$28="Total landfill gas",(1/($D$5/100)),IF('USER INPUTS'!$B$28="Methane",1,IF('USER INPUTS'!$B$28="Carbon dioxide",((1/($D$5/100))-1),(VLOOKUP('USER INPUTS'!$B$28,DEFAULTS!$E$8:$F$69,2,FALSE))/10^6*(1/($D$5/100)))))))</f>
        <v>8315228.7905209381</v>
      </c>
      <c r="N65" s="62">
        <f>IF(N$8="(short tons/year)",(L65*DEFAULTS!$B$55*DEFAULTS!$B$53/DEFAULTS!$B$54),IF(N$8="(ft^3/year)",(M65*DEFAULTS!$B$57),IF(N$8="(av ft^3/min)",(M65*DEFAULTS!$B$57/DEFAULTS!$B$58),0)))</f>
        <v>558.69920992626885</v>
      </c>
      <c r="O65" s="62">
        <f>IF(ISERROR(METHANE!$J79*DEFAULTS!$B$84*(IF('USER INPUTS'!$B$30="Total landfill gas",(1/($D$5/100)),IF('USER INPUTS'!$B$30="Methane",1,IF('USER INPUTS'!$B$30="Carbon dioxide",((1/($D$5/100))-1),(VLOOKUP('USER INPUTS'!$B$30,DEFAULTS!$E$8:$F$69,2,FALSE))/10^6*(1/($D$5/100))))))),0,METHANE!$J79*DEFAULTS!$B$84*(IF('USER INPUTS'!$B$30="Total landfill gas",(1/($D$5/100)),IF('USER INPUTS'!$B$30="Methane",1,IF('USER INPUTS'!$B$30="Carbon dioxide",((1/($D$5/100))-1),(VLOOKUP('USER INPUTS'!$B$30,DEFAULTS!$E$8:$F$69,2,FALSE))/10^6*(1/($D$5/100)))))))</f>
        <v>0</v>
      </c>
      <c r="P65" s="62">
        <f>IF(ISERROR(METHANE!$J79*(IF('USER INPUTS'!$B$30="Total landfill gas",(1/($D$5/100)),IF('USER INPUTS'!$B$30="Methane",1,IF('USER INPUTS'!$B$30="Carbon dioxide",((1/($D$5/100))-1),(VLOOKUP('USER INPUTS'!$B$30,DEFAULTS!$E$8:$F$69,2,FALSE))/10^6*(1/($D$5/100))))))),0,METHANE!$J79*(IF('USER INPUTS'!$B$30="Total landfill gas",(1/($D$5/100)),IF('USER INPUTS'!$B$30="Methane",1,IF('USER INPUTS'!$B$30="Carbon dioxide",((1/($D$5/100))-1),(VLOOKUP('USER INPUTS'!$B$30,DEFAULTS!$E$8:$F$69,2,FALSE))/10^6*(1/($D$5/100)))))))</f>
        <v>0</v>
      </c>
      <c r="Q65" s="162">
        <f>IF(Q$8="(short tons/year)",(O65*DEFAULTS!$B$55*DEFAULTS!$B$53/DEFAULTS!$B$54),IF(Q$8="(ft^3/year)",(P65*DEFAULTS!$B$57),IF(Q$8="(av ft^3/min)",(P65*DEFAULTS!$B$57/DEFAULTS!$B$58),0)))</f>
        <v>0</v>
      </c>
    </row>
    <row r="66" spans="1:17">
      <c r="A66" s="68">
        <f>METHANE!I80</f>
        <v>2075</v>
      </c>
      <c r="B66" s="66">
        <f>IF(METHANE!E80&gt;0,METHANE!E80,0)</f>
        <v>0</v>
      </c>
      <c r="C66" s="66">
        <f>IF(METHANE!E80&gt;0,METHANE!E80*DEFAULTS!$B$55*DEFAULTS!$B$53/DEFAULTS!$B$54,0)</f>
        <v>0</v>
      </c>
      <c r="D66" s="66">
        <f>IF(METHANE!F80&gt;0,METHANE!F80,0)</f>
        <v>12946986</v>
      </c>
      <c r="E66" s="66">
        <f>IF(METHANE!F80&gt;0,METHANE!F80*DEFAULTS!$B$55*DEFAULTS!$B$53/DEFAULTS!$B$54,0)</f>
        <v>14241684.6</v>
      </c>
      <c r="F66" s="62">
        <f>IF(ISERROR(METHANE!$J80*DEFAULTS!$B$81*(IF('USER INPUTS'!$B$24="Total landfill gas",(1/($D$5/100)),IF('USER INPUTS'!$B$24="Methane",1,IF('USER INPUTS'!$B$24="Carbon dioxide",((1/($D$5/100))-1),(VLOOKUP('USER INPUTS'!$B$24,DEFAULTS!$E$8:$F$69,2,FALSE))/10^6*(1/($D$5/100))))))),0,METHANE!$J80*DEFAULTS!$B$81*(IF('USER INPUTS'!$B$24="Total landfill gas",(1/($D$5/100)),IF('USER INPUTS'!$B$24="Methane",1,IF('USER INPUTS'!$B$24="Carbon dioxide",((1/($D$5/100))-1),(VLOOKUP('USER INPUTS'!$B$24,DEFAULTS!$E$8:$F$69,2,FALSE))/10^6*(1/($D$5/100)))))))</f>
        <v>0</v>
      </c>
      <c r="G66" s="62">
        <f>IF(ISERROR(METHANE!$J80*(IF('USER INPUTS'!$B$24="Total landfill gas",(1/($D$5/100)),IF('USER INPUTS'!$B$24="Methane",1,IF('USER INPUTS'!$B$24="Carbon dioxide",((1/($D$5/100))-1),(VLOOKUP('USER INPUTS'!$B$24,DEFAULTS!$E$8:$F$69,2,FALSE))/10^6*(1/($D$5/100))))))),0,METHANE!$J80*(IF('USER INPUTS'!$B$24="Total landfill gas",(1/($D$5/100)),IF('USER INPUTS'!$B$24="Methane",1,IF('USER INPUTS'!$B$24="Carbon dioxide",((1/($D$5/100))-1),(VLOOKUP('USER INPUTS'!$B$24,DEFAULTS!$E$8:$F$69,2,FALSE))/10^6*(1/($D$5/100)))))))</f>
        <v>0</v>
      </c>
      <c r="H66" s="62">
        <f>IF(H$8="(short tons/year)",(F66*DEFAULTS!$B$55*DEFAULTS!$B$53/DEFAULTS!$B$54),IF(H$8="(ft^3/year)",(G66*DEFAULTS!$B$57),IF(H$8="(av ft^3/min)",(G66*DEFAULTS!$B$57/DEFAULTS!$B$58),0)))</f>
        <v>0</v>
      </c>
      <c r="I66" s="62">
        <f>IF(ISERROR(METHANE!$J80*DEFAULTS!$B$82*(IF('USER INPUTS'!$B$26="Total landfill gas",(1/($D$5/100)),IF('USER INPUTS'!$B$26="Methane",1,IF('USER INPUTS'!$B$26="Carbon dioxide",((1/($D$5/100))-1),(VLOOKUP('USER INPUTS'!$B$26,DEFAULTS!$E$8:$F$69,2,FALSE))/10^6*(1/($D$5/100))))))),0,METHANE!$J80*DEFAULTS!$B$82*(IF('USER INPUTS'!$B$26="Total landfill gas",(1/($D$5/100)),IF('USER INPUTS'!$B$26="Methane",1,IF('USER INPUTS'!$B$26="Carbon dioxide",((1/($D$5/100))-1),(VLOOKUP('USER INPUTS'!$B$26,DEFAULTS!$E$8:$F$69,2,FALSE))/10^6*(1/($D$5/100)))))))</f>
        <v>0</v>
      </c>
      <c r="J66" s="62">
        <f>IF(ISERROR(METHANE!$J80*(IF('USER INPUTS'!$B$26="Total landfill gas",(1/($D$5/100)),IF('USER INPUTS'!$B$26="Methane",1,IF('USER INPUTS'!$B$26="Carbon dioxide",((1/($D$5/100))-1),(VLOOKUP('USER INPUTS'!$B$26,DEFAULTS!$E$8:$F$69,2,FALSE))/10^6*(1/($D$5/100))))))),0,METHANE!$J80*(IF('USER INPUTS'!$B$26="Total landfill gas",(1/($D$5/100)),IF('USER INPUTS'!$B$26="Methane",1,IF('USER INPUTS'!$B$26="Carbon dioxide",((1/($D$5/100))-1),(VLOOKUP('USER INPUTS'!$B$26,DEFAULTS!$E$8:$F$69,2,FALSE))/10^6*(1/($D$5/100)))))))</f>
        <v>0</v>
      </c>
      <c r="K66" s="62">
        <f>IF(K$8="(short tons/year)",(I66*DEFAULTS!$B$55*DEFAULTS!$B$53/DEFAULTS!$B$54),IF(K$8="(ft^3/year)",(J66*DEFAULTS!$B$57),IF(K$8="(av ft^3/min)",(J66*DEFAULTS!$B$57/DEFAULTS!$B$58),0)))</f>
        <v>0</v>
      </c>
      <c r="L66" s="62">
        <f>IF(ISERROR(METHANE!$J80*DEFAULTS!$B$83*(IF('USER INPUTS'!$B$28="Total landfill gas",(1/($D$5/100)),IF('USER INPUTS'!$B$28="Methane",1,IF('USER INPUTS'!$B$28="Carbon dioxide",((1/($D$5/100))-1),(VLOOKUP('USER INPUTS'!$B$28,DEFAULTS!$E$8:$F$69,2,FALSE))/10^6*(1/($D$5/100))))))),0,METHANE!$J80*DEFAULTS!$B$83*(IF('USER INPUTS'!$B$28="Total landfill gas",(1/($D$5/100)),IF('USER INPUTS'!$B$28="Methane",1,IF('USER INPUTS'!$B$28="Carbon dioxide",((1/($D$5/100))-1),(VLOOKUP('USER INPUTS'!$B$28,DEFAULTS!$E$8:$F$69,2,FALSE))/10^6*(1/($D$5/100)))))))</f>
        <v>14624.191663095346</v>
      </c>
      <c r="M66" s="62">
        <f>IF(ISERROR(METHANE!$J80*(IF('USER INPUTS'!$B$28="Total landfill gas",(1/($D$5/100)),IF('USER INPUTS'!$B$28="Methane",1,IF('USER INPUTS'!$B$28="Carbon dioxide",((1/($D$5/100))-1),(VLOOKUP('USER INPUTS'!$B$28,DEFAULTS!$E$8:$F$69,2,FALSE))/10^6*(1/($D$5/100))))))),0,METHANE!$J80*(IF('USER INPUTS'!$B$28="Total landfill gas",(1/($D$5/100)),IF('USER INPUTS'!$B$28="Methane",1,IF('USER INPUTS'!$B$28="Carbon dioxide",((1/($D$5/100))-1),(VLOOKUP('USER INPUTS'!$B$28,DEFAULTS!$E$8:$F$69,2,FALSE))/10^6*(1/($D$5/100)))))))</f>
        <v>7989184.0060678618</v>
      </c>
      <c r="N66" s="62">
        <f>IF(N$8="(short tons/year)",(L66*DEFAULTS!$B$55*DEFAULTS!$B$53/DEFAULTS!$B$54),IF(N$8="(ft^3/year)",(M66*DEFAULTS!$B$57),IF(N$8="(av ft^3/min)",(M66*DEFAULTS!$B$57/DEFAULTS!$B$58),0)))</f>
        <v>536.79230055990593</v>
      </c>
      <c r="O66" s="62">
        <f>IF(ISERROR(METHANE!$J80*DEFAULTS!$B$84*(IF('USER INPUTS'!$B$30="Total landfill gas",(1/($D$5/100)),IF('USER INPUTS'!$B$30="Methane",1,IF('USER INPUTS'!$B$30="Carbon dioxide",((1/($D$5/100))-1),(VLOOKUP('USER INPUTS'!$B$30,DEFAULTS!$E$8:$F$69,2,FALSE))/10^6*(1/($D$5/100))))))),0,METHANE!$J80*DEFAULTS!$B$84*(IF('USER INPUTS'!$B$30="Total landfill gas",(1/($D$5/100)),IF('USER INPUTS'!$B$30="Methane",1,IF('USER INPUTS'!$B$30="Carbon dioxide",((1/($D$5/100))-1),(VLOOKUP('USER INPUTS'!$B$30,DEFAULTS!$E$8:$F$69,2,FALSE))/10^6*(1/($D$5/100)))))))</f>
        <v>0</v>
      </c>
      <c r="P66" s="62">
        <f>IF(ISERROR(METHANE!$J80*(IF('USER INPUTS'!$B$30="Total landfill gas",(1/($D$5/100)),IF('USER INPUTS'!$B$30="Methane",1,IF('USER INPUTS'!$B$30="Carbon dioxide",((1/($D$5/100))-1),(VLOOKUP('USER INPUTS'!$B$30,DEFAULTS!$E$8:$F$69,2,FALSE))/10^6*(1/($D$5/100))))))),0,METHANE!$J80*(IF('USER INPUTS'!$B$30="Total landfill gas",(1/($D$5/100)),IF('USER INPUTS'!$B$30="Methane",1,IF('USER INPUTS'!$B$30="Carbon dioxide",((1/($D$5/100))-1),(VLOOKUP('USER INPUTS'!$B$30,DEFAULTS!$E$8:$F$69,2,FALSE))/10^6*(1/($D$5/100)))))))</f>
        <v>0</v>
      </c>
      <c r="Q66" s="162">
        <f>IF(Q$8="(short tons/year)",(O66*DEFAULTS!$B$55*DEFAULTS!$B$53/DEFAULTS!$B$54),IF(Q$8="(ft^3/year)",(P66*DEFAULTS!$B$57),IF(Q$8="(av ft^3/min)",(P66*DEFAULTS!$B$57/DEFAULTS!$B$58),0)))</f>
        <v>0</v>
      </c>
    </row>
    <row r="67" spans="1:17">
      <c r="A67" s="68">
        <f>METHANE!I81</f>
        <v>2076</v>
      </c>
      <c r="B67" s="66">
        <f>IF(METHANE!E81&gt;0,METHANE!E81,0)</f>
        <v>0</v>
      </c>
      <c r="C67" s="66">
        <f>IF(METHANE!E81&gt;0,METHANE!E81*DEFAULTS!$B$55*DEFAULTS!$B$53/DEFAULTS!$B$54,0)</f>
        <v>0</v>
      </c>
      <c r="D67" s="66">
        <f>IF(METHANE!F81&gt;0,METHANE!F81,0)</f>
        <v>12946986</v>
      </c>
      <c r="E67" s="66">
        <f>IF(METHANE!F81&gt;0,METHANE!F81*DEFAULTS!$B$55*DEFAULTS!$B$53/DEFAULTS!$B$54,0)</f>
        <v>14241684.6</v>
      </c>
      <c r="F67" s="62">
        <f>IF(ISERROR(METHANE!$J81*DEFAULTS!$B$81*(IF('USER INPUTS'!$B$24="Total landfill gas",(1/($D$5/100)),IF('USER INPUTS'!$B$24="Methane",1,IF('USER INPUTS'!$B$24="Carbon dioxide",((1/($D$5/100))-1),(VLOOKUP('USER INPUTS'!$B$24,DEFAULTS!$E$8:$F$69,2,FALSE))/10^6*(1/($D$5/100))))))),0,METHANE!$J81*DEFAULTS!$B$81*(IF('USER INPUTS'!$B$24="Total landfill gas",(1/($D$5/100)),IF('USER INPUTS'!$B$24="Methane",1,IF('USER INPUTS'!$B$24="Carbon dioxide",((1/($D$5/100))-1),(VLOOKUP('USER INPUTS'!$B$24,DEFAULTS!$E$8:$F$69,2,FALSE))/10^6*(1/($D$5/100)))))))</f>
        <v>0</v>
      </c>
      <c r="G67" s="62">
        <f>IF(ISERROR(METHANE!$J81*(IF('USER INPUTS'!$B$24="Total landfill gas",(1/($D$5/100)),IF('USER INPUTS'!$B$24="Methane",1,IF('USER INPUTS'!$B$24="Carbon dioxide",((1/($D$5/100))-1),(VLOOKUP('USER INPUTS'!$B$24,DEFAULTS!$E$8:$F$69,2,FALSE))/10^6*(1/($D$5/100))))))),0,METHANE!$J81*(IF('USER INPUTS'!$B$24="Total landfill gas",(1/($D$5/100)),IF('USER INPUTS'!$B$24="Methane",1,IF('USER INPUTS'!$B$24="Carbon dioxide",((1/($D$5/100))-1),(VLOOKUP('USER INPUTS'!$B$24,DEFAULTS!$E$8:$F$69,2,FALSE))/10^6*(1/($D$5/100)))))))</f>
        <v>0</v>
      </c>
      <c r="H67" s="62">
        <f>IF(H$8="(short tons/year)",(F67*DEFAULTS!$B$55*DEFAULTS!$B$53/DEFAULTS!$B$54),IF(H$8="(ft^3/year)",(G67*DEFAULTS!$B$57),IF(H$8="(av ft^3/min)",(G67*DEFAULTS!$B$57/DEFAULTS!$B$58),0)))</f>
        <v>0</v>
      </c>
      <c r="I67" s="62">
        <f>IF(ISERROR(METHANE!$J81*DEFAULTS!$B$82*(IF('USER INPUTS'!$B$26="Total landfill gas",(1/($D$5/100)),IF('USER INPUTS'!$B$26="Methane",1,IF('USER INPUTS'!$B$26="Carbon dioxide",((1/($D$5/100))-1),(VLOOKUP('USER INPUTS'!$B$26,DEFAULTS!$E$8:$F$69,2,FALSE))/10^6*(1/($D$5/100))))))),0,METHANE!$J81*DEFAULTS!$B$82*(IF('USER INPUTS'!$B$26="Total landfill gas",(1/($D$5/100)),IF('USER INPUTS'!$B$26="Methane",1,IF('USER INPUTS'!$B$26="Carbon dioxide",((1/($D$5/100))-1),(VLOOKUP('USER INPUTS'!$B$26,DEFAULTS!$E$8:$F$69,2,FALSE))/10^6*(1/($D$5/100)))))))</f>
        <v>0</v>
      </c>
      <c r="J67" s="62">
        <f>IF(ISERROR(METHANE!$J81*(IF('USER INPUTS'!$B$26="Total landfill gas",(1/($D$5/100)),IF('USER INPUTS'!$B$26="Methane",1,IF('USER INPUTS'!$B$26="Carbon dioxide",((1/($D$5/100))-1),(VLOOKUP('USER INPUTS'!$B$26,DEFAULTS!$E$8:$F$69,2,FALSE))/10^6*(1/($D$5/100))))))),0,METHANE!$J81*(IF('USER INPUTS'!$B$26="Total landfill gas",(1/($D$5/100)),IF('USER INPUTS'!$B$26="Methane",1,IF('USER INPUTS'!$B$26="Carbon dioxide",((1/($D$5/100))-1),(VLOOKUP('USER INPUTS'!$B$26,DEFAULTS!$E$8:$F$69,2,FALSE))/10^6*(1/($D$5/100)))))))</f>
        <v>0</v>
      </c>
      <c r="K67" s="62">
        <f>IF(K$8="(short tons/year)",(I67*DEFAULTS!$B$55*DEFAULTS!$B$53/DEFAULTS!$B$54),IF(K$8="(ft^3/year)",(J67*DEFAULTS!$B$57),IF(K$8="(av ft^3/min)",(J67*DEFAULTS!$B$57/DEFAULTS!$B$58),0)))</f>
        <v>0</v>
      </c>
      <c r="L67" s="62">
        <f>IF(ISERROR(METHANE!$J81*DEFAULTS!$B$83*(IF('USER INPUTS'!$B$28="Total landfill gas",(1/($D$5/100)),IF('USER INPUTS'!$B$28="Methane",1,IF('USER INPUTS'!$B$28="Carbon dioxide",((1/($D$5/100))-1),(VLOOKUP('USER INPUTS'!$B$28,DEFAULTS!$E$8:$F$69,2,FALSE))/10^6*(1/($D$5/100))))))),0,METHANE!$J81*DEFAULTS!$B$83*(IF('USER INPUTS'!$B$28="Total landfill gas",(1/($D$5/100)),IF('USER INPUTS'!$B$28="Methane",1,IF('USER INPUTS'!$B$28="Carbon dioxide",((1/($D$5/100))-1),(VLOOKUP('USER INPUTS'!$B$28,DEFAULTS!$E$8:$F$69,2,FALSE))/10^6*(1/($D$5/100)))))))</f>
        <v>14050.76890604146</v>
      </c>
      <c r="M67" s="62">
        <f>IF(ISERROR(METHANE!$J81*(IF('USER INPUTS'!$B$28="Total landfill gas",(1/($D$5/100)),IF('USER INPUTS'!$B$28="Methane",1,IF('USER INPUTS'!$B$28="Carbon dioxide",((1/($D$5/100))-1),(VLOOKUP('USER INPUTS'!$B$28,DEFAULTS!$E$8:$F$69,2,FALSE))/10^6*(1/($D$5/100))))))),0,METHANE!$J81*(IF('USER INPUTS'!$B$28="Total landfill gas",(1/($D$5/100)),IF('USER INPUTS'!$B$28="Methane",1,IF('USER INPUTS'!$B$28="Carbon dioxide",((1/($D$5/100))-1),(VLOOKUP('USER INPUTS'!$B$28,DEFAULTS!$E$8:$F$69,2,FALSE))/10^6*(1/($D$5/100)))))))</f>
        <v>7675923.6204746524</v>
      </c>
      <c r="N67" s="62">
        <f>IF(N$8="(short tons/year)",(L67*DEFAULTS!$B$55*DEFAULTS!$B$53/DEFAULTS!$B$54),IF(N$8="(ft^3/year)",(M67*DEFAULTS!$B$57),IF(N$8="(av ft^3/min)",(M67*DEFAULTS!$B$57/DEFAULTS!$B$58),0)))</f>
        <v>515.74437339623739</v>
      </c>
      <c r="O67" s="62">
        <f>IF(ISERROR(METHANE!$J81*DEFAULTS!$B$84*(IF('USER INPUTS'!$B$30="Total landfill gas",(1/($D$5/100)),IF('USER INPUTS'!$B$30="Methane",1,IF('USER INPUTS'!$B$30="Carbon dioxide",((1/($D$5/100))-1),(VLOOKUP('USER INPUTS'!$B$30,DEFAULTS!$E$8:$F$69,2,FALSE))/10^6*(1/($D$5/100))))))),0,METHANE!$J81*DEFAULTS!$B$84*(IF('USER INPUTS'!$B$30="Total landfill gas",(1/($D$5/100)),IF('USER INPUTS'!$B$30="Methane",1,IF('USER INPUTS'!$B$30="Carbon dioxide",((1/($D$5/100))-1),(VLOOKUP('USER INPUTS'!$B$30,DEFAULTS!$E$8:$F$69,2,FALSE))/10^6*(1/($D$5/100)))))))</f>
        <v>0</v>
      </c>
      <c r="P67" s="62">
        <f>IF(ISERROR(METHANE!$J81*(IF('USER INPUTS'!$B$30="Total landfill gas",(1/($D$5/100)),IF('USER INPUTS'!$B$30="Methane",1,IF('USER INPUTS'!$B$30="Carbon dioxide",((1/($D$5/100))-1),(VLOOKUP('USER INPUTS'!$B$30,DEFAULTS!$E$8:$F$69,2,FALSE))/10^6*(1/($D$5/100))))))),0,METHANE!$J81*(IF('USER INPUTS'!$B$30="Total landfill gas",(1/($D$5/100)),IF('USER INPUTS'!$B$30="Methane",1,IF('USER INPUTS'!$B$30="Carbon dioxide",((1/($D$5/100))-1),(VLOOKUP('USER INPUTS'!$B$30,DEFAULTS!$E$8:$F$69,2,FALSE))/10^6*(1/($D$5/100)))))))</f>
        <v>0</v>
      </c>
      <c r="Q67" s="162">
        <f>IF(Q$8="(short tons/year)",(O67*DEFAULTS!$B$55*DEFAULTS!$B$53/DEFAULTS!$B$54),IF(Q$8="(ft^3/year)",(P67*DEFAULTS!$B$57),IF(Q$8="(av ft^3/min)",(P67*DEFAULTS!$B$57/DEFAULTS!$B$58),0)))</f>
        <v>0</v>
      </c>
    </row>
    <row r="68" spans="1:17">
      <c r="A68" s="68">
        <f>METHANE!I82</f>
        <v>2077</v>
      </c>
      <c r="B68" s="66">
        <f>IF(METHANE!E82&gt;0,METHANE!E82,0)</f>
        <v>0</v>
      </c>
      <c r="C68" s="66">
        <f>IF(METHANE!E82&gt;0,METHANE!E82*DEFAULTS!$B$55*DEFAULTS!$B$53/DEFAULTS!$B$54,0)</f>
        <v>0</v>
      </c>
      <c r="D68" s="66">
        <f>IF(METHANE!F82&gt;0,METHANE!F82,0)</f>
        <v>12946986</v>
      </c>
      <c r="E68" s="66">
        <f>IF(METHANE!F82&gt;0,METHANE!F82*DEFAULTS!$B$55*DEFAULTS!$B$53/DEFAULTS!$B$54,0)</f>
        <v>14241684.6</v>
      </c>
      <c r="F68" s="62">
        <f>IF(ISERROR(METHANE!$J82*DEFAULTS!$B$81*(IF('USER INPUTS'!$B$24="Total landfill gas",(1/($D$5/100)),IF('USER INPUTS'!$B$24="Methane",1,IF('USER INPUTS'!$B$24="Carbon dioxide",((1/($D$5/100))-1),(VLOOKUP('USER INPUTS'!$B$24,DEFAULTS!$E$8:$F$69,2,FALSE))/10^6*(1/($D$5/100))))))),0,METHANE!$J82*DEFAULTS!$B$81*(IF('USER INPUTS'!$B$24="Total landfill gas",(1/($D$5/100)),IF('USER INPUTS'!$B$24="Methane",1,IF('USER INPUTS'!$B$24="Carbon dioxide",((1/($D$5/100))-1),(VLOOKUP('USER INPUTS'!$B$24,DEFAULTS!$E$8:$F$69,2,FALSE))/10^6*(1/($D$5/100)))))))</f>
        <v>0</v>
      </c>
      <c r="G68" s="62">
        <f>IF(ISERROR(METHANE!$J82*(IF('USER INPUTS'!$B$24="Total landfill gas",(1/($D$5/100)),IF('USER INPUTS'!$B$24="Methane",1,IF('USER INPUTS'!$B$24="Carbon dioxide",((1/($D$5/100))-1),(VLOOKUP('USER INPUTS'!$B$24,DEFAULTS!$E$8:$F$69,2,FALSE))/10^6*(1/($D$5/100))))))),0,METHANE!$J82*(IF('USER INPUTS'!$B$24="Total landfill gas",(1/($D$5/100)),IF('USER INPUTS'!$B$24="Methane",1,IF('USER INPUTS'!$B$24="Carbon dioxide",((1/($D$5/100))-1),(VLOOKUP('USER INPUTS'!$B$24,DEFAULTS!$E$8:$F$69,2,FALSE))/10^6*(1/($D$5/100)))))))</f>
        <v>0</v>
      </c>
      <c r="H68" s="62">
        <f>IF(H$8="(short tons/year)",(F68*DEFAULTS!$B$55*DEFAULTS!$B$53/DEFAULTS!$B$54),IF(H$8="(ft^3/year)",(G68*DEFAULTS!$B$57),IF(H$8="(av ft^3/min)",(G68*DEFAULTS!$B$57/DEFAULTS!$B$58),0)))</f>
        <v>0</v>
      </c>
      <c r="I68" s="62">
        <f>IF(ISERROR(METHANE!$J82*DEFAULTS!$B$82*(IF('USER INPUTS'!$B$26="Total landfill gas",(1/($D$5/100)),IF('USER INPUTS'!$B$26="Methane",1,IF('USER INPUTS'!$B$26="Carbon dioxide",((1/($D$5/100))-1),(VLOOKUP('USER INPUTS'!$B$26,DEFAULTS!$E$8:$F$69,2,FALSE))/10^6*(1/($D$5/100))))))),0,METHANE!$J82*DEFAULTS!$B$82*(IF('USER INPUTS'!$B$26="Total landfill gas",(1/($D$5/100)),IF('USER INPUTS'!$B$26="Methane",1,IF('USER INPUTS'!$B$26="Carbon dioxide",((1/($D$5/100))-1),(VLOOKUP('USER INPUTS'!$B$26,DEFAULTS!$E$8:$F$69,2,FALSE))/10^6*(1/($D$5/100)))))))</f>
        <v>0</v>
      </c>
      <c r="J68" s="62">
        <f>IF(ISERROR(METHANE!$J82*(IF('USER INPUTS'!$B$26="Total landfill gas",(1/($D$5/100)),IF('USER INPUTS'!$B$26="Methane",1,IF('USER INPUTS'!$B$26="Carbon dioxide",((1/($D$5/100))-1),(VLOOKUP('USER INPUTS'!$B$26,DEFAULTS!$E$8:$F$69,2,FALSE))/10^6*(1/($D$5/100))))))),0,METHANE!$J82*(IF('USER INPUTS'!$B$26="Total landfill gas",(1/($D$5/100)),IF('USER INPUTS'!$B$26="Methane",1,IF('USER INPUTS'!$B$26="Carbon dioxide",((1/($D$5/100))-1),(VLOOKUP('USER INPUTS'!$B$26,DEFAULTS!$E$8:$F$69,2,FALSE))/10^6*(1/($D$5/100)))))))</f>
        <v>0</v>
      </c>
      <c r="K68" s="62">
        <f>IF(K$8="(short tons/year)",(I68*DEFAULTS!$B$55*DEFAULTS!$B$53/DEFAULTS!$B$54),IF(K$8="(ft^3/year)",(J68*DEFAULTS!$B$57),IF(K$8="(av ft^3/min)",(J68*DEFAULTS!$B$57/DEFAULTS!$B$58),0)))</f>
        <v>0</v>
      </c>
      <c r="L68" s="62">
        <f>IF(ISERROR(METHANE!$J82*DEFAULTS!$B$83*(IF('USER INPUTS'!$B$28="Total landfill gas",(1/($D$5/100)),IF('USER INPUTS'!$B$28="Methane",1,IF('USER INPUTS'!$B$28="Carbon dioxide",((1/($D$5/100))-1),(VLOOKUP('USER INPUTS'!$B$28,DEFAULTS!$E$8:$F$69,2,FALSE))/10^6*(1/($D$5/100))))))),0,METHANE!$J82*DEFAULTS!$B$83*(IF('USER INPUTS'!$B$28="Total landfill gas",(1/($D$5/100)),IF('USER INPUTS'!$B$28="Methane",1,IF('USER INPUTS'!$B$28="Carbon dioxide",((1/($D$5/100))-1),(VLOOKUP('USER INPUTS'!$B$28,DEFAULTS!$E$8:$F$69,2,FALSE))/10^6*(1/($D$5/100)))))))</f>
        <v>13499.830376894477</v>
      </c>
      <c r="M68" s="62">
        <f>IF(ISERROR(METHANE!$J82*(IF('USER INPUTS'!$B$28="Total landfill gas",(1/($D$5/100)),IF('USER INPUTS'!$B$28="Methane",1,IF('USER INPUTS'!$B$28="Carbon dioxide",((1/($D$5/100))-1),(VLOOKUP('USER INPUTS'!$B$28,DEFAULTS!$E$8:$F$69,2,FALSE))/10^6*(1/($D$5/100))))))),0,METHANE!$J82*(IF('USER INPUTS'!$B$28="Total landfill gas",(1/($D$5/100)),IF('USER INPUTS'!$B$28="Methane",1,IF('USER INPUTS'!$B$28="Carbon dioxide",((1/($D$5/100))-1),(VLOOKUP('USER INPUTS'!$B$28,DEFAULTS!$E$8:$F$69,2,FALSE))/10^6*(1/($D$5/100)))))))</f>
        <v>7374946.3502919124</v>
      </c>
      <c r="N68" s="62">
        <f>IF(N$8="(short tons/year)",(L68*DEFAULTS!$B$55*DEFAULTS!$B$53/DEFAULTS!$B$54),IF(N$8="(ft^3/year)",(M68*DEFAULTS!$B$57),IF(N$8="(av ft^3/min)",(M68*DEFAULTS!$B$57/DEFAULTS!$B$58),0)))</f>
        <v>495.52174726133728</v>
      </c>
      <c r="O68" s="62">
        <f>IF(ISERROR(METHANE!$J82*DEFAULTS!$B$84*(IF('USER INPUTS'!$B$30="Total landfill gas",(1/($D$5/100)),IF('USER INPUTS'!$B$30="Methane",1,IF('USER INPUTS'!$B$30="Carbon dioxide",((1/($D$5/100))-1),(VLOOKUP('USER INPUTS'!$B$30,DEFAULTS!$E$8:$F$69,2,FALSE))/10^6*(1/($D$5/100))))))),0,METHANE!$J82*DEFAULTS!$B$84*(IF('USER INPUTS'!$B$30="Total landfill gas",(1/($D$5/100)),IF('USER INPUTS'!$B$30="Methane",1,IF('USER INPUTS'!$B$30="Carbon dioxide",((1/($D$5/100))-1),(VLOOKUP('USER INPUTS'!$B$30,DEFAULTS!$E$8:$F$69,2,FALSE))/10^6*(1/($D$5/100)))))))</f>
        <v>0</v>
      </c>
      <c r="P68" s="62">
        <f>IF(ISERROR(METHANE!$J82*(IF('USER INPUTS'!$B$30="Total landfill gas",(1/($D$5/100)),IF('USER INPUTS'!$B$30="Methane",1,IF('USER INPUTS'!$B$30="Carbon dioxide",((1/($D$5/100))-1),(VLOOKUP('USER INPUTS'!$B$30,DEFAULTS!$E$8:$F$69,2,FALSE))/10^6*(1/($D$5/100))))))),0,METHANE!$J82*(IF('USER INPUTS'!$B$30="Total landfill gas",(1/($D$5/100)),IF('USER INPUTS'!$B$30="Methane",1,IF('USER INPUTS'!$B$30="Carbon dioxide",((1/($D$5/100))-1),(VLOOKUP('USER INPUTS'!$B$30,DEFAULTS!$E$8:$F$69,2,FALSE))/10^6*(1/($D$5/100)))))))</f>
        <v>0</v>
      </c>
      <c r="Q68" s="162">
        <f>IF(Q$8="(short tons/year)",(O68*DEFAULTS!$B$55*DEFAULTS!$B$53/DEFAULTS!$B$54),IF(Q$8="(ft^3/year)",(P68*DEFAULTS!$B$57),IF(Q$8="(av ft^3/min)",(P68*DEFAULTS!$B$57/DEFAULTS!$B$58),0)))</f>
        <v>0</v>
      </c>
    </row>
    <row r="69" spans="1:17">
      <c r="A69" s="68">
        <f>METHANE!I83</f>
        <v>2078</v>
      </c>
      <c r="B69" s="66">
        <f>IF(METHANE!E83&gt;0,METHANE!E83,0)</f>
        <v>0</v>
      </c>
      <c r="C69" s="66">
        <f>IF(METHANE!E83&gt;0,METHANE!E83*DEFAULTS!$B$55*DEFAULTS!$B$53/DEFAULTS!$B$54,0)</f>
        <v>0</v>
      </c>
      <c r="D69" s="66">
        <f>IF(METHANE!F83&gt;0,METHANE!F83,0)</f>
        <v>12946986</v>
      </c>
      <c r="E69" s="66">
        <f>IF(METHANE!F83&gt;0,METHANE!F83*DEFAULTS!$B$55*DEFAULTS!$B$53/DEFAULTS!$B$54,0)</f>
        <v>14241684.6</v>
      </c>
      <c r="F69" s="62">
        <f>IF(ISERROR(METHANE!$J83*DEFAULTS!$B$81*(IF('USER INPUTS'!$B$24="Total landfill gas",(1/($D$5/100)),IF('USER INPUTS'!$B$24="Methane",1,IF('USER INPUTS'!$B$24="Carbon dioxide",((1/($D$5/100))-1),(VLOOKUP('USER INPUTS'!$B$24,DEFAULTS!$E$8:$F$69,2,FALSE))/10^6*(1/($D$5/100))))))),0,METHANE!$J83*DEFAULTS!$B$81*(IF('USER INPUTS'!$B$24="Total landfill gas",(1/($D$5/100)),IF('USER INPUTS'!$B$24="Methane",1,IF('USER INPUTS'!$B$24="Carbon dioxide",((1/($D$5/100))-1),(VLOOKUP('USER INPUTS'!$B$24,DEFAULTS!$E$8:$F$69,2,FALSE))/10^6*(1/($D$5/100)))))))</f>
        <v>0</v>
      </c>
      <c r="G69" s="62">
        <f>IF(ISERROR(METHANE!$J83*(IF('USER INPUTS'!$B$24="Total landfill gas",(1/($D$5/100)),IF('USER INPUTS'!$B$24="Methane",1,IF('USER INPUTS'!$B$24="Carbon dioxide",((1/($D$5/100))-1),(VLOOKUP('USER INPUTS'!$B$24,DEFAULTS!$E$8:$F$69,2,FALSE))/10^6*(1/($D$5/100))))))),0,METHANE!$J83*(IF('USER INPUTS'!$B$24="Total landfill gas",(1/($D$5/100)),IF('USER INPUTS'!$B$24="Methane",1,IF('USER INPUTS'!$B$24="Carbon dioxide",((1/($D$5/100))-1),(VLOOKUP('USER INPUTS'!$B$24,DEFAULTS!$E$8:$F$69,2,FALSE))/10^6*(1/($D$5/100)))))))</f>
        <v>0</v>
      </c>
      <c r="H69" s="62">
        <f>IF(H$8="(short tons/year)",(F69*DEFAULTS!$B$55*DEFAULTS!$B$53/DEFAULTS!$B$54),IF(H$8="(ft^3/year)",(G69*DEFAULTS!$B$57),IF(H$8="(av ft^3/min)",(G69*DEFAULTS!$B$57/DEFAULTS!$B$58),0)))</f>
        <v>0</v>
      </c>
      <c r="I69" s="62">
        <f>IF(ISERROR(METHANE!$J83*DEFAULTS!$B$82*(IF('USER INPUTS'!$B$26="Total landfill gas",(1/($D$5/100)),IF('USER INPUTS'!$B$26="Methane",1,IF('USER INPUTS'!$B$26="Carbon dioxide",((1/($D$5/100))-1),(VLOOKUP('USER INPUTS'!$B$26,DEFAULTS!$E$8:$F$69,2,FALSE))/10^6*(1/($D$5/100))))))),0,METHANE!$J83*DEFAULTS!$B$82*(IF('USER INPUTS'!$B$26="Total landfill gas",(1/($D$5/100)),IF('USER INPUTS'!$B$26="Methane",1,IF('USER INPUTS'!$B$26="Carbon dioxide",((1/($D$5/100))-1),(VLOOKUP('USER INPUTS'!$B$26,DEFAULTS!$E$8:$F$69,2,FALSE))/10^6*(1/($D$5/100)))))))</f>
        <v>0</v>
      </c>
      <c r="J69" s="62">
        <f>IF(ISERROR(METHANE!$J83*(IF('USER INPUTS'!$B$26="Total landfill gas",(1/($D$5/100)),IF('USER INPUTS'!$B$26="Methane",1,IF('USER INPUTS'!$B$26="Carbon dioxide",((1/($D$5/100))-1),(VLOOKUP('USER INPUTS'!$B$26,DEFAULTS!$E$8:$F$69,2,FALSE))/10^6*(1/($D$5/100))))))),0,METHANE!$J83*(IF('USER INPUTS'!$B$26="Total landfill gas",(1/($D$5/100)),IF('USER INPUTS'!$B$26="Methane",1,IF('USER INPUTS'!$B$26="Carbon dioxide",((1/($D$5/100))-1),(VLOOKUP('USER INPUTS'!$B$26,DEFAULTS!$E$8:$F$69,2,FALSE))/10^6*(1/($D$5/100)))))))</f>
        <v>0</v>
      </c>
      <c r="K69" s="62">
        <f>IF(K$8="(short tons/year)",(I69*DEFAULTS!$B$55*DEFAULTS!$B$53/DEFAULTS!$B$54),IF(K$8="(ft^3/year)",(J69*DEFAULTS!$B$57),IF(K$8="(av ft^3/min)",(J69*DEFAULTS!$B$57/DEFAULTS!$B$58),0)))</f>
        <v>0</v>
      </c>
      <c r="L69" s="62">
        <f>IF(ISERROR(METHANE!$J83*DEFAULTS!$B$83*(IF('USER INPUTS'!$B$28="Total landfill gas",(1/($D$5/100)),IF('USER INPUTS'!$B$28="Methane",1,IF('USER INPUTS'!$B$28="Carbon dioxide",((1/($D$5/100))-1),(VLOOKUP('USER INPUTS'!$B$28,DEFAULTS!$E$8:$F$69,2,FALSE))/10^6*(1/($D$5/100))))))),0,METHANE!$J83*DEFAULTS!$B$83*(IF('USER INPUTS'!$B$28="Total landfill gas",(1/($D$5/100)),IF('USER INPUTS'!$B$28="Methane",1,IF('USER INPUTS'!$B$28="Carbon dioxide",((1/($D$5/100))-1),(VLOOKUP('USER INPUTS'!$B$28,DEFAULTS!$E$8:$F$69,2,FALSE))/10^6*(1/($D$5/100)))))))</f>
        <v>12970.494456467937</v>
      </c>
      <c r="M69" s="62">
        <f>IF(ISERROR(METHANE!$J83*(IF('USER INPUTS'!$B$28="Total landfill gas",(1/($D$5/100)),IF('USER INPUTS'!$B$28="Methane",1,IF('USER INPUTS'!$B$28="Carbon dioxide",((1/($D$5/100))-1),(VLOOKUP('USER INPUTS'!$B$28,DEFAULTS!$E$8:$F$69,2,FALSE))/10^6*(1/($D$5/100))))))),0,METHANE!$J83*(IF('USER INPUTS'!$B$28="Total landfill gas",(1/($D$5/100)),IF('USER INPUTS'!$B$28="Methane",1,IF('USER INPUTS'!$B$28="Carbon dioxide",((1/($D$5/100))-1),(VLOOKUP('USER INPUTS'!$B$28,DEFAULTS!$E$8:$F$69,2,FALSE))/10^6*(1/($D$5/100)))))))</f>
        <v>7085770.5676754387</v>
      </c>
      <c r="N69" s="62">
        <f>IF(N$8="(short tons/year)",(L69*DEFAULTS!$B$55*DEFAULTS!$B$53/DEFAULTS!$B$54),IF(N$8="(ft^3/year)",(M69*DEFAULTS!$B$57),IF(N$8="(av ft^3/min)",(M69*DEFAULTS!$B$57/DEFAULTS!$B$58),0)))</f>
        <v>476.09206163899944</v>
      </c>
      <c r="O69" s="62">
        <f>IF(ISERROR(METHANE!$J83*DEFAULTS!$B$84*(IF('USER INPUTS'!$B$30="Total landfill gas",(1/($D$5/100)),IF('USER INPUTS'!$B$30="Methane",1,IF('USER INPUTS'!$B$30="Carbon dioxide",((1/($D$5/100))-1),(VLOOKUP('USER INPUTS'!$B$30,DEFAULTS!$E$8:$F$69,2,FALSE))/10^6*(1/($D$5/100))))))),0,METHANE!$J83*DEFAULTS!$B$84*(IF('USER INPUTS'!$B$30="Total landfill gas",(1/($D$5/100)),IF('USER INPUTS'!$B$30="Methane",1,IF('USER INPUTS'!$B$30="Carbon dioxide",((1/($D$5/100))-1),(VLOOKUP('USER INPUTS'!$B$30,DEFAULTS!$E$8:$F$69,2,FALSE))/10^6*(1/($D$5/100)))))))</f>
        <v>0</v>
      </c>
      <c r="P69" s="62">
        <f>IF(ISERROR(METHANE!$J83*(IF('USER INPUTS'!$B$30="Total landfill gas",(1/($D$5/100)),IF('USER INPUTS'!$B$30="Methane",1,IF('USER INPUTS'!$B$30="Carbon dioxide",((1/($D$5/100))-1),(VLOOKUP('USER INPUTS'!$B$30,DEFAULTS!$E$8:$F$69,2,FALSE))/10^6*(1/($D$5/100))))))),0,METHANE!$J83*(IF('USER INPUTS'!$B$30="Total landfill gas",(1/($D$5/100)),IF('USER INPUTS'!$B$30="Methane",1,IF('USER INPUTS'!$B$30="Carbon dioxide",((1/($D$5/100))-1),(VLOOKUP('USER INPUTS'!$B$30,DEFAULTS!$E$8:$F$69,2,FALSE))/10^6*(1/($D$5/100)))))))</f>
        <v>0</v>
      </c>
      <c r="Q69" s="162">
        <f>IF(Q$8="(short tons/year)",(O69*DEFAULTS!$B$55*DEFAULTS!$B$53/DEFAULTS!$B$54),IF(Q$8="(ft^3/year)",(P69*DEFAULTS!$B$57),IF(Q$8="(av ft^3/min)",(P69*DEFAULTS!$B$57/DEFAULTS!$B$58),0)))</f>
        <v>0</v>
      </c>
    </row>
    <row r="70" spans="1:17">
      <c r="A70" s="68">
        <f>METHANE!I84</f>
        <v>2079</v>
      </c>
      <c r="B70" s="66">
        <f>IF(METHANE!E84&gt;0,METHANE!E84,0)</f>
        <v>0</v>
      </c>
      <c r="C70" s="66">
        <f>IF(METHANE!E84&gt;0,METHANE!E84*DEFAULTS!$B$55*DEFAULTS!$B$53/DEFAULTS!$B$54,0)</f>
        <v>0</v>
      </c>
      <c r="D70" s="66">
        <f>IF(METHANE!F84&gt;0,METHANE!F84,0)</f>
        <v>12946986</v>
      </c>
      <c r="E70" s="66">
        <f>IF(METHANE!F84&gt;0,METHANE!F84*DEFAULTS!$B$55*DEFAULTS!$B$53/DEFAULTS!$B$54,0)</f>
        <v>14241684.6</v>
      </c>
      <c r="F70" s="62">
        <f>IF(ISERROR(METHANE!$J84*DEFAULTS!$B$81*(IF('USER INPUTS'!$B$24="Total landfill gas",(1/($D$5/100)),IF('USER INPUTS'!$B$24="Methane",1,IF('USER INPUTS'!$B$24="Carbon dioxide",((1/($D$5/100))-1),(VLOOKUP('USER INPUTS'!$B$24,DEFAULTS!$E$8:$F$69,2,FALSE))/10^6*(1/($D$5/100))))))),0,METHANE!$J84*DEFAULTS!$B$81*(IF('USER INPUTS'!$B$24="Total landfill gas",(1/($D$5/100)),IF('USER INPUTS'!$B$24="Methane",1,IF('USER INPUTS'!$B$24="Carbon dioxide",((1/($D$5/100))-1),(VLOOKUP('USER INPUTS'!$B$24,DEFAULTS!$E$8:$F$69,2,FALSE))/10^6*(1/($D$5/100)))))))</f>
        <v>0</v>
      </c>
      <c r="G70" s="62">
        <f>IF(ISERROR(METHANE!$J84*(IF('USER INPUTS'!$B$24="Total landfill gas",(1/($D$5/100)),IF('USER INPUTS'!$B$24="Methane",1,IF('USER INPUTS'!$B$24="Carbon dioxide",((1/($D$5/100))-1),(VLOOKUP('USER INPUTS'!$B$24,DEFAULTS!$E$8:$F$69,2,FALSE))/10^6*(1/($D$5/100))))))),0,METHANE!$J84*(IF('USER INPUTS'!$B$24="Total landfill gas",(1/($D$5/100)),IF('USER INPUTS'!$B$24="Methane",1,IF('USER INPUTS'!$B$24="Carbon dioxide",((1/($D$5/100))-1),(VLOOKUP('USER INPUTS'!$B$24,DEFAULTS!$E$8:$F$69,2,FALSE))/10^6*(1/($D$5/100)))))))</f>
        <v>0</v>
      </c>
      <c r="H70" s="62">
        <f>IF(H$8="(short tons/year)",(F70*DEFAULTS!$B$55*DEFAULTS!$B$53/DEFAULTS!$B$54),IF(H$8="(ft^3/year)",(G70*DEFAULTS!$B$57),IF(H$8="(av ft^3/min)",(G70*DEFAULTS!$B$57/DEFAULTS!$B$58),0)))</f>
        <v>0</v>
      </c>
      <c r="I70" s="62">
        <f>IF(ISERROR(METHANE!$J84*DEFAULTS!$B$82*(IF('USER INPUTS'!$B$26="Total landfill gas",(1/($D$5/100)),IF('USER INPUTS'!$B$26="Methane",1,IF('USER INPUTS'!$B$26="Carbon dioxide",((1/($D$5/100))-1),(VLOOKUP('USER INPUTS'!$B$26,DEFAULTS!$E$8:$F$69,2,FALSE))/10^6*(1/($D$5/100))))))),0,METHANE!$J84*DEFAULTS!$B$82*(IF('USER INPUTS'!$B$26="Total landfill gas",(1/($D$5/100)),IF('USER INPUTS'!$B$26="Methane",1,IF('USER INPUTS'!$B$26="Carbon dioxide",((1/($D$5/100))-1),(VLOOKUP('USER INPUTS'!$B$26,DEFAULTS!$E$8:$F$69,2,FALSE))/10^6*(1/($D$5/100)))))))</f>
        <v>0</v>
      </c>
      <c r="J70" s="62">
        <f>IF(ISERROR(METHANE!$J84*(IF('USER INPUTS'!$B$26="Total landfill gas",(1/($D$5/100)),IF('USER INPUTS'!$B$26="Methane",1,IF('USER INPUTS'!$B$26="Carbon dioxide",((1/($D$5/100))-1),(VLOOKUP('USER INPUTS'!$B$26,DEFAULTS!$E$8:$F$69,2,FALSE))/10^6*(1/($D$5/100))))))),0,METHANE!$J84*(IF('USER INPUTS'!$B$26="Total landfill gas",(1/($D$5/100)),IF('USER INPUTS'!$B$26="Methane",1,IF('USER INPUTS'!$B$26="Carbon dioxide",((1/($D$5/100))-1),(VLOOKUP('USER INPUTS'!$B$26,DEFAULTS!$E$8:$F$69,2,FALSE))/10^6*(1/($D$5/100)))))))</f>
        <v>0</v>
      </c>
      <c r="K70" s="62">
        <f>IF(K$8="(short tons/year)",(I70*DEFAULTS!$B$55*DEFAULTS!$B$53/DEFAULTS!$B$54),IF(K$8="(ft^3/year)",(J70*DEFAULTS!$B$57),IF(K$8="(av ft^3/min)",(J70*DEFAULTS!$B$57/DEFAULTS!$B$58),0)))</f>
        <v>0</v>
      </c>
      <c r="L70" s="62">
        <f>IF(ISERROR(METHANE!$J84*DEFAULTS!$B$83*(IF('USER INPUTS'!$B$28="Total landfill gas",(1/($D$5/100)),IF('USER INPUTS'!$B$28="Methane",1,IF('USER INPUTS'!$B$28="Carbon dioxide",((1/($D$5/100))-1),(VLOOKUP('USER INPUTS'!$B$28,DEFAULTS!$E$8:$F$69,2,FALSE))/10^6*(1/($D$5/100))))))),0,METHANE!$J84*DEFAULTS!$B$83*(IF('USER INPUTS'!$B$28="Total landfill gas",(1/($D$5/100)),IF('USER INPUTS'!$B$28="Methane",1,IF('USER INPUTS'!$B$28="Carbon dioxide",((1/($D$5/100))-1),(VLOOKUP('USER INPUTS'!$B$28,DEFAULTS!$E$8:$F$69,2,FALSE))/10^6*(1/($D$5/100)))))))</f>
        <v>12461.91409435815</v>
      </c>
      <c r="M70" s="62">
        <f>IF(ISERROR(METHANE!$J84*(IF('USER INPUTS'!$B$28="Total landfill gas",(1/($D$5/100)),IF('USER INPUTS'!$B$28="Methane",1,IF('USER INPUTS'!$B$28="Carbon dioxide",((1/($D$5/100))-1),(VLOOKUP('USER INPUTS'!$B$28,DEFAULTS!$E$8:$F$69,2,FALSE))/10^6*(1/($D$5/100))))))),0,METHANE!$J84*(IF('USER INPUTS'!$B$28="Total landfill gas",(1/($D$5/100)),IF('USER INPUTS'!$B$28="Methane",1,IF('USER INPUTS'!$B$28="Carbon dioxide",((1/($D$5/100))-1),(VLOOKUP('USER INPUTS'!$B$28,DEFAULTS!$E$8:$F$69,2,FALSE))/10^6*(1/($D$5/100)))))))</f>
        <v>6807933.529678924</v>
      </c>
      <c r="N70" s="62">
        <f>IF(N$8="(short tons/year)",(L70*DEFAULTS!$B$55*DEFAULTS!$B$53/DEFAULTS!$B$54),IF(N$8="(ft^3/year)",(M70*DEFAULTS!$B$57),IF(N$8="(av ft^3/min)",(M70*DEFAULTS!$B$57/DEFAULTS!$B$58),0)))</f>
        <v>457.4242248870076</v>
      </c>
      <c r="O70" s="62">
        <f>IF(ISERROR(METHANE!$J84*DEFAULTS!$B$84*(IF('USER INPUTS'!$B$30="Total landfill gas",(1/($D$5/100)),IF('USER INPUTS'!$B$30="Methane",1,IF('USER INPUTS'!$B$30="Carbon dioxide",((1/($D$5/100))-1),(VLOOKUP('USER INPUTS'!$B$30,DEFAULTS!$E$8:$F$69,2,FALSE))/10^6*(1/($D$5/100))))))),0,METHANE!$J84*DEFAULTS!$B$84*(IF('USER INPUTS'!$B$30="Total landfill gas",(1/($D$5/100)),IF('USER INPUTS'!$B$30="Methane",1,IF('USER INPUTS'!$B$30="Carbon dioxide",((1/($D$5/100))-1),(VLOOKUP('USER INPUTS'!$B$30,DEFAULTS!$E$8:$F$69,2,FALSE))/10^6*(1/($D$5/100)))))))</f>
        <v>0</v>
      </c>
      <c r="P70" s="62">
        <f>IF(ISERROR(METHANE!$J84*(IF('USER INPUTS'!$B$30="Total landfill gas",(1/($D$5/100)),IF('USER INPUTS'!$B$30="Methane",1,IF('USER INPUTS'!$B$30="Carbon dioxide",((1/($D$5/100))-1),(VLOOKUP('USER INPUTS'!$B$30,DEFAULTS!$E$8:$F$69,2,FALSE))/10^6*(1/($D$5/100))))))),0,METHANE!$J84*(IF('USER INPUTS'!$B$30="Total landfill gas",(1/($D$5/100)),IF('USER INPUTS'!$B$30="Methane",1,IF('USER INPUTS'!$B$30="Carbon dioxide",((1/($D$5/100))-1),(VLOOKUP('USER INPUTS'!$B$30,DEFAULTS!$E$8:$F$69,2,FALSE))/10^6*(1/($D$5/100)))))))</f>
        <v>0</v>
      </c>
      <c r="Q70" s="162">
        <f>IF(Q$8="(short tons/year)",(O70*DEFAULTS!$B$55*DEFAULTS!$B$53/DEFAULTS!$B$54),IF(Q$8="(ft^3/year)",(P70*DEFAULTS!$B$57),IF(Q$8="(av ft^3/min)",(P70*DEFAULTS!$B$57/DEFAULTS!$B$58),0)))</f>
        <v>0</v>
      </c>
    </row>
    <row r="71" spans="1:17">
      <c r="A71" s="68">
        <f>METHANE!I85</f>
        <v>2080</v>
      </c>
      <c r="B71" s="66">
        <f>IF(METHANE!E85&gt;0,METHANE!E85,0)</f>
        <v>0</v>
      </c>
      <c r="C71" s="66">
        <f>IF(METHANE!E85&gt;0,METHANE!E85*DEFAULTS!$B$55*DEFAULTS!$B$53/DEFAULTS!$B$54,0)</f>
        <v>0</v>
      </c>
      <c r="D71" s="66">
        <f>IF(METHANE!F85&gt;0,METHANE!F85,0)</f>
        <v>12946986</v>
      </c>
      <c r="E71" s="66">
        <f>IF(METHANE!F85&gt;0,METHANE!F85*DEFAULTS!$B$55*DEFAULTS!$B$53/DEFAULTS!$B$54,0)</f>
        <v>14241684.6</v>
      </c>
      <c r="F71" s="62">
        <f>IF(ISERROR(METHANE!$J85*DEFAULTS!$B$81*(IF('USER INPUTS'!$B$24="Total landfill gas",(1/($D$5/100)),IF('USER INPUTS'!$B$24="Methane",1,IF('USER INPUTS'!$B$24="Carbon dioxide",((1/($D$5/100))-1),(VLOOKUP('USER INPUTS'!$B$24,DEFAULTS!$E$8:$F$69,2,FALSE))/10^6*(1/($D$5/100))))))),0,METHANE!$J85*DEFAULTS!$B$81*(IF('USER INPUTS'!$B$24="Total landfill gas",(1/($D$5/100)),IF('USER INPUTS'!$B$24="Methane",1,IF('USER INPUTS'!$B$24="Carbon dioxide",((1/($D$5/100))-1),(VLOOKUP('USER INPUTS'!$B$24,DEFAULTS!$E$8:$F$69,2,FALSE))/10^6*(1/($D$5/100)))))))</f>
        <v>0</v>
      </c>
      <c r="G71" s="62">
        <f>IF(ISERROR(METHANE!$J85*(IF('USER INPUTS'!$B$24="Total landfill gas",(1/($D$5/100)),IF('USER INPUTS'!$B$24="Methane",1,IF('USER INPUTS'!$B$24="Carbon dioxide",((1/($D$5/100))-1),(VLOOKUP('USER INPUTS'!$B$24,DEFAULTS!$E$8:$F$69,2,FALSE))/10^6*(1/($D$5/100))))))),0,METHANE!$J85*(IF('USER INPUTS'!$B$24="Total landfill gas",(1/($D$5/100)),IF('USER INPUTS'!$B$24="Methane",1,IF('USER INPUTS'!$B$24="Carbon dioxide",((1/($D$5/100))-1),(VLOOKUP('USER INPUTS'!$B$24,DEFAULTS!$E$8:$F$69,2,FALSE))/10^6*(1/($D$5/100)))))))</f>
        <v>0</v>
      </c>
      <c r="H71" s="62">
        <f>IF(H$8="(short tons/year)",(F71*DEFAULTS!$B$55*DEFAULTS!$B$53/DEFAULTS!$B$54),IF(H$8="(ft^3/year)",(G71*DEFAULTS!$B$57),IF(H$8="(av ft^3/min)",(G71*DEFAULTS!$B$57/DEFAULTS!$B$58),0)))</f>
        <v>0</v>
      </c>
      <c r="I71" s="62">
        <f>IF(ISERROR(METHANE!$J85*DEFAULTS!$B$82*(IF('USER INPUTS'!$B$26="Total landfill gas",(1/($D$5/100)),IF('USER INPUTS'!$B$26="Methane",1,IF('USER INPUTS'!$B$26="Carbon dioxide",((1/($D$5/100))-1),(VLOOKUP('USER INPUTS'!$B$26,DEFAULTS!$E$8:$F$69,2,FALSE))/10^6*(1/($D$5/100))))))),0,METHANE!$J85*DEFAULTS!$B$82*(IF('USER INPUTS'!$B$26="Total landfill gas",(1/($D$5/100)),IF('USER INPUTS'!$B$26="Methane",1,IF('USER INPUTS'!$B$26="Carbon dioxide",((1/($D$5/100))-1),(VLOOKUP('USER INPUTS'!$B$26,DEFAULTS!$E$8:$F$69,2,FALSE))/10^6*(1/($D$5/100)))))))</f>
        <v>0</v>
      </c>
      <c r="J71" s="62">
        <f>IF(ISERROR(METHANE!$J85*(IF('USER INPUTS'!$B$26="Total landfill gas",(1/($D$5/100)),IF('USER INPUTS'!$B$26="Methane",1,IF('USER INPUTS'!$B$26="Carbon dioxide",((1/($D$5/100))-1),(VLOOKUP('USER INPUTS'!$B$26,DEFAULTS!$E$8:$F$69,2,FALSE))/10^6*(1/($D$5/100))))))),0,METHANE!$J85*(IF('USER INPUTS'!$B$26="Total landfill gas",(1/($D$5/100)),IF('USER INPUTS'!$B$26="Methane",1,IF('USER INPUTS'!$B$26="Carbon dioxide",((1/($D$5/100))-1),(VLOOKUP('USER INPUTS'!$B$26,DEFAULTS!$E$8:$F$69,2,FALSE))/10^6*(1/($D$5/100)))))))</f>
        <v>0</v>
      </c>
      <c r="K71" s="62">
        <f>IF(K$8="(short tons/year)",(I71*DEFAULTS!$B$55*DEFAULTS!$B$53/DEFAULTS!$B$54),IF(K$8="(ft^3/year)",(J71*DEFAULTS!$B$57),IF(K$8="(av ft^3/min)",(J71*DEFAULTS!$B$57/DEFAULTS!$B$58),0)))</f>
        <v>0</v>
      </c>
      <c r="L71" s="62">
        <f>IF(ISERROR(METHANE!$J85*DEFAULTS!$B$83*(IF('USER INPUTS'!$B$28="Total landfill gas",(1/($D$5/100)),IF('USER INPUTS'!$B$28="Methane",1,IF('USER INPUTS'!$B$28="Carbon dioxide",((1/($D$5/100))-1),(VLOOKUP('USER INPUTS'!$B$28,DEFAULTS!$E$8:$F$69,2,FALSE))/10^6*(1/($D$5/100))))))),0,METHANE!$J85*DEFAULTS!$B$83*(IF('USER INPUTS'!$B$28="Total landfill gas",(1/($D$5/100)),IF('USER INPUTS'!$B$28="Methane",1,IF('USER INPUTS'!$B$28="Carbon dioxide",((1/($D$5/100))-1),(VLOOKUP('USER INPUTS'!$B$28,DEFAULTS!$E$8:$F$69,2,FALSE))/10^6*(1/($D$5/100)))))))</f>
        <v>11973.2754534828</v>
      </c>
      <c r="M71" s="62">
        <f>IF(ISERROR(METHANE!$J85*(IF('USER INPUTS'!$B$28="Total landfill gas",(1/($D$5/100)),IF('USER INPUTS'!$B$28="Methane",1,IF('USER INPUTS'!$B$28="Carbon dioxide",((1/($D$5/100))-1),(VLOOKUP('USER INPUTS'!$B$28,DEFAULTS!$E$8:$F$69,2,FALSE))/10^6*(1/($D$5/100))))))),0,METHANE!$J85*(IF('USER INPUTS'!$B$28="Total landfill gas",(1/($D$5/100)),IF('USER INPUTS'!$B$28="Methane",1,IF('USER INPUTS'!$B$28="Carbon dioxide",((1/($D$5/100))-1),(VLOOKUP('USER INPUTS'!$B$28,DEFAULTS!$E$8:$F$69,2,FALSE))/10^6*(1/($D$5/100)))))))</f>
        <v>6540990.6377665093</v>
      </c>
      <c r="N71" s="62">
        <f>IF(N$8="(short tons/year)",(L71*DEFAULTS!$B$55*DEFAULTS!$B$53/DEFAULTS!$B$54),IF(N$8="(ft^3/year)",(M71*DEFAULTS!$B$57),IF(N$8="(av ft^3/min)",(M71*DEFAULTS!$B$57/DEFAULTS!$B$58),0)))</f>
        <v>439.48836448387419</v>
      </c>
      <c r="O71" s="62">
        <f>IF(ISERROR(METHANE!$J85*DEFAULTS!$B$84*(IF('USER INPUTS'!$B$30="Total landfill gas",(1/($D$5/100)),IF('USER INPUTS'!$B$30="Methane",1,IF('USER INPUTS'!$B$30="Carbon dioxide",((1/($D$5/100))-1),(VLOOKUP('USER INPUTS'!$B$30,DEFAULTS!$E$8:$F$69,2,FALSE))/10^6*(1/($D$5/100))))))),0,METHANE!$J85*DEFAULTS!$B$84*(IF('USER INPUTS'!$B$30="Total landfill gas",(1/($D$5/100)),IF('USER INPUTS'!$B$30="Methane",1,IF('USER INPUTS'!$B$30="Carbon dioxide",((1/($D$5/100))-1),(VLOOKUP('USER INPUTS'!$B$30,DEFAULTS!$E$8:$F$69,2,FALSE))/10^6*(1/($D$5/100)))))))</f>
        <v>0</v>
      </c>
      <c r="P71" s="62">
        <f>IF(ISERROR(METHANE!$J85*(IF('USER INPUTS'!$B$30="Total landfill gas",(1/($D$5/100)),IF('USER INPUTS'!$B$30="Methane",1,IF('USER INPUTS'!$B$30="Carbon dioxide",((1/($D$5/100))-1),(VLOOKUP('USER INPUTS'!$B$30,DEFAULTS!$E$8:$F$69,2,FALSE))/10^6*(1/($D$5/100))))))),0,METHANE!$J85*(IF('USER INPUTS'!$B$30="Total landfill gas",(1/($D$5/100)),IF('USER INPUTS'!$B$30="Methane",1,IF('USER INPUTS'!$B$30="Carbon dioxide",((1/($D$5/100))-1),(VLOOKUP('USER INPUTS'!$B$30,DEFAULTS!$E$8:$F$69,2,FALSE))/10^6*(1/($D$5/100)))))))</f>
        <v>0</v>
      </c>
      <c r="Q71" s="162">
        <f>IF(Q$8="(short tons/year)",(O71*DEFAULTS!$B$55*DEFAULTS!$B$53/DEFAULTS!$B$54),IF(Q$8="(ft^3/year)",(P71*DEFAULTS!$B$57),IF(Q$8="(av ft^3/min)",(P71*DEFAULTS!$B$57/DEFAULTS!$B$58),0)))</f>
        <v>0</v>
      </c>
    </row>
    <row r="72" spans="1:17">
      <c r="A72" s="68">
        <f>METHANE!I86</f>
        <v>2081</v>
      </c>
      <c r="B72" s="66">
        <f>IF(METHANE!E86&gt;0,METHANE!E86,0)</f>
        <v>0</v>
      </c>
      <c r="C72" s="66">
        <f>IF(METHANE!E86&gt;0,METHANE!E86*DEFAULTS!$B$55*DEFAULTS!$B$53/DEFAULTS!$B$54,0)</f>
        <v>0</v>
      </c>
      <c r="D72" s="66">
        <f>IF(METHANE!F86&gt;0,METHANE!F86,0)</f>
        <v>12946986</v>
      </c>
      <c r="E72" s="66">
        <f>IF(METHANE!F86&gt;0,METHANE!F86*DEFAULTS!$B$55*DEFAULTS!$B$53/DEFAULTS!$B$54,0)</f>
        <v>14241684.6</v>
      </c>
      <c r="F72" s="62">
        <f>IF(ISERROR(METHANE!$J86*DEFAULTS!$B$81*(IF('USER INPUTS'!$B$24="Total landfill gas",(1/($D$5/100)),IF('USER INPUTS'!$B$24="Methane",1,IF('USER INPUTS'!$B$24="Carbon dioxide",((1/($D$5/100))-1),(VLOOKUP('USER INPUTS'!$B$24,DEFAULTS!$E$8:$F$69,2,FALSE))/10^6*(1/($D$5/100))))))),0,METHANE!$J86*DEFAULTS!$B$81*(IF('USER INPUTS'!$B$24="Total landfill gas",(1/($D$5/100)),IF('USER INPUTS'!$B$24="Methane",1,IF('USER INPUTS'!$B$24="Carbon dioxide",((1/($D$5/100))-1),(VLOOKUP('USER INPUTS'!$B$24,DEFAULTS!$E$8:$F$69,2,FALSE))/10^6*(1/($D$5/100)))))))</f>
        <v>0</v>
      </c>
      <c r="G72" s="62">
        <f>IF(ISERROR(METHANE!$J86*(IF('USER INPUTS'!$B$24="Total landfill gas",(1/($D$5/100)),IF('USER INPUTS'!$B$24="Methane",1,IF('USER INPUTS'!$B$24="Carbon dioxide",((1/($D$5/100))-1),(VLOOKUP('USER INPUTS'!$B$24,DEFAULTS!$E$8:$F$69,2,FALSE))/10^6*(1/($D$5/100))))))),0,METHANE!$J86*(IF('USER INPUTS'!$B$24="Total landfill gas",(1/($D$5/100)),IF('USER INPUTS'!$B$24="Methane",1,IF('USER INPUTS'!$B$24="Carbon dioxide",((1/($D$5/100))-1),(VLOOKUP('USER INPUTS'!$B$24,DEFAULTS!$E$8:$F$69,2,FALSE))/10^6*(1/($D$5/100)))))))</f>
        <v>0</v>
      </c>
      <c r="H72" s="62">
        <f>IF(H$8="(short tons/year)",(F72*DEFAULTS!$B$55*DEFAULTS!$B$53/DEFAULTS!$B$54),IF(H$8="(ft^3/year)",(G72*DEFAULTS!$B$57),IF(H$8="(av ft^3/min)",(G72*DEFAULTS!$B$57/DEFAULTS!$B$58),0)))</f>
        <v>0</v>
      </c>
      <c r="I72" s="62">
        <f>IF(ISERROR(METHANE!$J86*DEFAULTS!$B$82*(IF('USER INPUTS'!$B$26="Total landfill gas",(1/($D$5/100)),IF('USER INPUTS'!$B$26="Methane",1,IF('USER INPUTS'!$B$26="Carbon dioxide",((1/($D$5/100))-1),(VLOOKUP('USER INPUTS'!$B$26,DEFAULTS!$E$8:$F$69,2,FALSE))/10^6*(1/($D$5/100))))))),0,METHANE!$J86*DEFAULTS!$B$82*(IF('USER INPUTS'!$B$26="Total landfill gas",(1/($D$5/100)),IF('USER INPUTS'!$B$26="Methane",1,IF('USER INPUTS'!$B$26="Carbon dioxide",((1/($D$5/100))-1),(VLOOKUP('USER INPUTS'!$B$26,DEFAULTS!$E$8:$F$69,2,FALSE))/10^6*(1/($D$5/100)))))))</f>
        <v>0</v>
      </c>
      <c r="J72" s="62">
        <f>IF(ISERROR(METHANE!$J86*(IF('USER INPUTS'!$B$26="Total landfill gas",(1/($D$5/100)),IF('USER INPUTS'!$B$26="Methane",1,IF('USER INPUTS'!$B$26="Carbon dioxide",((1/($D$5/100))-1),(VLOOKUP('USER INPUTS'!$B$26,DEFAULTS!$E$8:$F$69,2,FALSE))/10^6*(1/($D$5/100))))))),0,METHANE!$J86*(IF('USER INPUTS'!$B$26="Total landfill gas",(1/($D$5/100)),IF('USER INPUTS'!$B$26="Methane",1,IF('USER INPUTS'!$B$26="Carbon dioxide",((1/($D$5/100))-1),(VLOOKUP('USER INPUTS'!$B$26,DEFAULTS!$E$8:$F$69,2,FALSE))/10^6*(1/($D$5/100)))))))</f>
        <v>0</v>
      </c>
      <c r="K72" s="62">
        <f>IF(K$8="(short tons/year)",(I72*DEFAULTS!$B$55*DEFAULTS!$B$53/DEFAULTS!$B$54),IF(K$8="(ft^3/year)",(J72*DEFAULTS!$B$57),IF(K$8="(av ft^3/min)",(J72*DEFAULTS!$B$57/DEFAULTS!$B$58),0)))</f>
        <v>0</v>
      </c>
      <c r="L72" s="62">
        <f>IF(ISERROR(METHANE!$J86*DEFAULTS!$B$83*(IF('USER INPUTS'!$B$28="Total landfill gas",(1/($D$5/100)),IF('USER INPUTS'!$B$28="Methane",1,IF('USER INPUTS'!$B$28="Carbon dioxide",((1/($D$5/100))-1),(VLOOKUP('USER INPUTS'!$B$28,DEFAULTS!$E$8:$F$69,2,FALSE))/10^6*(1/($D$5/100))))))),0,METHANE!$J86*DEFAULTS!$B$83*(IF('USER INPUTS'!$B$28="Total landfill gas",(1/($D$5/100)),IF('USER INPUTS'!$B$28="Methane",1,IF('USER INPUTS'!$B$28="Carbon dioxide",((1/($D$5/100))-1),(VLOOKUP('USER INPUTS'!$B$28,DEFAULTS!$E$8:$F$69,2,FALSE))/10^6*(1/($D$5/100)))))))</f>
        <v>11503.796607768014</v>
      </c>
      <c r="M72" s="62">
        <f>IF(ISERROR(METHANE!$J86*(IF('USER INPUTS'!$B$28="Total landfill gas",(1/($D$5/100)),IF('USER INPUTS'!$B$28="Methane",1,IF('USER INPUTS'!$B$28="Carbon dioxide",((1/($D$5/100))-1),(VLOOKUP('USER INPUTS'!$B$28,DEFAULTS!$E$8:$F$69,2,FALSE))/10^6*(1/($D$5/100))))))),0,METHANE!$J86*(IF('USER INPUTS'!$B$28="Total landfill gas",(1/($D$5/100)),IF('USER INPUTS'!$B$28="Methane",1,IF('USER INPUTS'!$B$28="Carbon dioxide",((1/($D$5/100))-1),(VLOOKUP('USER INPUTS'!$B$28,DEFAULTS!$E$8:$F$69,2,FALSE))/10^6*(1/($D$5/100)))))))</f>
        <v>6284514.726360281</v>
      </c>
      <c r="N72" s="62">
        <f>IF(N$8="(short tons/year)",(L72*DEFAULTS!$B$55*DEFAULTS!$B$53/DEFAULTS!$B$54),IF(N$8="(ft^3/year)",(M72*DEFAULTS!$B$57),IF(N$8="(av ft^3/min)",(M72*DEFAULTS!$B$57/DEFAULTS!$B$58),0)))</f>
        <v>422.25577922643328</v>
      </c>
      <c r="O72" s="62">
        <f>IF(ISERROR(METHANE!$J86*DEFAULTS!$B$84*(IF('USER INPUTS'!$B$30="Total landfill gas",(1/($D$5/100)),IF('USER INPUTS'!$B$30="Methane",1,IF('USER INPUTS'!$B$30="Carbon dioxide",((1/($D$5/100))-1),(VLOOKUP('USER INPUTS'!$B$30,DEFAULTS!$E$8:$F$69,2,FALSE))/10^6*(1/($D$5/100))))))),0,METHANE!$J86*DEFAULTS!$B$84*(IF('USER INPUTS'!$B$30="Total landfill gas",(1/($D$5/100)),IF('USER INPUTS'!$B$30="Methane",1,IF('USER INPUTS'!$B$30="Carbon dioxide",((1/($D$5/100))-1),(VLOOKUP('USER INPUTS'!$B$30,DEFAULTS!$E$8:$F$69,2,FALSE))/10^6*(1/($D$5/100)))))))</f>
        <v>0</v>
      </c>
      <c r="P72" s="62">
        <f>IF(ISERROR(METHANE!$J86*(IF('USER INPUTS'!$B$30="Total landfill gas",(1/($D$5/100)),IF('USER INPUTS'!$B$30="Methane",1,IF('USER INPUTS'!$B$30="Carbon dioxide",((1/($D$5/100))-1),(VLOOKUP('USER INPUTS'!$B$30,DEFAULTS!$E$8:$F$69,2,FALSE))/10^6*(1/($D$5/100))))))),0,METHANE!$J86*(IF('USER INPUTS'!$B$30="Total landfill gas",(1/($D$5/100)),IF('USER INPUTS'!$B$30="Methane",1,IF('USER INPUTS'!$B$30="Carbon dioxide",((1/($D$5/100))-1),(VLOOKUP('USER INPUTS'!$B$30,DEFAULTS!$E$8:$F$69,2,FALSE))/10^6*(1/($D$5/100)))))))</f>
        <v>0</v>
      </c>
      <c r="Q72" s="162">
        <f>IF(Q$8="(short tons/year)",(O72*DEFAULTS!$B$55*DEFAULTS!$B$53/DEFAULTS!$B$54),IF(Q$8="(ft^3/year)",(P72*DEFAULTS!$B$57),IF(Q$8="(av ft^3/min)",(P72*DEFAULTS!$B$57/DEFAULTS!$B$58),0)))</f>
        <v>0</v>
      </c>
    </row>
    <row r="73" spans="1:17">
      <c r="A73" s="68">
        <f>METHANE!I87</f>
        <v>2082</v>
      </c>
      <c r="B73" s="66">
        <f>IF(METHANE!E87&gt;0,METHANE!E87,0)</f>
        <v>0</v>
      </c>
      <c r="C73" s="66">
        <f>IF(METHANE!E87&gt;0,METHANE!E87*DEFAULTS!$B$55*DEFAULTS!$B$53/DEFAULTS!$B$54,0)</f>
        <v>0</v>
      </c>
      <c r="D73" s="66">
        <f>IF(METHANE!F87&gt;0,METHANE!F87,0)</f>
        <v>12946986</v>
      </c>
      <c r="E73" s="66">
        <f>IF(METHANE!F87&gt;0,METHANE!F87*DEFAULTS!$B$55*DEFAULTS!$B$53/DEFAULTS!$B$54,0)</f>
        <v>14241684.6</v>
      </c>
      <c r="F73" s="62">
        <f>IF(ISERROR(METHANE!$J87*DEFAULTS!$B$81*(IF('USER INPUTS'!$B$24="Total landfill gas",(1/($D$5/100)),IF('USER INPUTS'!$B$24="Methane",1,IF('USER INPUTS'!$B$24="Carbon dioxide",((1/($D$5/100))-1),(VLOOKUP('USER INPUTS'!$B$24,DEFAULTS!$E$8:$F$69,2,FALSE))/10^6*(1/($D$5/100))))))),0,METHANE!$J87*DEFAULTS!$B$81*(IF('USER INPUTS'!$B$24="Total landfill gas",(1/($D$5/100)),IF('USER INPUTS'!$B$24="Methane",1,IF('USER INPUTS'!$B$24="Carbon dioxide",((1/($D$5/100))-1),(VLOOKUP('USER INPUTS'!$B$24,DEFAULTS!$E$8:$F$69,2,FALSE))/10^6*(1/($D$5/100)))))))</f>
        <v>0</v>
      </c>
      <c r="G73" s="62">
        <f>IF(ISERROR(METHANE!$J87*(IF('USER INPUTS'!$B$24="Total landfill gas",(1/($D$5/100)),IF('USER INPUTS'!$B$24="Methane",1,IF('USER INPUTS'!$B$24="Carbon dioxide",((1/($D$5/100))-1),(VLOOKUP('USER INPUTS'!$B$24,DEFAULTS!$E$8:$F$69,2,FALSE))/10^6*(1/($D$5/100))))))),0,METHANE!$J87*(IF('USER INPUTS'!$B$24="Total landfill gas",(1/($D$5/100)),IF('USER INPUTS'!$B$24="Methane",1,IF('USER INPUTS'!$B$24="Carbon dioxide",((1/($D$5/100))-1),(VLOOKUP('USER INPUTS'!$B$24,DEFAULTS!$E$8:$F$69,2,FALSE))/10^6*(1/($D$5/100)))))))</f>
        <v>0</v>
      </c>
      <c r="H73" s="62">
        <f>IF(H$8="(short tons/year)",(F73*DEFAULTS!$B$55*DEFAULTS!$B$53/DEFAULTS!$B$54),IF(H$8="(ft^3/year)",(G73*DEFAULTS!$B$57),IF(H$8="(av ft^3/min)",(G73*DEFAULTS!$B$57/DEFAULTS!$B$58),0)))</f>
        <v>0</v>
      </c>
      <c r="I73" s="62">
        <f>IF(ISERROR(METHANE!$J87*DEFAULTS!$B$82*(IF('USER INPUTS'!$B$26="Total landfill gas",(1/($D$5/100)),IF('USER INPUTS'!$B$26="Methane",1,IF('USER INPUTS'!$B$26="Carbon dioxide",((1/($D$5/100))-1),(VLOOKUP('USER INPUTS'!$B$26,DEFAULTS!$E$8:$F$69,2,FALSE))/10^6*(1/($D$5/100))))))),0,METHANE!$J87*DEFAULTS!$B$82*(IF('USER INPUTS'!$B$26="Total landfill gas",(1/($D$5/100)),IF('USER INPUTS'!$B$26="Methane",1,IF('USER INPUTS'!$B$26="Carbon dioxide",((1/($D$5/100))-1),(VLOOKUP('USER INPUTS'!$B$26,DEFAULTS!$E$8:$F$69,2,FALSE))/10^6*(1/($D$5/100)))))))</f>
        <v>0</v>
      </c>
      <c r="J73" s="62">
        <f>IF(ISERROR(METHANE!$J87*(IF('USER INPUTS'!$B$26="Total landfill gas",(1/($D$5/100)),IF('USER INPUTS'!$B$26="Methane",1,IF('USER INPUTS'!$B$26="Carbon dioxide",((1/($D$5/100))-1),(VLOOKUP('USER INPUTS'!$B$26,DEFAULTS!$E$8:$F$69,2,FALSE))/10^6*(1/($D$5/100))))))),0,METHANE!$J87*(IF('USER INPUTS'!$B$26="Total landfill gas",(1/($D$5/100)),IF('USER INPUTS'!$B$26="Methane",1,IF('USER INPUTS'!$B$26="Carbon dioxide",((1/($D$5/100))-1),(VLOOKUP('USER INPUTS'!$B$26,DEFAULTS!$E$8:$F$69,2,FALSE))/10^6*(1/($D$5/100)))))))</f>
        <v>0</v>
      </c>
      <c r="K73" s="62">
        <f>IF(K$8="(short tons/year)",(I73*DEFAULTS!$B$55*DEFAULTS!$B$53/DEFAULTS!$B$54),IF(K$8="(ft^3/year)",(J73*DEFAULTS!$B$57),IF(K$8="(av ft^3/min)",(J73*DEFAULTS!$B$57/DEFAULTS!$B$58),0)))</f>
        <v>0</v>
      </c>
      <c r="L73" s="62">
        <f>IF(ISERROR(METHANE!$J87*DEFAULTS!$B$83*(IF('USER INPUTS'!$B$28="Total landfill gas",(1/($D$5/100)),IF('USER INPUTS'!$B$28="Methane",1,IF('USER INPUTS'!$B$28="Carbon dioxide",((1/($D$5/100))-1),(VLOOKUP('USER INPUTS'!$B$28,DEFAULTS!$E$8:$F$69,2,FALSE))/10^6*(1/($D$5/100))))))),0,METHANE!$J87*DEFAULTS!$B$83*(IF('USER INPUTS'!$B$28="Total landfill gas",(1/($D$5/100)),IF('USER INPUTS'!$B$28="Methane",1,IF('USER INPUTS'!$B$28="Carbon dioxide",((1/($D$5/100))-1),(VLOOKUP('USER INPUTS'!$B$28,DEFAULTS!$E$8:$F$69,2,FALSE))/10^6*(1/($D$5/100)))))))</f>
        <v>11052.726290899829</v>
      </c>
      <c r="M73" s="62">
        <f>IF(ISERROR(METHANE!$J87*(IF('USER INPUTS'!$B$28="Total landfill gas",(1/($D$5/100)),IF('USER INPUTS'!$B$28="Methane",1,IF('USER INPUTS'!$B$28="Carbon dioxide",((1/($D$5/100))-1),(VLOOKUP('USER INPUTS'!$B$28,DEFAULTS!$E$8:$F$69,2,FALSE))/10^6*(1/($D$5/100))))))),0,METHANE!$J87*(IF('USER INPUTS'!$B$28="Total landfill gas",(1/($D$5/100)),IF('USER INPUTS'!$B$28="Methane",1,IF('USER INPUTS'!$B$28="Carbon dioxide",((1/($D$5/100))-1),(VLOOKUP('USER INPUTS'!$B$28,DEFAULTS!$E$8:$F$69,2,FALSE))/10^6*(1/($D$5/100)))))))</f>
        <v>6038095.3792842096</v>
      </c>
      <c r="N73" s="62">
        <f>IF(N$8="(short tons/year)",(L73*DEFAULTS!$B$55*DEFAULTS!$B$53/DEFAULTS!$B$54),IF(N$8="(ft^3/year)",(M73*DEFAULTS!$B$57),IF(N$8="(av ft^3/min)",(M73*DEFAULTS!$B$57/DEFAULTS!$B$58),0)))</f>
        <v>405.69889330179194</v>
      </c>
      <c r="O73" s="62">
        <f>IF(ISERROR(METHANE!$J87*DEFAULTS!$B$84*(IF('USER INPUTS'!$B$30="Total landfill gas",(1/($D$5/100)),IF('USER INPUTS'!$B$30="Methane",1,IF('USER INPUTS'!$B$30="Carbon dioxide",((1/($D$5/100))-1),(VLOOKUP('USER INPUTS'!$B$30,DEFAULTS!$E$8:$F$69,2,FALSE))/10^6*(1/($D$5/100))))))),0,METHANE!$J87*DEFAULTS!$B$84*(IF('USER INPUTS'!$B$30="Total landfill gas",(1/($D$5/100)),IF('USER INPUTS'!$B$30="Methane",1,IF('USER INPUTS'!$B$30="Carbon dioxide",((1/($D$5/100))-1),(VLOOKUP('USER INPUTS'!$B$30,DEFAULTS!$E$8:$F$69,2,FALSE))/10^6*(1/($D$5/100)))))))</f>
        <v>0</v>
      </c>
      <c r="P73" s="62">
        <f>IF(ISERROR(METHANE!$J87*(IF('USER INPUTS'!$B$30="Total landfill gas",(1/($D$5/100)),IF('USER INPUTS'!$B$30="Methane",1,IF('USER INPUTS'!$B$30="Carbon dioxide",((1/($D$5/100))-1),(VLOOKUP('USER INPUTS'!$B$30,DEFAULTS!$E$8:$F$69,2,FALSE))/10^6*(1/($D$5/100))))))),0,METHANE!$J87*(IF('USER INPUTS'!$B$30="Total landfill gas",(1/($D$5/100)),IF('USER INPUTS'!$B$30="Methane",1,IF('USER INPUTS'!$B$30="Carbon dioxide",((1/($D$5/100))-1),(VLOOKUP('USER INPUTS'!$B$30,DEFAULTS!$E$8:$F$69,2,FALSE))/10^6*(1/($D$5/100)))))))</f>
        <v>0</v>
      </c>
      <c r="Q73" s="162">
        <f>IF(Q$8="(short tons/year)",(O73*DEFAULTS!$B$55*DEFAULTS!$B$53/DEFAULTS!$B$54),IF(Q$8="(ft^3/year)",(P73*DEFAULTS!$B$57),IF(Q$8="(av ft^3/min)",(P73*DEFAULTS!$B$57/DEFAULTS!$B$58),0)))</f>
        <v>0</v>
      </c>
    </row>
    <row r="74" spans="1:17">
      <c r="A74" s="68">
        <f>METHANE!I88</f>
        <v>2083</v>
      </c>
      <c r="B74" s="66">
        <f>IF(METHANE!E88&gt;0,METHANE!E88,0)</f>
        <v>0</v>
      </c>
      <c r="C74" s="66">
        <f>IF(METHANE!E88&gt;0,METHANE!E88*DEFAULTS!$B$55*DEFAULTS!$B$53/DEFAULTS!$B$54,0)</f>
        <v>0</v>
      </c>
      <c r="D74" s="66">
        <f>IF(METHANE!F88&gt;0,METHANE!F88,0)</f>
        <v>12946986</v>
      </c>
      <c r="E74" s="66">
        <f>IF(METHANE!F88&gt;0,METHANE!F88*DEFAULTS!$B$55*DEFAULTS!$B$53/DEFAULTS!$B$54,0)</f>
        <v>14241684.6</v>
      </c>
      <c r="F74" s="62">
        <f>IF(ISERROR(METHANE!$J88*DEFAULTS!$B$81*(IF('USER INPUTS'!$B$24="Total landfill gas",(1/($D$5/100)),IF('USER INPUTS'!$B$24="Methane",1,IF('USER INPUTS'!$B$24="Carbon dioxide",((1/($D$5/100))-1),(VLOOKUP('USER INPUTS'!$B$24,DEFAULTS!$E$8:$F$69,2,FALSE))/10^6*(1/($D$5/100))))))),0,METHANE!$J88*DEFAULTS!$B$81*(IF('USER INPUTS'!$B$24="Total landfill gas",(1/($D$5/100)),IF('USER INPUTS'!$B$24="Methane",1,IF('USER INPUTS'!$B$24="Carbon dioxide",((1/($D$5/100))-1),(VLOOKUP('USER INPUTS'!$B$24,DEFAULTS!$E$8:$F$69,2,FALSE))/10^6*(1/($D$5/100)))))))</f>
        <v>0</v>
      </c>
      <c r="G74" s="62">
        <f>IF(ISERROR(METHANE!$J88*(IF('USER INPUTS'!$B$24="Total landfill gas",(1/($D$5/100)),IF('USER INPUTS'!$B$24="Methane",1,IF('USER INPUTS'!$B$24="Carbon dioxide",((1/($D$5/100))-1),(VLOOKUP('USER INPUTS'!$B$24,DEFAULTS!$E$8:$F$69,2,FALSE))/10^6*(1/($D$5/100))))))),0,METHANE!$J88*(IF('USER INPUTS'!$B$24="Total landfill gas",(1/($D$5/100)),IF('USER INPUTS'!$B$24="Methane",1,IF('USER INPUTS'!$B$24="Carbon dioxide",((1/($D$5/100))-1),(VLOOKUP('USER INPUTS'!$B$24,DEFAULTS!$E$8:$F$69,2,FALSE))/10^6*(1/($D$5/100)))))))</f>
        <v>0</v>
      </c>
      <c r="H74" s="62">
        <f>IF(H$8="(short tons/year)",(F74*DEFAULTS!$B$55*DEFAULTS!$B$53/DEFAULTS!$B$54),IF(H$8="(ft^3/year)",(G74*DEFAULTS!$B$57),IF(H$8="(av ft^3/min)",(G74*DEFAULTS!$B$57/DEFAULTS!$B$58),0)))</f>
        <v>0</v>
      </c>
      <c r="I74" s="62">
        <f>IF(ISERROR(METHANE!$J88*DEFAULTS!$B$82*(IF('USER INPUTS'!$B$26="Total landfill gas",(1/($D$5/100)),IF('USER INPUTS'!$B$26="Methane",1,IF('USER INPUTS'!$B$26="Carbon dioxide",((1/($D$5/100))-1),(VLOOKUP('USER INPUTS'!$B$26,DEFAULTS!$E$8:$F$69,2,FALSE))/10^6*(1/($D$5/100))))))),0,METHANE!$J88*DEFAULTS!$B$82*(IF('USER INPUTS'!$B$26="Total landfill gas",(1/($D$5/100)),IF('USER INPUTS'!$B$26="Methane",1,IF('USER INPUTS'!$B$26="Carbon dioxide",((1/($D$5/100))-1),(VLOOKUP('USER INPUTS'!$B$26,DEFAULTS!$E$8:$F$69,2,FALSE))/10^6*(1/($D$5/100)))))))</f>
        <v>0</v>
      </c>
      <c r="J74" s="62">
        <f>IF(ISERROR(METHANE!$J88*(IF('USER INPUTS'!$B$26="Total landfill gas",(1/($D$5/100)),IF('USER INPUTS'!$B$26="Methane",1,IF('USER INPUTS'!$B$26="Carbon dioxide",((1/($D$5/100))-1),(VLOOKUP('USER INPUTS'!$B$26,DEFAULTS!$E$8:$F$69,2,FALSE))/10^6*(1/($D$5/100))))))),0,METHANE!$J88*(IF('USER INPUTS'!$B$26="Total landfill gas",(1/($D$5/100)),IF('USER INPUTS'!$B$26="Methane",1,IF('USER INPUTS'!$B$26="Carbon dioxide",((1/($D$5/100))-1),(VLOOKUP('USER INPUTS'!$B$26,DEFAULTS!$E$8:$F$69,2,FALSE))/10^6*(1/($D$5/100)))))))</f>
        <v>0</v>
      </c>
      <c r="K74" s="62">
        <f>IF(K$8="(short tons/year)",(I74*DEFAULTS!$B$55*DEFAULTS!$B$53/DEFAULTS!$B$54),IF(K$8="(ft^3/year)",(J74*DEFAULTS!$B$57),IF(K$8="(av ft^3/min)",(J74*DEFAULTS!$B$57/DEFAULTS!$B$58),0)))</f>
        <v>0</v>
      </c>
      <c r="L74" s="62">
        <f>IF(ISERROR(METHANE!$J88*DEFAULTS!$B$83*(IF('USER INPUTS'!$B$28="Total landfill gas",(1/($D$5/100)),IF('USER INPUTS'!$B$28="Methane",1,IF('USER INPUTS'!$B$28="Carbon dioxide",((1/($D$5/100))-1),(VLOOKUP('USER INPUTS'!$B$28,DEFAULTS!$E$8:$F$69,2,FALSE))/10^6*(1/($D$5/100))))))),0,METHANE!$J88*DEFAULTS!$B$83*(IF('USER INPUTS'!$B$28="Total landfill gas",(1/($D$5/100)),IF('USER INPUTS'!$B$28="Methane",1,IF('USER INPUTS'!$B$28="Carbon dioxide",((1/($D$5/100))-1),(VLOOKUP('USER INPUTS'!$B$28,DEFAULTS!$E$8:$F$69,2,FALSE))/10^6*(1/($D$5/100)))))))</f>
        <v>10619.342694137784</v>
      </c>
      <c r="M74" s="62">
        <f>IF(ISERROR(METHANE!$J88*(IF('USER INPUTS'!$B$28="Total landfill gas",(1/($D$5/100)),IF('USER INPUTS'!$B$28="Methane",1,IF('USER INPUTS'!$B$28="Carbon dioxide",((1/($D$5/100))-1),(VLOOKUP('USER INPUTS'!$B$28,DEFAULTS!$E$8:$F$69,2,FALSE))/10^6*(1/($D$5/100))))))),0,METHANE!$J88*(IF('USER INPUTS'!$B$28="Total landfill gas",(1/($D$5/100)),IF('USER INPUTS'!$B$28="Methane",1,IF('USER INPUTS'!$B$28="Carbon dioxide",((1/($D$5/100))-1),(VLOOKUP('USER INPUTS'!$B$28,DEFAULTS!$E$8:$F$69,2,FALSE))/10^6*(1/($D$5/100)))))))</f>
        <v>5801338.2730107103</v>
      </c>
      <c r="N74" s="62">
        <f>IF(N$8="(short tons/year)",(L74*DEFAULTS!$B$55*DEFAULTS!$B$53/DEFAULTS!$B$54),IF(N$8="(ft^3/year)",(M74*DEFAULTS!$B$57),IF(N$8="(av ft^3/min)",(M74*DEFAULTS!$B$57/DEFAULTS!$B$58),0)))</f>
        <v>389.79121216014693</v>
      </c>
      <c r="O74" s="62">
        <f>IF(ISERROR(METHANE!$J88*DEFAULTS!$B$84*(IF('USER INPUTS'!$B$30="Total landfill gas",(1/($D$5/100)),IF('USER INPUTS'!$B$30="Methane",1,IF('USER INPUTS'!$B$30="Carbon dioxide",((1/($D$5/100))-1),(VLOOKUP('USER INPUTS'!$B$30,DEFAULTS!$E$8:$F$69,2,FALSE))/10^6*(1/($D$5/100))))))),0,METHANE!$J88*DEFAULTS!$B$84*(IF('USER INPUTS'!$B$30="Total landfill gas",(1/($D$5/100)),IF('USER INPUTS'!$B$30="Methane",1,IF('USER INPUTS'!$B$30="Carbon dioxide",((1/($D$5/100))-1),(VLOOKUP('USER INPUTS'!$B$30,DEFAULTS!$E$8:$F$69,2,FALSE))/10^6*(1/($D$5/100)))))))</f>
        <v>0</v>
      </c>
      <c r="P74" s="62">
        <f>IF(ISERROR(METHANE!$J88*(IF('USER INPUTS'!$B$30="Total landfill gas",(1/($D$5/100)),IF('USER INPUTS'!$B$30="Methane",1,IF('USER INPUTS'!$B$30="Carbon dioxide",((1/($D$5/100))-1),(VLOOKUP('USER INPUTS'!$B$30,DEFAULTS!$E$8:$F$69,2,FALSE))/10^6*(1/($D$5/100))))))),0,METHANE!$J88*(IF('USER INPUTS'!$B$30="Total landfill gas",(1/($D$5/100)),IF('USER INPUTS'!$B$30="Methane",1,IF('USER INPUTS'!$B$30="Carbon dioxide",((1/($D$5/100))-1),(VLOOKUP('USER INPUTS'!$B$30,DEFAULTS!$E$8:$F$69,2,FALSE))/10^6*(1/($D$5/100)))))))</f>
        <v>0</v>
      </c>
      <c r="Q74" s="162">
        <f>IF(Q$8="(short tons/year)",(O74*DEFAULTS!$B$55*DEFAULTS!$B$53/DEFAULTS!$B$54),IF(Q$8="(ft^3/year)",(P74*DEFAULTS!$B$57),IF(Q$8="(av ft^3/min)",(P74*DEFAULTS!$B$57/DEFAULTS!$B$58),0)))</f>
        <v>0</v>
      </c>
    </row>
    <row r="75" spans="1:17">
      <c r="A75" s="68">
        <f>METHANE!I89</f>
        <v>2084</v>
      </c>
      <c r="B75" s="66">
        <f>IF(METHANE!E89&gt;0,METHANE!E89,0)</f>
        <v>0</v>
      </c>
      <c r="C75" s="66">
        <f>IF(METHANE!E89&gt;0,METHANE!E89*DEFAULTS!$B$55*DEFAULTS!$B$53/DEFAULTS!$B$54,0)</f>
        <v>0</v>
      </c>
      <c r="D75" s="66">
        <f>IF(METHANE!F89&gt;0,METHANE!F89,0)</f>
        <v>12946986</v>
      </c>
      <c r="E75" s="66">
        <f>IF(METHANE!F89&gt;0,METHANE!F89*DEFAULTS!$B$55*DEFAULTS!$B$53/DEFAULTS!$B$54,0)</f>
        <v>14241684.6</v>
      </c>
      <c r="F75" s="62">
        <f>IF(ISERROR(METHANE!$J89*DEFAULTS!$B$81*(IF('USER INPUTS'!$B$24="Total landfill gas",(1/($D$5/100)),IF('USER INPUTS'!$B$24="Methane",1,IF('USER INPUTS'!$B$24="Carbon dioxide",((1/($D$5/100))-1),(VLOOKUP('USER INPUTS'!$B$24,DEFAULTS!$E$8:$F$69,2,FALSE))/10^6*(1/($D$5/100))))))),0,METHANE!$J89*DEFAULTS!$B$81*(IF('USER INPUTS'!$B$24="Total landfill gas",(1/($D$5/100)),IF('USER INPUTS'!$B$24="Methane",1,IF('USER INPUTS'!$B$24="Carbon dioxide",((1/($D$5/100))-1),(VLOOKUP('USER INPUTS'!$B$24,DEFAULTS!$E$8:$F$69,2,FALSE))/10^6*(1/($D$5/100)))))))</f>
        <v>0</v>
      </c>
      <c r="G75" s="62">
        <f>IF(ISERROR(METHANE!$J89*(IF('USER INPUTS'!$B$24="Total landfill gas",(1/($D$5/100)),IF('USER INPUTS'!$B$24="Methane",1,IF('USER INPUTS'!$B$24="Carbon dioxide",((1/($D$5/100))-1),(VLOOKUP('USER INPUTS'!$B$24,DEFAULTS!$E$8:$F$69,2,FALSE))/10^6*(1/($D$5/100))))))),0,METHANE!$J89*(IF('USER INPUTS'!$B$24="Total landfill gas",(1/($D$5/100)),IF('USER INPUTS'!$B$24="Methane",1,IF('USER INPUTS'!$B$24="Carbon dioxide",((1/($D$5/100))-1),(VLOOKUP('USER INPUTS'!$B$24,DEFAULTS!$E$8:$F$69,2,FALSE))/10^6*(1/($D$5/100)))))))</f>
        <v>0</v>
      </c>
      <c r="H75" s="62">
        <f>IF(H$8="(short tons/year)",(F75*DEFAULTS!$B$55*DEFAULTS!$B$53/DEFAULTS!$B$54),IF(H$8="(ft^3/year)",(G75*DEFAULTS!$B$57),IF(H$8="(av ft^3/min)",(G75*DEFAULTS!$B$57/DEFAULTS!$B$58),0)))</f>
        <v>0</v>
      </c>
      <c r="I75" s="62">
        <f>IF(ISERROR(METHANE!$J89*DEFAULTS!$B$82*(IF('USER INPUTS'!$B$26="Total landfill gas",(1/($D$5/100)),IF('USER INPUTS'!$B$26="Methane",1,IF('USER INPUTS'!$B$26="Carbon dioxide",((1/($D$5/100))-1),(VLOOKUP('USER INPUTS'!$B$26,DEFAULTS!$E$8:$F$69,2,FALSE))/10^6*(1/($D$5/100))))))),0,METHANE!$J89*DEFAULTS!$B$82*(IF('USER INPUTS'!$B$26="Total landfill gas",(1/($D$5/100)),IF('USER INPUTS'!$B$26="Methane",1,IF('USER INPUTS'!$B$26="Carbon dioxide",((1/($D$5/100))-1),(VLOOKUP('USER INPUTS'!$B$26,DEFAULTS!$E$8:$F$69,2,FALSE))/10^6*(1/($D$5/100)))))))</f>
        <v>0</v>
      </c>
      <c r="J75" s="62">
        <f>IF(ISERROR(METHANE!$J89*(IF('USER INPUTS'!$B$26="Total landfill gas",(1/($D$5/100)),IF('USER INPUTS'!$B$26="Methane",1,IF('USER INPUTS'!$B$26="Carbon dioxide",((1/($D$5/100))-1),(VLOOKUP('USER INPUTS'!$B$26,DEFAULTS!$E$8:$F$69,2,FALSE))/10^6*(1/($D$5/100))))))),0,METHANE!$J89*(IF('USER INPUTS'!$B$26="Total landfill gas",(1/($D$5/100)),IF('USER INPUTS'!$B$26="Methane",1,IF('USER INPUTS'!$B$26="Carbon dioxide",((1/($D$5/100))-1),(VLOOKUP('USER INPUTS'!$B$26,DEFAULTS!$E$8:$F$69,2,FALSE))/10^6*(1/($D$5/100)))))))</f>
        <v>0</v>
      </c>
      <c r="K75" s="62">
        <f>IF(K$8="(short tons/year)",(I75*DEFAULTS!$B$55*DEFAULTS!$B$53/DEFAULTS!$B$54),IF(K$8="(ft^3/year)",(J75*DEFAULTS!$B$57),IF(K$8="(av ft^3/min)",(J75*DEFAULTS!$B$57/DEFAULTS!$B$58),0)))</f>
        <v>0</v>
      </c>
      <c r="L75" s="62">
        <f>IF(ISERROR(METHANE!$J89*DEFAULTS!$B$83*(IF('USER INPUTS'!$B$28="Total landfill gas",(1/($D$5/100)),IF('USER INPUTS'!$B$28="Methane",1,IF('USER INPUTS'!$B$28="Carbon dioxide",((1/($D$5/100))-1),(VLOOKUP('USER INPUTS'!$B$28,DEFAULTS!$E$8:$F$69,2,FALSE))/10^6*(1/($D$5/100))))))),0,METHANE!$J89*DEFAULTS!$B$83*(IF('USER INPUTS'!$B$28="Total landfill gas",(1/($D$5/100)),IF('USER INPUTS'!$B$28="Methane",1,IF('USER INPUTS'!$B$28="Carbon dioxide",((1/($D$5/100))-1),(VLOOKUP('USER INPUTS'!$B$28,DEFAULTS!$E$8:$F$69,2,FALSE))/10^6*(1/($D$5/100)))))))</f>
        <v>10202.952311266963</v>
      </c>
      <c r="M75" s="62">
        <f>IF(ISERROR(METHANE!$J89*(IF('USER INPUTS'!$B$28="Total landfill gas",(1/($D$5/100)),IF('USER INPUTS'!$B$28="Methane",1,IF('USER INPUTS'!$B$28="Carbon dioxide",((1/($D$5/100))-1),(VLOOKUP('USER INPUTS'!$B$28,DEFAULTS!$E$8:$F$69,2,FALSE))/10^6*(1/($D$5/100))))))),0,METHANE!$J89*(IF('USER INPUTS'!$B$28="Total landfill gas",(1/($D$5/100)),IF('USER INPUTS'!$B$28="Methane",1,IF('USER INPUTS'!$B$28="Carbon dioxide",((1/($D$5/100))-1),(VLOOKUP('USER INPUTS'!$B$28,DEFAULTS!$E$8:$F$69,2,FALSE))/10^6*(1/($D$5/100)))))))</f>
        <v>5573864.5456588678</v>
      </c>
      <c r="N75" s="62">
        <f>IF(N$8="(short tons/year)",(L75*DEFAULTS!$B$55*DEFAULTS!$B$53/DEFAULTS!$B$54),IF(N$8="(ft^3/year)",(M75*DEFAULTS!$B$57),IF(N$8="(av ft^3/min)",(M75*DEFAULTS!$B$57/DEFAULTS!$B$58),0)))</f>
        <v>374.50728011785179</v>
      </c>
      <c r="O75" s="62">
        <f>IF(ISERROR(METHANE!$J89*DEFAULTS!$B$84*(IF('USER INPUTS'!$B$30="Total landfill gas",(1/($D$5/100)),IF('USER INPUTS'!$B$30="Methane",1,IF('USER INPUTS'!$B$30="Carbon dioxide",((1/($D$5/100))-1),(VLOOKUP('USER INPUTS'!$B$30,DEFAULTS!$E$8:$F$69,2,FALSE))/10^6*(1/($D$5/100))))))),0,METHANE!$J89*DEFAULTS!$B$84*(IF('USER INPUTS'!$B$30="Total landfill gas",(1/($D$5/100)),IF('USER INPUTS'!$B$30="Methane",1,IF('USER INPUTS'!$B$30="Carbon dioxide",((1/($D$5/100))-1),(VLOOKUP('USER INPUTS'!$B$30,DEFAULTS!$E$8:$F$69,2,FALSE))/10^6*(1/($D$5/100)))))))</f>
        <v>0</v>
      </c>
      <c r="P75" s="62">
        <f>IF(ISERROR(METHANE!$J89*(IF('USER INPUTS'!$B$30="Total landfill gas",(1/($D$5/100)),IF('USER INPUTS'!$B$30="Methane",1,IF('USER INPUTS'!$B$30="Carbon dioxide",((1/($D$5/100))-1),(VLOOKUP('USER INPUTS'!$B$30,DEFAULTS!$E$8:$F$69,2,FALSE))/10^6*(1/($D$5/100))))))),0,METHANE!$J89*(IF('USER INPUTS'!$B$30="Total landfill gas",(1/($D$5/100)),IF('USER INPUTS'!$B$30="Methane",1,IF('USER INPUTS'!$B$30="Carbon dioxide",((1/($D$5/100))-1),(VLOOKUP('USER INPUTS'!$B$30,DEFAULTS!$E$8:$F$69,2,FALSE))/10^6*(1/($D$5/100)))))))</f>
        <v>0</v>
      </c>
      <c r="Q75" s="162">
        <f>IF(Q$8="(short tons/year)",(O75*DEFAULTS!$B$55*DEFAULTS!$B$53/DEFAULTS!$B$54),IF(Q$8="(ft^3/year)",(P75*DEFAULTS!$B$57),IF(Q$8="(av ft^3/min)",(P75*DEFAULTS!$B$57/DEFAULTS!$B$58),0)))</f>
        <v>0</v>
      </c>
    </row>
    <row r="76" spans="1:17">
      <c r="A76" s="68">
        <f>METHANE!I90</f>
        <v>2085</v>
      </c>
      <c r="B76" s="66">
        <f>IF(METHANE!E90&gt;0,METHANE!E90,0)</f>
        <v>0</v>
      </c>
      <c r="C76" s="66">
        <f>IF(METHANE!E90&gt;0,METHANE!E90*DEFAULTS!$B$55*DEFAULTS!$B$53/DEFAULTS!$B$54,0)</f>
        <v>0</v>
      </c>
      <c r="D76" s="66">
        <f>IF(METHANE!F90&gt;0,METHANE!F90,0)</f>
        <v>12946986</v>
      </c>
      <c r="E76" s="66">
        <f>IF(METHANE!F90&gt;0,METHANE!F90*DEFAULTS!$B$55*DEFAULTS!$B$53/DEFAULTS!$B$54,0)</f>
        <v>14241684.6</v>
      </c>
      <c r="F76" s="62">
        <f>IF(ISERROR(METHANE!$J90*DEFAULTS!$B$81*(IF('USER INPUTS'!$B$24="Total landfill gas",(1/($D$5/100)),IF('USER INPUTS'!$B$24="Methane",1,IF('USER INPUTS'!$B$24="Carbon dioxide",((1/($D$5/100))-1),(VLOOKUP('USER INPUTS'!$B$24,DEFAULTS!$E$8:$F$69,2,FALSE))/10^6*(1/($D$5/100))))))),0,METHANE!$J90*DEFAULTS!$B$81*(IF('USER INPUTS'!$B$24="Total landfill gas",(1/($D$5/100)),IF('USER INPUTS'!$B$24="Methane",1,IF('USER INPUTS'!$B$24="Carbon dioxide",((1/($D$5/100))-1),(VLOOKUP('USER INPUTS'!$B$24,DEFAULTS!$E$8:$F$69,2,FALSE))/10^6*(1/($D$5/100)))))))</f>
        <v>0</v>
      </c>
      <c r="G76" s="62">
        <f>IF(ISERROR(METHANE!$J90*(IF('USER INPUTS'!$B$24="Total landfill gas",(1/($D$5/100)),IF('USER INPUTS'!$B$24="Methane",1,IF('USER INPUTS'!$B$24="Carbon dioxide",((1/($D$5/100))-1),(VLOOKUP('USER INPUTS'!$B$24,DEFAULTS!$E$8:$F$69,2,FALSE))/10^6*(1/($D$5/100))))))),0,METHANE!$J90*(IF('USER INPUTS'!$B$24="Total landfill gas",(1/($D$5/100)),IF('USER INPUTS'!$B$24="Methane",1,IF('USER INPUTS'!$B$24="Carbon dioxide",((1/($D$5/100))-1),(VLOOKUP('USER INPUTS'!$B$24,DEFAULTS!$E$8:$F$69,2,FALSE))/10^6*(1/($D$5/100)))))))</f>
        <v>0</v>
      </c>
      <c r="H76" s="62">
        <f>IF(H$8="(short tons/year)",(F76*DEFAULTS!$B$55*DEFAULTS!$B$53/DEFAULTS!$B$54),IF(H$8="(ft^3/year)",(G76*DEFAULTS!$B$57),IF(H$8="(av ft^3/min)",(G76*DEFAULTS!$B$57/DEFAULTS!$B$58),0)))</f>
        <v>0</v>
      </c>
      <c r="I76" s="62">
        <f>IF(ISERROR(METHANE!$J90*DEFAULTS!$B$82*(IF('USER INPUTS'!$B$26="Total landfill gas",(1/($D$5/100)),IF('USER INPUTS'!$B$26="Methane",1,IF('USER INPUTS'!$B$26="Carbon dioxide",((1/($D$5/100))-1),(VLOOKUP('USER INPUTS'!$B$26,DEFAULTS!$E$8:$F$69,2,FALSE))/10^6*(1/($D$5/100))))))),0,METHANE!$J90*DEFAULTS!$B$82*(IF('USER INPUTS'!$B$26="Total landfill gas",(1/($D$5/100)),IF('USER INPUTS'!$B$26="Methane",1,IF('USER INPUTS'!$B$26="Carbon dioxide",((1/($D$5/100))-1),(VLOOKUP('USER INPUTS'!$B$26,DEFAULTS!$E$8:$F$69,2,FALSE))/10^6*(1/($D$5/100)))))))</f>
        <v>0</v>
      </c>
      <c r="J76" s="62">
        <f>IF(ISERROR(METHANE!$J90*(IF('USER INPUTS'!$B$26="Total landfill gas",(1/($D$5/100)),IF('USER INPUTS'!$B$26="Methane",1,IF('USER INPUTS'!$B$26="Carbon dioxide",((1/($D$5/100))-1),(VLOOKUP('USER INPUTS'!$B$26,DEFAULTS!$E$8:$F$69,2,FALSE))/10^6*(1/($D$5/100))))))),0,METHANE!$J90*(IF('USER INPUTS'!$B$26="Total landfill gas",(1/($D$5/100)),IF('USER INPUTS'!$B$26="Methane",1,IF('USER INPUTS'!$B$26="Carbon dioxide",((1/($D$5/100))-1),(VLOOKUP('USER INPUTS'!$B$26,DEFAULTS!$E$8:$F$69,2,FALSE))/10^6*(1/($D$5/100)))))))</f>
        <v>0</v>
      </c>
      <c r="K76" s="62">
        <f>IF(K$8="(short tons/year)",(I76*DEFAULTS!$B$55*DEFAULTS!$B$53/DEFAULTS!$B$54),IF(K$8="(ft^3/year)",(J76*DEFAULTS!$B$57),IF(K$8="(av ft^3/min)",(J76*DEFAULTS!$B$57/DEFAULTS!$B$58),0)))</f>
        <v>0</v>
      </c>
      <c r="L76" s="62">
        <f>IF(ISERROR(METHANE!$J90*DEFAULTS!$B$83*(IF('USER INPUTS'!$B$28="Total landfill gas",(1/($D$5/100)),IF('USER INPUTS'!$B$28="Methane",1,IF('USER INPUTS'!$B$28="Carbon dioxide",((1/($D$5/100))-1),(VLOOKUP('USER INPUTS'!$B$28,DEFAULTS!$E$8:$F$69,2,FALSE))/10^6*(1/($D$5/100))))))),0,METHANE!$J90*DEFAULTS!$B$83*(IF('USER INPUTS'!$B$28="Total landfill gas",(1/($D$5/100)),IF('USER INPUTS'!$B$28="Methane",1,IF('USER INPUTS'!$B$28="Carbon dioxide",((1/($D$5/100))-1),(VLOOKUP('USER INPUTS'!$B$28,DEFAULTS!$E$8:$F$69,2,FALSE))/10^6*(1/($D$5/100)))))))</f>
        <v>9802.8888288400867</v>
      </c>
      <c r="M76" s="62">
        <f>IF(ISERROR(METHANE!$J90*(IF('USER INPUTS'!$B$28="Total landfill gas",(1/($D$5/100)),IF('USER INPUTS'!$B$28="Methane",1,IF('USER INPUTS'!$B$28="Carbon dioxide",((1/($D$5/100))-1),(VLOOKUP('USER INPUTS'!$B$28,DEFAULTS!$E$8:$F$69,2,FALSE))/10^6*(1/($D$5/100))))))),0,METHANE!$J90*(IF('USER INPUTS'!$B$28="Total landfill gas",(1/($D$5/100)),IF('USER INPUTS'!$B$28="Methane",1,IF('USER INPUTS'!$B$28="Carbon dioxide",((1/($D$5/100))-1),(VLOOKUP('USER INPUTS'!$B$28,DEFAULTS!$E$8:$F$69,2,FALSE))/10^6*(1/($D$5/100)))))))</f>
        <v>5355310.1907346034</v>
      </c>
      <c r="N76" s="62">
        <f>IF(N$8="(short tons/year)",(L76*DEFAULTS!$B$55*DEFAULTS!$B$53/DEFAULTS!$B$54),IF(N$8="(ft^3/year)",(M76*DEFAULTS!$B$57),IF(N$8="(av ft^3/min)",(M76*DEFAULTS!$B$57/DEFAULTS!$B$58),0)))</f>
        <v>359.82263962289289</v>
      </c>
      <c r="O76" s="62">
        <f>IF(ISERROR(METHANE!$J90*DEFAULTS!$B$84*(IF('USER INPUTS'!$B$30="Total landfill gas",(1/($D$5/100)),IF('USER INPUTS'!$B$30="Methane",1,IF('USER INPUTS'!$B$30="Carbon dioxide",((1/($D$5/100))-1),(VLOOKUP('USER INPUTS'!$B$30,DEFAULTS!$E$8:$F$69,2,FALSE))/10^6*(1/($D$5/100))))))),0,METHANE!$J90*DEFAULTS!$B$84*(IF('USER INPUTS'!$B$30="Total landfill gas",(1/($D$5/100)),IF('USER INPUTS'!$B$30="Methane",1,IF('USER INPUTS'!$B$30="Carbon dioxide",((1/($D$5/100))-1),(VLOOKUP('USER INPUTS'!$B$30,DEFAULTS!$E$8:$F$69,2,FALSE))/10^6*(1/($D$5/100)))))))</f>
        <v>0</v>
      </c>
      <c r="P76" s="62">
        <f>IF(ISERROR(METHANE!$J90*(IF('USER INPUTS'!$B$30="Total landfill gas",(1/($D$5/100)),IF('USER INPUTS'!$B$30="Methane",1,IF('USER INPUTS'!$B$30="Carbon dioxide",((1/($D$5/100))-1),(VLOOKUP('USER INPUTS'!$B$30,DEFAULTS!$E$8:$F$69,2,FALSE))/10^6*(1/($D$5/100))))))),0,METHANE!$J90*(IF('USER INPUTS'!$B$30="Total landfill gas",(1/($D$5/100)),IF('USER INPUTS'!$B$30="Methane",1,IF('USER INPUTS'!$B$30="Carbon dioxide",((1/($D$5/100))-1),(VLOOKUP('USER INPUTS'!$B$30,DEFAULTS!$E$8:$F$69,2,FALSE))/10^6*(1/($D$5/100)))))))</f>
        <v>0</v>
      </c>
      <c r="Q76" s="162">
        <f>IF(Q$8="(short tons/year)",(O76*DEFAULTS!$B$55*DEFAULTS!$B$53/DEFAULTS!$B$54),IF(Q$8="(ft^3/year)",(P76*DEFAULTS!$B$57),IF(Q$8="(av ft^3/min)",(P76*DEFAULTS!$B$57/DEFAULTS!$B$58),0)))</f>
        <v>0</v>
      </c>
    </row>
    <row r="77" spans="1:17">
      <c r="A77" s="68">
        <f>METHANE!I91</f>
        <v>2086</v>
      </c>
      <c r="B77" s="66">
        <f>IF(METHANE!E91&gt;0,METHANE!E91,0)</f>
        <v>0</v>
      </c>
      <c r="C77" s="66">
        <f>IF(METHANE!E91&gt;0,METHANE!E91*DEFAULTS!$B$55*DEFAULTS!$B$53/DEFAULTS!$B$54,0)</f>
        <v>0</v>
      </c>
      <c r="D77" s="66">
        <f>IF(METHANE!F91&gt;0,METHANE!F91,0)</f>
        <v>12946986</v>
      </c>
      <c r="E77" s="66">
        <f>IF(METHANE!F91&gt;0,METHANE!F91*DEFAULTS!$B$55*DEFAULTS!$B$53/DEFAULTS!$B$54,0)</f>
        <v>14241684.6</v>
      </c>
      <c r="F77" s="62">
        <f>IF(ISERROR(METHANE!$J91*DEFAULTS!$B$81*(IF('USER INPUTS'!$B$24="Total landfill gas",(1/($D$5/100)),IF('USER INPUTS'!$B$24="Methane",1,IF('USER INPUTS'!$B$24="Carbon dioxide",((1/($D$5/100))-1),(VLOOKUP('USER INPUTS'!$B$24,DEFAULTS!$E$8:$F$69,2,FALSE))/10^6*(1/($D$5/100))))))),0,METHANE!$J91*DEFAULTS!$B$81*(IF('USER INPUTS'!$B$24="Total landfill gas",(1/($D$5/100)),IF('USER INPUTS'!$B$24="Methane",1,IF('USER INPUTS'!$B$24="Carbon dioxide",((1/($D$5/100))-1),(VLOOKUP('USER INPUTS'!$B$24,DEFAULTS!$E$8:$F$69,2,FALSE))/10^6*(1/($D$5/100)))))))</f>
        <v>0</v>
      </c>
      <c r="G77" s="62">
        <f>IF(ISERROR(METHANE!$J91*(IF('USER INPUTS'!$B$24="Total landfill gas",(1/($D$5/100)),IF('USER INPUTS'!$B$24="Methane",1,IF('USER INPUTS'!$B$24="Carbon dioxide",((1/($D$5/100))-1),(VLOOKUP('USER INPUTS'!$B$24,DEFAULTS!$E$8:$F$69,2,FALSE))/10^6*(1/($D$5/100))))))),0,METHANE!$J91*(IF('USER INPUTS'!$B$24="Total landfill gas",(1/($D$5/100)),IF('USER INPUTS'!$B$24="Methane",1,IF('USER INPUTS'!$B$24="Carbon dioxide",((1/($D$5/100))-1),(VLOOKUP('USER INPUTS'!$B$24,DEFAULTS!$E$8:$F$69,2,FALSE))/10^6*(1/($D$5/100)))))))</f>
        <v>0</v>
      </c>
      <c r="H77" s="62">
        <f>IF(H$8="(short tons/year)",(F77*DEFAULTS!$B$55*DEFAULTS!$B$53/DEFAULTS!$B$54),IF(H$8="(ft^3/year)",(G77*DEFAULTS!$B$57),IF(H$8="(av ft^3/min)",(G77*DEFAULTS!$B$57/DEFAULTS!$B$58),0)))</f>
        <v>0</v>
      </c>
      <c r="I77" s="62">
        <f>IF(ISERROR(METHANE!$J91*DEFAULTS!$B$82*(IF('USER INPUTS'!$B$26="Total landfill gas",(1/($D$5/100)),IF('USER INPUTS'!$B$26="Methane",1,IF('USER INPUTS'!$B$26="Carbon dioxide",((1/($D$5/100))-1),(VLOOKUP('USER INPUTS'!$B$26,DEFAULTS!$E$8:$F$69,2,FALSE))/10^6*(1/($D$5/100))))))),0,METHANE!$J91*DEFAULTS!$B$82*(IF('USER INPUTS'!$B$26="Total landfill gas",(1/($D$5/100)),IF('USER INPUTS'!$B$26="Methane",1,IF('USER INPUTS'!$B$26="Carbon dioxide",((1/($D$5/100))-1),(VLOOKUP('USER INPUTS'!$B$26,DEFAULTS!$E$8:$F$69,2,FALSE))/10^6*(1/($D$5/100)))))))</f>
        <v>0</v>
      </c>
      <c r="J77" s="62">
        <f>IF(ISERROR(METHANE!$J91*(IF('USER INPUTS'!$B$26="Total landfill gas",(1/($D$5/100)),IF('USER INPUTS'!$B$26="Methane",1,IF('USER INPUTS'!$B$26="Carbon dioxide",((1/($D$5/100))-1),(VLOOKUP('USER INPUTS'!$B$26,DEFAULTS!$E$8:$F$69,2,FALSE))/10^6*(1/($D$5/100))))))),0,METHANE!$J91*(IF('USER INPUTS'!$B$26="Total landfill gas",(1/($D$5/100)),IF('USER INPUTS'!$B$26="Methane",1,IF('USER INPUTS'!$B$26="Carbon dioxide",((1/($D$5/100))-1),(VLOOKUP('USER INPUTS'!$B$26,DEFAULTS!$E$8:$F$69,2,FALSE))/10^6*(1/($D$5/100)))))))</f>
        <v>0</v>
      </c>
      <c r="K77" s="62">
        <f>IF(K$8="(short tons/year)",(I77*DEFAULTS!$B$55*DEFAULTS!$B$53/DEFAULTS!$B$54),IF(K$8="(ft^3/year)",(J77*DEFAULTS!$B$57),IF(K$8="(av ft^3/min)",(J77*DEFAULTS!$B$57/DEFAULTS!$B$58),0)))</f>
        <v>0</v>
      </c>
      <c r="L77" s="62">
        <f>IF(ISERROR(METHANE!$J91*DEFAULTS!$B$83*(IF('USER INPUTS'!$B$28="Total landfill gas",(1/($D$5/100)),IF('USER INPUTS'!$B$28="Methane",1,IF('USER INPUTS'!$B$28="Carbon dioxide",((1/($D$5/100))-1),(VLOOKUP('USER INPUTS'!$B$28,DEFAULTS!$E$8:$F$69,2,FALSE))/10^6*(1/($D$5/100))))))),0,METHANE!$J91*DEFAULTS!$B$83*(IF('USER INPUTS'!$B$28="Total landfill gas",(1/($D$5/100)),IF('USER INPUTS'!$B$28="Methane",1,IF('USER INPUTS'!$B$28="Carbon dioxide",((1/($D$5/100))-1),(VLOOKUP('USER INPUTS'!$B$28,DEFAULTS!$E$8:$F$69,2,FALSE))/10^6*(1/($D$5/100)))))))</f>
        <v>9418.5120599338406</v>
      </c>
      <c r="M77" s="62">
        <f>IF(ISERROR(METHANE!$J91*(IF('USER INPUTS'!$B$28="Total landfill gas",(1/($D$5/100)),IF('USER INPUTS'!$B$28="Methane",1,IF('USER INPUTS'!$B$28="Carbon dioxide",((1/($D$5/100))-1),(VLOOKUP('USER INPUTS'!$B$28,DEFAULTS!$E$8:$F$69,2,FALSE))/10^6*(1/($D$5/100))))))),0,METHANE!$J91*(IF('USER INPUTS'!$B$28="Total landfill gas",(1/($D$5/100)),IF('USER INPUTS'!$B$28="Methane",1,IF('USER INPUTS'!$B$28="Carbon dioxide",((1/($D$5/100))-1),(VLOOKUP('USER INPUTS'!$B$28,DEFAULTS!$E$8:$F$69,2,FALSE))/10^6*(1/($D$5/100)))))))</f>
        <v>5145325.4746426204</v>
      </c>
      <c r="N77" s="62">
        <f>IF(N$8="(short tons/year)",(L77*DEFAULTS!$B$55*DEFAULTS!$B$53/DEFAULTS!$B$54),IF(N$8="(ft^3/year)",(M77*DEFAULTS!$B$57),IF(N$8="(av ft^3/min)",(M77*DEFAULTS!$B$57/DEFAULTS!$B$58),0)))</f>
        <v>345.71379211758779</v>
      </c>
      <c r="O77" s="62">
        <f>IF(ISERROR(METHANE!$J91*DEFAULTS!$B$84*(IF('USER INPUTS'!$B$30="Total landfill gas",(1/($D$5/100)),IF('USER INPUTS'!$B$30="Methane",1,IF('USER INPUTS'!$B$30="Carbon dioxide",((1/($D$5/100))-1),(VLOOKUP('USER INPUTS'!$B$30,DEFAULTS!$E$8:$F$69,2,FALSE))/10^6*(1/($D$5/100))))))),0,METHANE!$J91*DEFAULTS!$B$84*(IF('USER INPUTS'!$B$30="Total landfill gas",(1/($D$5/100)),IF('USER INPUTS'!$B$30="Methane",1,IF('USER INPUTS'!$B$30="Carbon dioxide",((1/($D$5/100))-1),(VLOOKUP('USER INPUTS'!$B$30,DEFAULTS!$E$8:$F$69,2,FALSE))/10^6*(1/($D$5/100)))))))</f>
        <v>0</v>
      </c>
      <c r="P77" s="62">
        <f>IF(ISERROR(METHANE!$J91*(IF('USER INPUTS'!$B$30="Total landfill gas",(1/($D$5/100)),IF('USER INPUTS'!$B$30="Methane",1,IF('USER INPUTS'!$B$30="Carbon dioxide",((1/($D$5/100))-1),(VLOOKUP('USER INPUTS'!$B$30,DEFAULTS!$E$8:$F$69,2,FALSE))/10^6*(1/($D$5/100))))))),0,METHANE!$J91*(IF('USER INPUTS'!$B$30="Total landfill gas",(1/($D$5/100)),IF('USER INPUTS'!$B$30="Methane",1,IF('USER INPUTS'!$B$30="Carbon dioxide",((1/($D$5/100))-1),(VLOOKUP('USER INPUTS'!$B$30,DEFAULTS!$E$8:$F$69,2,FALSE))/10^6*(1/($D$5/100)))))))</f>
        <v>0</v>
      </c>
      <c r="Q77" s="162">
        <f>IF(Q$8="(short tons/year)",(O77*DEFAULTS!$B$55*DEFAULTS!$B$53/DEFAULTS!$B$54),IF(Q$8="(ft^3/year)",(P77*DEFAULTS!$B$57),IF(Q$8="(av ft^3/min)",(P77*DEFAULTS!$B$57/DEFAULTS!$B$58),0)))</f>
        <v>0</v>
      </c>
    </row>
    <row r="78" spans="1:17">
      <c r="A78" s="68">
        <f>METHANE!I92</f>
        <v>2087</v>
      </c>
      <c r="B78" s="66">
        <f>IF(METHANE!E92&gt;0,METHANE!E92,0)</f>
        <v>0</v>
      </c>
      <c r="C78" s="66">
        <f>IF(METHANE!E92&gt;0,METHANE!E92*DEFAULTS!$B$55*DEFAULTS!$B$53/DEFAULTS!$B$54,0)</f>
        <v>0</v>
      </c>
      <c r="D78" s="66">
        <f>IF(METHANE!F92&gt;0,METHANE!F92,0)</f>
        <v>12946986</v>
      </c>
      <c r="E78" s="66">
        <f>IF(METHANE!F92&gt;0,METHANE!F92*DEFAULTS!$B$55*DEFAULTS!$B$53/DEFAULTS!$B$54,0)</f>
        <v>14241684.6</v>
      </c>
      <c r="F78" s="62">
        <f>IF(ISERROR(METHANE!$J92*DEFAULTS!$B$81*(IF('USER INPUTS'!$B$24="Total landfill gas",(1/($D$5/100)),IF('USER INPUTS'!$B$24="Methane",1,IF('USER INPUTS'!$B$24="Carbon dioxide",((1/($D$5/100))-1),(VLOOKUP('USER INPUTS'!$B$24,DEFAULTS!$E$8:$F$69,2,FALSE))/10^6*(1/($D$5/100))))))),0,METHANE!$J92*DEFAULTS!$B$81*(IF('USER INPUTS'!$B$24="Total landfill gas",(1/($D$5/100)),IF('USER INPUTS'!$B$24="Methane",1,IF('USER INPUTS'!$B$24="Carbon dioxide",((1/($D$5/100))-1),(VLOOKUP('USER INPUTS'!$B$24,DEFAULTS!$E$8:$F$69,2,FALSE))/10^6*(1/($D$5/100)))))))</f>
        <v>0</v>
      </c>
      <c r="G78" s="62">
        <f>IF(ISERROR(METHANE!$J92*(IF('USER INPUTS'!$B$24="Total landfill gas",(1/($D$5/100)),IF('USER INPUTS'!$B$24="Methane",1,IF('USER INPUTS'!$B$24="Carbon dioxide",((1/($D$5/100))-1),(VLOOKUP('USER INPUTS'!$B$24,DEFAULTS!$E$8:$F$69,2,FALSE))/10^6*(1/($D$5/100))))))),0,METHANE!$J92*(IF('USER INPUTS'!$B$24="Total landfill gas",(1/($D$5/100)),IF('USER INPUTS'!$B$24="Methane",1,IF('USER INPUTS'!$B$24="Carbon dioxide",((1/($D$5/100))-1),(VLOOKUP('USER INPUTS'!$B$24,DEFAULTS!$E$8:$F$69,2,FALSE))/10^6*(1/($D$5/100)))))))</f>
        <v>0</v>
      </c>
      <c r="H78" s="62">
        <f>IF(H$8="(short tons/year)",(F78*DEFAULTS!$B$55*DEFAULTS!$B$53/DEFAULTS!$B$54),IF(H$8="(ft^3/year)",(G78*DEFAULTS!$B$57),IF(H$8="(av ft^3/min)",(G78*DEFAULTS!$B$57/DEFAULTS!$B$58),0)))</f>
        <v>0</v>
      </c>
      <c r="I78" s="62">
        <f>IF(ISERROR(METHANE!$J92*DEFAULTS!$B$82*(IF('USER INPUTS'!$B$26="Total landfill gas",(1/($D$5/100)),IF('USER INPUTS'!$B$26="Methane",1,IF('USER INPUTS'!$B$26="Carbon dioxide",((1/($D$5/100))-1),(VLOOKUP('USER INPUTS'!$B$26,DEFAULTS!$E$8:$F$69,2,FALSE))/10^6*(1/($D$5/100))))))),0,METHANE!$J92*DEFAULTS!$B$82*(IF('USER INPUTS'!$B$26="Total landfill gas",(1/($D$5/100)),IF('USER INPUTS'!$B$26="Methane",1,IF('USER INPUTS'!$B$26="Carbon dioxide",((1/($D$5/100))-1),(VLOOKUP('USER INPUTS'!$B$26,DEFAULTS!$E$8:$F$69,2,FALSE))/10^6*(1/($D$5/100)))))))</f>
        <v>0</v>
      </c>
      <c r="J78" s="62">
        <f>IF(ISERROR(METHANE!$J92*(IF('USER INPUTS'!$B$26="Total landfill gas",(1/($D$5/100)),IF('USER INPUTS'!$B$26="Methane",1,IF('USER INPUTS'!$B$26="Carbon dioxide",((1/($D$5/100))-1),(VLOOKUP('USER INPUTS'!$B$26,DEFAULTS!$E$8:$F$69,2,FALSE))/10^6*(1/($D$5/100))))))),0,METHANE!$J92*(IF('USER INPUTS'!$B$26="Total landfill gas",(1/($D$5/100)),IF('USER INPUTS'!$B$26="Methane",1,IF('USER INPUTS'!$B$26="Carbon dioxide",((1/($D$5/100))-1),(VLOOKUP('USER INPUTS'!$B$26,DEFAULTS!$E$8:$F$69,2,FALSE))/10^6*(1/($D$5/100)))))))</f>
        <v>0</v>
      </c>
      <c r="K78" s="62">
        <f>IF(K$8="(short tons/year)",(I78*DEFAULTS!$B$55*DEFAULTS!$B$53/DEFAULTS!$B$54),IF(K$8="(ft^3/year)",(J78*DEFAULTS!$B$57),IF(K$8="(av ft^3/min)",(J78*DEFAULTS!$B$57/DEFAULTS!$B$58),0)))</f>
        <v>0</v>
      </c>
      <c r="L78" s="62">
        <f>IF(ISERROR(METHANE!$J92*DEFAULTS!$B$83*(IF('USER INPUTS'!$B$28="Total landfill gas",(1/($D$5/100)),IF('USER INPUTS'!$B$28="Methane",1,IF('USER INPUTS'!$B$28="Carbon dioxide",((1/($D$5/100))-1),(VLOOKUP('USER INPUTS'!$B$28,DEFAULTS!$E$8:$F$69,2,FALSE))/10^6*(1/($D$5/100))))))),0,METHANE!$J92*DEFAULTS!$B$83*(IF('USER INPUTS'!$B$28="Total landfill gas",(1/($D$5/100)),IF('USER INPUTS'!$B$28="Methane",1,IF('USER INPUTS'!$B$28="Carbon dioxide",((1/($D$5/100))-1),(VLOOKUP('USER INPUTS'!$B$28,DEFAULTS!$E$8:$F$69,2,FALSE))/10^6*(1/($D$5/100)))))))</f>
        <v>9049.2069197132278</v>
      </c>
      <c r="M78" s="62">
        <f>IF(ISERROR(METHANE!$J92*(IF('USER INPUTS'!$B$28="Total landfill gas",(1/($D$5/100)),IF('USER INPUTS'!$B$28="Methane",1,IF('USER INPUTS'!$B$28="Carbon dioxide",((1/($D$5/100))-1),(VLOOKUP('USER INPUTS'!$B$28,DEFAULTS!$E$8:$F$69,2,FALSE))/10^6*(1/($D$5/100))))))),0,METHANE!$J92*(IF('USER INPUTS'!$B$28="Total landfill gas",(1/($D$5/100)),IF('USER INPUTS'!$B$28="Methane",1,IF('USER INPUTS'!$B$28="Carbon dioxide",((1/($D$5/100))-1),(VLOOKUP('USER INPUTS'!$B$28,DEFAULTS!$E$8:$F$69,2,FALSE))/10^6*(1/($D$5/100)))))))</f>
        <v>4943574.3770380449</v>
      </c>
      <c r="N78" s="62">
        <f>IF(N$8="(short tons/year)",(L78*DEFAULTS!$B$55*DEFAULTS!$B$53/DEFAULTS!$B$54),IF(N$8="(ft^3/year)",(M78*DEFAULTS!$B$57),IF(N$8="(av ft^3/min)",(M78*DEFAULTS!$B$57/DEFAULTS!$B$58),0)))</f>
        <v>332.15816043588006</v>
      </c>
      <c r="O78" s="62">
        <f>IF(ISERROR(METHANE!$J92*DEFAULTS!$B$84*(IF('USER INPUTS'!$B$30="Total landfill gas",(1/($D$5/100)),IF('USER INPUTS'!$B$30="Methane",1,IF('USER INPUTS'!$B$30="Carbon dioxide",((1/($D$5/100))-1),(VLOOKUP('USER INPUTS'!$B$30,DEFAULTS!$E$8:$F$69,2,FALSE))/10^6*(1/($D$5/100))))))),0,METHANE!$J92*DEFAULTS!$B$84*(IF('USER INPUTS'!$B$30="Total landfill gas",(1/($D$5/100)),IF('USER INPUTS'!$B$30="Methane",1,IF('USER INPUTS'!$B$30="Carbon dioxide",((1/($D$5/100))-1),(VLOOKUP('USER INPUTS'!$B$30,DEFAULTS!$E$8:$F$69,2,FALSE))/10^6*(1/($D$5/100)))))))</f>
        <v>0</v>
      </c>
      <c r="P78" s="62">
        <f>IF(ISERROR(METHANE!$J92*(IF('USER INPUTS'!$B$30="Total landfill gas",(1/($D$5/100)),IF('USER INPUTS'!$B$30="Methane",1,IF('USER INPUTS'!$B$30="Carbon dioxide",((1/($D$5/100))-1),(VLOOKUP('USER INPUTS'!$B$30,DEFAULTS!$E$8:$F$69,2,FALSE))/10^6*(1/($D$5/100))))))),0,METHANE!$J92*(IF('USER INPUTS'!$B$30="Total landfill gas",(1/($D$5/100)),IF('USER INPUTS'!$B$30="Methane",1,IF('USER INPUTS'!$B$30="Carbon dioxide",((1/($D$5/100))-1),(VLOOKUP('USER INPUTS'!$B$30,DEFAULTS!$E$8:$F$69,2,FALSE))/10^6*(1/($D$5/100)))))))</f>
        <v>0</v>
      </c>
      <c r="Q78" s="162">
        <f>IF(Q$8="(short tons/year)",(O78*DEFAULTS!$B$55*DEFAULTS!$B$53/DEFAULTS!$B$54),IF(Q$8="(ft^3/year)",(P78*DEFAULTS!$B$57),IF(Q$8="(av ft^3/min)",(P78*DEFAULTS!$B$57/DEFAULTS!$B$58),0)))</f>
        <v>0</v>
      </c>
    </row>
    <row r="79" spans="1:17">
      <c r="A79" s="68">
        <f>METHANE!I93</f>
        <v>2088</v>
      </c>
      <c r="B79" s="66">
        <f>IF(METHANE!E93&gt;0,METHANE!E93,0)</f>
        <v>0</v>
      </c>
      <c r="C79" s="66">
        <f>IF(METHANE!E93&gt;0,METHANE!E93*DEFAULTS!$B$55*DEFAULTS!$B$53/DEFAULTS!$B$54,0)</f>
        <v>0</v>
      </c>
      <c r="D79" s="66">
        <f>IF(METHANE!F93&gt;0,METHANE!F93,0)</f>
        <v>12946986</v>
      </c>
      <c r="E79" s="66">
        <f>IF(METHANE!F93&gt;0,METHANE!F93*DEFAULTS!$B$55*DEFAULTS!$B$53/DEFAULTS!$B$54,0)</f>
        <v>14241684.6</v>
      </c>
      <c r="F79" s="62">
        <f>IF(ISERROR(METHANE!$J93*DEFAULTS!$B$81*(IF('USER INPUTS'!$B$24="Total landfill gas",(1/($D$5/100)),IF('USER INPUTS'!$B$24="Methane",1,IF('USER INPUTS'!$B$24="Carbon dioxide",((1/($D$5/100))-1),(VLOOKUP('USER INPUTS'!$B$24,DEFAULTS!$E$8:$F$69,2,FALSE))/10^6*(1/($D$5/100))))))),0,METHANE!$J93*DEFAULTS!$B$81*(IF('USER INPUTS'!$B$24="Total landfill gas",(1/($D$5/100)),IF('USER INPUTS'!$B$24="Methane",1,IF('USER INPUTS'!$B$24="Carbon dioxide",((1/($D$5/100))-1),(VLOOKUP('USER INPUTS'!$B$24,DEFAULTS!$E$8:$F$69,2,FALSE))/10^6*(1/($D$5/100)))))))</f>
        <v>0</v>
      </c>
      <c r="G79" s="62">
        <f>IF(ISERROR(METHANE!$J93*(IF('USER INPUTS'!$B$24="Total landfill gas",(1/($D$5/100)),IF('USER INPUTS'!$B$24="Methane",1,IF('USER INPUTS'!$B$24="Carbon dioxide",((1/($D$5/100))-1),(VLOOKUP('USER INPUTS'!$B$24,DEFAULTS!$E$8:$F$69,2,FALSE))/10^6*(1/($D$5/100))))))),0,METHANE!$J93*(IF('USER INPUTS'!$B$24="Total landfill gas",(1/($D$5/100)),IF('USER INPUTS'!$B$24="Methane",1,IF('USER INPUTS'!$B$24="Carbon dioxide",((1/($D$5/100))-1),(VLOOKUP('USER INPUTS'!$B$24,DEFAULTS!$E$8:$F$69,2,FALSE))/10^6*(1/($D$5/100)))))))</f>
        <v>0</v>
      </c>
      <c r="H79" s="62">
        <f>IF(H$8="(short tons/year)",(F79*DEFAULTS!$B$55*DEFAULTS!$B$53/DEFAULTS!$B$54),IF(H$8="(ft^3/year)",(G79*DEFAULTS!$B$57),IF(H$8="(av ft^3/min)",(G79*DEFAULTS!$B$57/DEFAULTS!$B$58),0)))</f>
        <v>0</v>
      </c>
      <c r="I79" s="62">
        <f>IF(ISERROR(METHANE!$J93*DEFAULTS!$B$82*(IF('USER INPUTS'!$B$26="Total landfill gas",(1/($D$5/100)),IF('USER INPUTS'!$B$26="Methane",1,IF('USER INPUTS'!$B$26="Carbon dioxide",((1/($D$5/100))-1),(VLOOKUP('USER INPUTS'!$B$26,DEFAULTS!$E$8:$F$69,2,FALSE))/10^6*(1/($D$5/100))))))),0,METHANE!$J93*DEFAULTS!$B$82*(IF('USER INPUTS'!$B$26="Total landfill gas",(1/($D$5/100)),IF('USER INPUTS'!$B$26="Methane",1,IF('USER INPUTS'!$B$26="Carbon dioxide",((1/($D$5/100))-1),(VLOOKUP('USER INPUTS'!$B$26,DEFAULTS!$E$8:$F$69,2,FALSE))/10^6*(1/($D$5/100)))))))</f>
        <v>0</v>
      </c>
      <c r="J79" s="62">
        <f>IF(ISERROR(METHANE!$J93*(IF('USER INPUTS'!$B$26="Total landfill gas",(1/($D$5/100)),IF('USER INPUTS'!$B$26="Methane",1,IF('USER INPUTS'!$B$26="Carbon dioxide",((1/($D$5/100))-1),(VLOOKUP('USER INPUTS'!$B$26,DEFAULTS!$E$8:$F$69,2,FALSE))/10^6*(1/($D$5/100))))))),0,METHANE!$J93*(IF('USER INPUTS'!$B$26="Total landfill gas",(1/($D$5/100)),IF('USER INPUTS'!$B$26="Methane",1,IF('USER INPUTS'!$B$26="Carbon dioxide",((1/($D$5/100))-1),(VLOOKUP('USER INPUTS'!$B$26,DEFAULTS!$E$8:$F$69,2,FALSE))/10^6*(1/($D$5/100)))))))</f>
        <v>0</v>
      </c>
      <c r="K79" s="62">
        <f>IF(K$8="(short tons/year)",(I79*DEFAULTS!$B$55*DEFAULTS!$B$53/DEFAULTS!$B$54),IF(K$8="(ft^3/year)",(J79*DEFAULTS!$B$57),IF(K$8="(av ft^3/min)",(J79*DEFAULTS!$B$57/DEFAULTS!$B$58),0)))</f>
        <v>0</v>
      </c>
      <c r="L79" s="62">
        <f>IF(ISERROR(METHANE!$J93*DEFAULTS!$B$83*(IF('USER INPUTS'!$B$28="Total landfill gas",(1/($D$5/100)),IF('USER INPUTS'!$B$28="Methane",1,IF('USER INPUTS'!$B$28="Carbon dioxide",((1/($D$5/100))-1),(VLOOKUP('USER INPUTS'!$B$28,DEFAULTS!$E$8:$F$69,2,FALSE))/10^6*(1/($D$5/100))))))),0,METHANE!$J93*DEFAULTS!$B$83*(IF('USER INPUTS'!$B$28="Total landfill gas",(1/($D$5/100)),IF('USER INPUTS'!$B$28="Methane",1,IF('USER INPUTS'!$B$28="Carbon dioxide",((1/($D$5/100))-1),(VLOOKUP('USER INPUTS'!$B$28,DEFAULTS!$E$8:$F$69,2,FALSE))/10^6*(1/($D$5/100)))))))</f>
        <v>8694.3824411645928</v>
      </c>
      <c r="M79" s="62">
        <f>IF(ISERROR(METHANE!$J93*(IF('USER INPUTS'!$B$28="Total landfill gas",(1/($D$5/100)),IF('USER INPUTS'!$B$28="Methane",1,IF('USER INPUTS'!$B$28="Carbon dioxide",((1/($D$5/100))-1),(VLOOKUP('USER INPUTS'!$B$28,DEFAULTS!$E$8:$F$69,2,FALSE))/10^6*(1/($D$5/100))))))),0,METHANE!$J93*(IF('USER INPUTS'!$B$28="Total landfill gas",(1/($D$5/100)),IF('USER INPUTS'!$B$28="Methane",1,IF('USER INPUTS'!$B$28="Carbon dioxide",((1/($D$5/100))-1),(VLOOKUP('USER INPUTS'!$B$28,DEFAULTS!$E$8:$F$69,2,FALSE))/10^6*(1/($D$5/100)))))))</f>
        <v>4749734.0531221787</v>
      </c>
      <c r="N79" s="62">
        <f>IF(N$8="(short tons/year)",(L79*DEFAULTS!$B$55*DEFAULTS!$B$53/DEFAULTS!$B$54),IF(N$8="(ft^3/year)",(M79*DEFAULTS!$B$57),IF(N$8="(av ft^3/min)",(M79*DEFAULTS!$B$57/DEFAULTS!$B$58),0)))</f>
        <v>319.13405267505658</v>
      </c>
      <c r="O79" s="62">
        <f>IF(ISERROR(METHANE!$J93*DEFAULTS!$B$84*(IF('USER INPUTS'!$B$30="Total landfill gas",(1/($D$5/100)),IF('USER INPUTS'!$B$30="Methane",1,IF('USER INPUTS'!$B$30="Carbon dioxide",((1/($D$5/100))-1),(VLOOKUP('USER INPUTS'!$B$30,DEFAULTS!$E$8:$F$69,2,FALSE))/10^6*(1/($D$5/100))))))),0,METHANE!$J93*DEFAULTS!$B$84*(IF('USER INPUTS'!$B$30="Total landfill gas",(1/($D$5/100)),IF('USER INPUTS'!$B$30="Methane",1,IF('USER INPUTS'!$B$30="Carbon dioxide",((1/($D$5/100))-1),(VLOOKUP('USER INPUTS'!$B$30,DEFAULTS!$E$8:$F$69,2,FALSE))/10^6*(1/($D$5/100)))))))</f>
        <v>0</v>
      </c>
      <c r="P79" s="62">
        <f>IF(ISERROR(METHANE!$J93*(IF('USER INPUTS'!$B$30="Total landfill gas",(1/($D$5/100)),IF('USER INPUTS'!$B$30="Methane",1,IF('USER INPUTS'!$B$30="Carbon dioxide",((1/($D$5/100))-1),(VLOOKUP('USER INPUTS'!$B$30,DEFAULTS!$E$8:$F$69,2,FALSE))/10^6*(1/($D$5/100))))))),0,METHANE!$J93*(IF('USER INPUTS'!$B$30="Total landfill gas",(1/($D$5/100)),IF('USER INPUTS'!$B$30="Methane",1,IF('USER INPUTS'!$B$30="Carbon dioxide",((1/($D$5/100))-1),(VLOOKUP('USER INPUTS'!$B$30,DEFAULTS!$E$8:$F$69,2,FALSE))/10^6*(1/($D$5/100)))))))</f>
        <v>0</v>
      </c>
      <c r="Q79" s="162">
        <f>IF(Q$8="(short tons/year)",(O79*DEFAULTS!$B$55*DEFAULTS!$B$53/DEFAULTS!$B$54),IF(Q$8="(ft^3/year)",(P79*DEFAULTS!$B$57),IF(Q$8="(av ft^3/min)",(P79*DEFAULTS!$B$57/DEFAULTS!$B$58),0)))</f>
        <v>0</v>
      </c>
    </row>
    <row r="80" spans="1:17">
      <c r="A80" s="68">
        <f>METHANE!I94</f>
        <v>2089</v>
      </c>
      <c r="B80" s="66">
        <f>IF(METHANE!E94&gt;0,METHANE!E94,0)</f>
        <v>0</v>
      </c>
      <c r="C80" s="66">
        <f>IF(METHANE!E94&gt;0,METHANE!E94*DEFAULTS!$B$55*DEFAULTS!$B$53/DEFAULTS!$B$54,0)</f>
        <v>0</v>
      </c>
      <c r="D80" s="66">
        <f>IF(METHANE!F94&gt;0,METHANE!F94,0)</f>
        <v>12946986</v>
      </c>
      <c r="E80" s="66">
        <f>IF(METHANE!F94&gt;0,METHANE!F94*DEFAULTS!$B$55*DEFAULTS!$B$53/DEFAULTS!$B$54,0)</f>
        <v>14241684.6</v>
      </c>
      <c r="F80" s="62">
        <f>IF(ISERROR(METHANE!$J94*DEFAULTS!$B$81*(IF('USER INPUTS'!$B$24="Total landfill gas",(1/($D$5/100)),IF('USER INPUTS'!$B$24="Methane",1,IF('USER INPUTS'!$B$24="Carbon dioxide",((1/($D$5/100))-1),(VLOOKUP('USER INPUTS'!$B$24,DEFAULTS!$E$8:$F$69,2,FALSE))/10^6*(1/($D$5/100))))))),0,METHANE!$J94*DEFAULTS!$B$81*(IF('USER INPUTS'!$B$24="Total landfill gas",(1/($D$5/100)),IF('USER INPUTS'!$B$24="Methane",1,IF('USER INPUTS'!$B$24="Carbon dioxide",((1/($D$5/100))-1),(VLOOKUP('USER INPUTS'!$B$24,DEFAULTS!$E$8:$F$69,2,FALSE))/10^6*(1/($D$5/100)))))))</f>
        <v>0</v>
      </c>
      <c r="G80" s="62">
        <f>IF(ISERROR(METHANE!$J94*(IF('USER INPUTS'!$B$24="Total landfill gas",(1/($D$5/100)),IF('USER INPUTS'!$B$24="Methane",1,IF('USER INPUTS'!$B$24="Carbon dioxide",((1/($D$5/100))-1),(VLOOKUP('USER INPUTS'!$B$24,DEFAULTS!$E$8:$F$69,2,FALSE))/10^6*(1/($D$5/100))))))),0,METHANE!$J94*(IF('USER INPUTS'!$B$24="Total landfill gas",(1/($D$5/100)),IF('USER INPUTS'!$B$24="Methane",1,IF('USER INPUTS'!$B$24="Carbon dioxide",((1/($D$5/100))-1),(VLOOKUP('USER INPUTS'!$B$24,DEFAULTS!$E$8:$F$69,2,FALSE))/10^6*(1/($D$5/100)))))))</f>
        <v>0</v>
      </c>
      <c r="H80" s="62">
        <f>IF(H$8="(short tons/year)",(F80*DEFAULTS!$B$55*DEFAULTS!$B$53/DEFAULTS!$B$54),IF(H$8="(ft^3/year)",(G80*DEFAULTS!$B$57),IF(H$8="(av ft^3/min)",(G80*DEFAULTS!$B$57/DEFAULTS!$B$58),0)))</f>
        <v>0</v>
      </c>
      <c r="I80" s="62">
        <f>IF(ISERROR(METHANE!$J94*DEFAULTS!$B$82*(IF('USER INPUTS'!$B$26="Total landfill gas",(1/($D$5/100)),IF('USER INPUTS'!$B$26="Methane",1,IF('USER INPUTS'!$B$26="Carbon dioxide",((1/($D$5/100))-1),(VLOOKUP('USER INPUTS'!$B$26,DEFAULTS!$E$8:$F$69,2,FALSE))/10^6*(1/($D$5/100))))))),0,METHANE!$J94*DEFAULTS!$B$82*(IF('USER INPUTS'!$B$26="Total landfill gas",(1/($D$5/100)),IF('USER INPUTS'!$B$26="Methane",1,IF('USER INPUTS'!$B$26="Carbon dioxide",((1/($D$5/100))-1),(VLOOKUP('USER INPUTS'!$B$26,DEFAULTS!$E$8:$F$69,2,FALSE))/10^6*(1/($D$5/100)))))))</f>
        <v>0</v>
      </c>
      <c r="J80" s="62">
        <f>IF(ISERROR(METHANE!$J94*(IF('USER INPUTS'!$B$26="Total landfill gas",(1/($D$5/100)),IF('USER INPUTS'!$B$26="Methane",1,IF('USER INPUTS'!$B$26="Carbon dioxide",((1/($D$5/100))-1),(VLOOKUP('USER INPUTS'!$B$26,DEFAULTS!$E$8:$F$69,2,FALSE))/10^6*(1/($D$5/100))))))),0,METHANE!$J94*(IF('USER INPUTS'!$B$26="Total landfill gas",(1/($D$5/100)),IF('USER INPUTS'!$B$26="Methane",1,IF('USER INPUTS'!$B$26="Carbon dioxide",((1/($D$5/100))-1),(VLOOKUP('USER INPUTS'!$B$26,DEFAULTS!$E$8:$F$69,2,FALSE))/10^6*(1/($D$5/100)))))))</f>
        <v>0</v>
      </c>
      <c r="K80" s="62">
        <f>IF(K$8="(short tons/year)",(I80*DEFAULTS!$B$55*DEFAULTS!$B$53/DEFAULTS!$B$54),IF(K$8="(ft^3/year)",(J80*DEFAULTS!$B$57),IF(K$8="(av ft^3/min)",(J80*DEFAULTS!$B$57/DEFAULTS!$B$58),0)))</f>
        <v>0</v>
      </c>
      <c r="L80" s="62">
        <f>IF(ISERROR(METHANE!$J94*DEFAULTS!$B$83*(IF('USER INPUTS'!$B$28="Total landfill gas",(1/($D$5/100)),IF('USER INPUTS'!$B$28="Methane",1,IF('USER INPUTS'!$B$28="Carbon dioxide",((1/($D$5/100))-1),(VLOOKUP('USER INPUTS'!$B$28,DEFAULTS!$E$8:$F$69,2,FALSE))/10^6*(1/($D$5/100))))))),0,METHANE!$J94*DEFAULTS!$B$83*(IF('USER INPUTS'!$B$28="Total landfill gas",(1/($D$5/100)),IF('USER INPUTS'!$B$28="Methane",1,IF('USER INPUTS'!$B$28="Carbon dioxide",((1/($D$5/100))-1),(VLOOKUP('USER INPUTS'!$B$28,DEFAULTS!$E$8:$F$69,2,FALSE))/10^6*(1/($D$5/100)))))))</f>
        <v>8353.4708294223365</v>
      </c>
      <c r="M80" s="62">
        <f>IF(ISERROR(METHANE!$J94*(IF('USER INPUTS'!$B$28="Total landfill gas",(1/($D$5/100)),IF('USER INPUTS'!$B$28="Methane",1,IF('USER INPUTS'!$B$28="Carbon dioxide",((1/($D$5/100))-1),(VLOOKUP('USER INPUTS'!$B$28,DEFAULTS!$E$8:$F$69,2,FALSE))/10^6*(1/($D$5/100))))))),0,METHANE!$J94*(IF('USER INPUTS'!$B$28="Total landfill gas",(1/($D$5/100)),IF('USER INPUTS'!$B$28="Methane",1,IF('USER INPUTS'!$B$28="Carbon dioxide",((1/($D$5/100))-1),(VLOOKUP('USER INPUTS'!$B$28,DEFAULTS!$E$8:$F$69,2,FALSE))/10^6*(1/($D$5/100)))))))</f>
        <v>4563494.3170219483</v>
      </c>
      <c r="N80" s="62">
        <f>IF(N$8="(short tons/year)",(L80*DEFAULTS!$B$55*DEFAULTS!$B$53/DEFAULTS!$B$54),IF(N$8="(ft^3/year)",(M80*DEFAULTS!$B$57),IF(N$8="(av ft^3/min)",(M80*DEFAULTS!$B$57/DEFAULTS!$B$58),0)))</f>
        <v>306.6206274840755</v>
      </c>
      <c r="O80" s="62">
        <f>IF(ISERROR(METHANE!$J94*DEFAULTS!$B$84*(IF('USER INPUTS'!$B$30="Total landfill gas",(1/($D$5/100)),IF('USER INPUTS'!$B$30="Methane",1,IF('USER INPUTS'!$B$30="Carbon dioxide",((1/($D$5/100))-1),(VLOOKUP('USER INPUTS'!$B$30,DEFAULTS!$E$8:$F$69,2,FALSE))/10^6*(1/($D$5/100))))))),0,METHANE!$J94*DEFAULTS!$B$84*(IF('USER INPUTS'!$B$30="Total landfill gas",(1/($D$5/100)),IF('USER INPUTS'!$B$30="Methane",1,IF('USER INPUTS'!$B$30="Carbon dioxide",((1/($D$5/100))-1),(VLOOKUP('USER INPUTS'!$B$30,DEFAULTS!$E$8:$F$69,2,FALSE))/10^6*(1/($D$5/100)))))))</f>
        <v>0</v>
      </c>
      <c r="P80" s="62">
        <f>IF(ISERROR(METHANE!$J94*(IF('USER INPUTS'!$B$30="Total landfill gas",(1/($D$5/100)),IF('USER INPUTS'!$B$30="Methane",1,IF('USER INPUTS'!$B$30="Carbon dioxide",((1/($D$5/100))-1),(VLOOKUP('USER INPUTS'!$B$30,DEFAULTS!$E$8:$F$69,2,FALSE))/10^6*(1/($D$5/100))))))),0,METHANE!$J94*(IF('USER INPUTS'!$B$30="Total landfill gas",(1/($D$5/100)),IF('USER INPUTS'!$B$30="Methane",1,IF('USER INPUTS'!$B$30="Carbon dioxide",((1/($D$5/100))-1),(VLOOKUP('USER INPUTS'!$B$30,DEFAULTS!$E$8:$F$69,2,FALSE))/10^6*(1/($D$5/100)))))))</f>
        <v>0</v>
      </c>
      <c r="Q80" s="162">
        <f>IF(Q$8="(short tons/year)",(O80*DEFAULTS!$B$55*DEFAULTS!$B$53/DEFAULTS!$B$54),IF(Q$8="(ft^3/year)",(P80*DEFAULTS!$B$57),IF(Q$8="(av ft^3/min)",(P80*DEFAULTS!$B$57/DEFAULTS!$B$58),0)))</f>
        <v>0</v>
      </c>
    </row>
    <row r="81" spans="1:17">
      <c r="A81" s="68">
        <f>METHANE!I95</f>
        <v>2090</v>
      </c>
      <c r="B81" s="66">
        <f>IF(METHANE!E95&gt;0,METHANE!E95,0)</f>
        <v>0</v>
      </c>
      <c r="C81" s="66">
        <f>IF(METHANE!E95&gt;0,METHANE!E95*DEFAULTS!$B$55*DEFAULTS!$B$53/DEFAULTS!$B$54,0)</f>
        <v>0</v>
      </c>
      <c r="D81" s="66">
        <f>IF(METHANE!F95&gt;0,METHANE!F95,0)</f>
        <v>12946986</v>
      </c>
      <c r="E81" s="66">
        <f>IF(METHANE!F95&gt;0,METHANE!F95*DEFAULTS!$B$55*DEFAULTS!$B$53/DEFAULTS!$B$54,0)</f>
        <v>14241684.6</v>
      </c>
      <c r="F81" s="62">
        <f>IF(ISERROR(METHANE!$J95*DEFAULTS!$B$81*(IF('USER INPUTS'!$B$24="Total landfill gas",(1/($D$5/100)),IF('USER INPUTS'!$B$24="Methane",1,IF('USER INPUTS'!$B$24="Carbon dioxide",((1/($D$5/100))-1),(VLOOKUP('USER INPUTS'!$B$24,DEFAULTS!$E$8:$F$69,2,FALSE))/10^6*(1/($D$5/100))))))),0,METHANE!$J95*DEFAULTS!$B$81*(IF('USER INPUTS'!$B$24="Total landfill gas",(1/($D$5/100)),IF('USER INPUTS'!$B$24="Methane",1,IF('USER INPUTS'!$B$24="Carbon dioxide",((1/($D$5/100))-1),(VLOOKUP('USER INPUTS'!$B$24,DEFAULTS!$E$8:$F$69,2,FALSE))/10^6*(1/($D$5/100)))))))</f>
        <v>0</v>
      </c>
      <c r="G81" s="62">
        <f>IF(ISERROR(METHANE!$J95*(IF('USER INPUTS'!$B$24="Total landfill gas",(1/($D$5/100)),IF('USER INPUTS'!$B$24="Methane",1,IF('USER INPUTS'!$B$24="Carbon dioxide",((1/($D$5/100))-1),(VLOOKUP('USER INPUTS'!$B$24,DEFAULTS!$E$8:$F$69,2,FALSE))/10^6*(1/($D$5/100))))))),0,METHANE!$J95*(IF('USER INPUTS'!$B$24="Total landfill gas",(1/($D$5/100)),IF('USER INPUTS'!$B$24="Methane",1,IF('USER INPUTS'!$B$24="Carbon dioxide",((1/($D$5/100))-1),(VLOOKUP('USER INPUTS'!$B$24,DEFAULTS!$E$8:$F$69,2,FALSE))/10^6*(1/($D$5/100)))))))</f>
        <v>0</v>
      </c>
      <c r="H81" s="62">
        <f>IF(H$8="(short tons/year)",(F81*DEFAULTS!$B$55*DEFAULTS!$B$53/DEFAULTS!$B$54),IF(H$8="(ft^3/year)",(G81*DEFAULTS!$B$57),IF(H$8="(av ft^3/min)",(G81*DEFAULTS!$B$57/DEFAULTS!$B$58),0)))</f>
        <v>0</v>
      </c>
      <c r="I81" s="62">
        <f>IF(ISERROR(METHANE!$J95*DEFAULTS!$B$82*(IF('USER INPUTS'!$B$26="Total landfill gas",(1/($D$5/100)),IF('USER INPUTS'!$B$26="Methane",1,IF('USER INPUTS'!$B$26="Carbon dioxide",((1/($D$5/100))-1),(VLOOKUP('USER INPUTS'!$B$26,DEFAULTS!$E$8:$F$69,2,FALSE))/10^6*(1/($D$5/100))))))),0,METHANE!$J95*DEFAULTS!$B$82*(IF('USER INPUTS'!$B$26="Total landfill gas",(1/($D$5/100)),IF('USER INPUTS'!$B$26="Methane",1,IF('USER INPUTS'!$B$26="Carbon dioxide",((1/($D$5/100))-1),(VLOOKUP('USER INPUTS'!$B$26,DEFAULTS!$E$8:$F$69,2,FALSE))/10^6*(1/($D$5/100)))))))</f>
        <v>0</v>
      </c>
      <c r="J81" s="62">
        <f>IF(ISERROR(METHANE!$J95*(IF('USER INPUTS'!$B$26="Total landfill gas",(1/($D$5/100)),IF('USER INPUTS'!$B$26="Methane",1,IF('USER INPUTS'!$B$26="Carbon dioxide",((1/($D$5/100))-1),(VLOOKUP('USER INPUTS'!$B$26,DEFAULTS!$E$8:$F$69,2,FALSE))/10^6*(1/($D$5/100))))))),0,METHANE!$J95*(IF('USER INPUTS'!$B$26="Total landfill gas",(1/($D$5/100)),IF('USER INPUTS'!$B$26="Methane",1,IF('USER INPUTS'!$B$26="Carbon dioxide",((1/($D$5/100))-1),(VLOOKUP('USER INPUTS'!$B$26,DEFAULTS!$E$8:$F$69,2,FALSE))/10^6*(1/($D$5/100)))))))</f>
        <v>0</v>
      </c>
      <c r="K81" s="62">
        <f>IF(K$8="(short tons/year)",(I81*DEFAULTS!$B$55*DEFAULTS!$B$53/DEFAULTS!$B$54),IF(K$8="(ft^3/year)",(J81*DEFAULTS!$B$57),IF(K$8="(av ft^3/min)",(J81*DEFAULTS!$B$57/DEFAULTS!$B$58),0)))</f>
        <v>0</v>
      </c>
      <c r="L81" s="62">
        <f>IF(ISERROR(METHANE!$J95*DEFAULTS!$B$83*(IF('USER INPUTS'!$B$28="Total landfill gas",(1/($D$5/100)),IF('USER INPUTS'!$B$28="Methane",1,IF('USER INPUTS'!$B$28="Carbon dioxide",((1/($D$5/100))-1),(VLOOKUP('USER INPUTS'!$B$28,DEFAULTS!$E$8:$F$69,2,FALSE))/10^6*(1/($D$5/100))))))),0,METHANE!$J95*DEFAULTS!$B$83*(IF('USER INPUTS'!$B$28="Total landfill gas",(1/($D$5/100)),IF('USER INPUTS'!$B$28="Methane",1,IF('USER INPUTS'!$B$28="Carbon dioxide",((1/($D$5/100))-1),(VLOOKUP('USER INPUTS'!$B$28,DEFAULTS!$E$8:$F$69,2,FALSE))/10^6*(1/($D$5/100)))))))</f>
        <v>8025.9265531759793</v>
      </c>
      <c r="M81" s="62">
        <f>IF(ISERROR(METHANE!$J95*(IF('USER INPUTS'!$B$28="Total landfill gas",(1/($D$5/100)),IF('USER INPUTS'!$B$28="Methane",1,IF('USER INPUTS'!$B$28="Carbon dioxide",((1/($D$5/100))-1),(VLOOKUP('USER INPUTS'!$B$28,DEFAULTS!$E$8:$F$69,2,FALSE))/10^6*(1/($D$5/100))))))),0,METHANE!$J95*(IF('USER INPUTS'!$B$28="Total landfill gas",(1/($D$5/100)),IF('USER INPUTS'!$B$28="Methane",1,IF('USER INPUTS'!$B$28="Carbon dioxide",((1/($D$5/100))-1),(VLOOKUP('USER INPUTS'!$B$28,DEFAULTS!$E$8:$F$69,2,FALSE))/10^6*(1/($D$5/100)))))))</f>
        <v>4384557.145426332</v>
      </c>
      <c r="N81" s="62">
        <f>IF(N$8="(short tons/year)",(L81*DEFAULTS!$B$55*DEFAULTS!$B$53/DEFAULTS!$B$54),IF(N$8="(ft^3/year)",(M81*DEFAULTS!$B$57),IF(N$8="(av ft^3/min)",(M81*DEFAULTS!$B$57/DEFAULTS!$B$58),0)))</f>
        <v>294.59786071295832</v>
      </c>
      <c r="O81" s="62">
        <f>IF(ISERROR(METHANE!$J95*DEFAULTS!$B$84*(IF('USER INPUTS'!$B$30="Total landfill gas",(1/($D$5/100)),IF('USER INPUTS'!$B$30="Methane",1,IF('USER INPUTS'!$B$30="Carbon dioxide",((1/($D$5/100))-1),(VLOOKUP('USER INPUTS'!$B$30,DEFAULTS!$E$8:$F$69,2,FALSE))/10^6*(1/($D$5/100))))))),0,METHANE!$J95*DEFAULTS!$B$84*(IF('USER INPUTS'!$B$30="Total landfill gas",(1/($D$5/100)),IF('USER INPUTS'!$B$30="Methane",1,IF('USER INPUTS'!$B$30="Carbon dioxide",((1/($D$5/100))-1),(VLOOKUP('USER INPUTS'!$B$30,DEFAULTS!$E$8:$F$69,2,FALSE))/10^6*(1/($D$5/100)))))))</f>
        <v>0</v>
      </c>
      <c r="P81" s="62">
        <f>IF(ISERROR(METHANE!$J95*(IF('USER INPUTS'!$B$30="Total landfill gas",(1/($D$5/100)),IF('USER INPUTS'!$B$30="Methane",1,IF('USER INPUTS'!$B$30="Carbon dioxide",((1/($D$5/100))-1),(VLOOKUP('USER INPUTS'!$B$30,DEFAULTS!$E$8:$F$69,2,FALSE))/10^6*(1/($D$5/100))))))),0,METHANE!$J95*(IF('USER INPUTS'!$B$30="Total landfill gas",(1/($D$5/100)),IF('USER INPUTS'!$B$30="Methane",1,IF('USER INPUTS'!$B$30="Carbon dioxide",((1/($D$5/100))-1),(VLOOKUP('USER INPUTS'!$B$30,DEFAULTS!$E$8:$F$69,2,FALSE))/10^6*(1/($D$5/100)))))))</f>
        <v>0</v>
      </c>
      <c r="Q81" s="162">
        <f>IF(Q$8="(short tons/year)",(O81*DEFAULTS!$B$55*DEFAULTS!$B$53/DEFAULTS!$B$54),IF(Q$8="(ft^3/year)",(P81*DEFAULTS!$B$57),IF(Q$8="(av ft^3/min)",(P81*DEFAULTS!$B$57/DEFAULTS!$B$58),0)))</f>
        <v>0</v>
      </c>
    </row>
    <row r="82" spans="1:17">
      <c r="A82" s="68">
        <f>METHANE!I96</f>
        <v>2091</v>
      </c>
      <c r="B82" s="66">
        <f>IF(METHANE!E96&gt;0,METHANE!E96,0)</f>
        <v>0</v>
      </c>
      <c r="C82" s="66">
        <f>IF(METHANE!E96&gt;0,METHANE!E96*DEFAULTS!$B$55*DEFAULTS!$B$53/DEFAULTS!$B$54,0)</f>
        <v>0</v>
      </c>
      <c r="D82" s="66">
        <f>IF(METHANE!F96&gt;0,METHANE!F96,0)</f>
        <v>12946986</v>
      </c>
      <c r="E82" s="66">
        <f>IF(METHANE!F96&gt;0,METHANE!F96*DEFAULTS!$B$55*DEFAULTS!$B$53/DEFAULTS!$B$54,0)</f>
        <v>14241684.6</v>
      </c>
      <c r="F82" s="62">
        <f>IF(ISERROR(METHANE!$J96*DEFAULTS!$B$81*(IF('USER INPUTS'!$B$24="Total landfill gas",(1/($D$5/100)),IF('USER INPUTS'!$B$24="Methane",1,IF('USER INPUTS'!$B$24="Carbon dioxide",((1/($D$5/100))-1),(VLOOKUP('USER INPUTS'!$B$24,DEFAULTS!$E$8:$F$69,2,FALSE))/10^6*(1/($D$5/100))))))),0,METHANE!$J96*DEFAULTS!$B$81*(IF('USER INPUTS'!$B$24="Total landfill gas",(1/($D$5/100)),IF('USER INPUTS'!$B$24="Methane",1,IF('USER INPUTS'!$B$24="Carbon dioxide",((1/($D$5/100))-1),(VLOOKUP('USER INPUTS'!$B$24,DEFAULTS!$E$8:$F$69,2,FALSE))/10^6*(1/($D$5/100)))))))</f>
        <v>0</v>
      </c>
      <c r="G82" s="62">
        <f>IF(ISERROR(METHANE!$J96*(IF('USER INPUTS'!$B$24="Total landfill gas",(1/($D$5/100)),IF('USER INPUTS'!$B$24="Methane",1,IF('USER INPUTS'!$B$24="Carbon dioxide",((1/($D$5/100))-1),(VLOOKUP('USER INPUTS'!$B$24,DEFAULTS!$E$8:$F$69,2,FALSE))/10^6*(1/($D$5/100))))))),0,METHANE!$J96*(IF('USER INPUTS'!$B$24="Total landfill gas",(1/($D$5/100)),IF('USER INPUTS'!$B$24="Methane",1,IF('USER INPUTS'!$B$24="Carbon dioxide",((1/($D$5/100))-1),(VLOOKUP('USER INPUTS'!$B$24,DEFAULTS!$E$8:$F$69,2,FALSE))/10^6*(1/($D$5/100)))))))</f>
        <v>0</v>
      </c>
      <c r="H82" s="62">
        <f>IF(H$8="(short tons/year)",(F82*DEFAULTS!$B$55*DEFAULTS!$B$53/DEFAULTS!$B$54),IF(H$8="(ft^3/year)",(G82*DEFAULTS!$B$57),IF(H$8="(av ft^3/min)",(G82*DEFAULTS!$B$57/DEFAULTS!$B$58),0)))</f>
        <v>0</v>
      </c>
      <c r="I82" s="62">
        <f>IF(ISERROR(METHANE!$J96*DEFAULTS!$B$82*(IF('USER INPUTS'!$B$26="Total landfill gas",(1/($D$5/100)),IF('USER INPUTS'!$B$26="Methane",1,IF('USER INPUTS'!$B$26="Carbon dioxide",((1/($D$5/100))-1),(VLOOKUP('USER INPUTS'!$B$26,DEFAULTS!$E$8:$F$69,2,FALSE))/10^6*(1/($D$5/100))))))),0,METHANE!$J96*DEFAULTS!$B$82*(IF('USER INPUTS'!$B$26="Total landfill gas",(1/($D$5/100)),IF('USER INPUTS'!$B$26="Methane",1,IF('USER INPUTS'!$B$26="Carbon dioxide",((1/($D$5/100))-1),(VLOOKUP('USER INPUTS'!$B$26,DEFAULTS!$E$8:$F$69,2,FALSE))/10^6*(1/($D$5/100)))))))</f>
        <v>0</v>
      </c>
      <c r="J82" s="62">
        <f>IF(ISERROR(METHANE!$J96*(IF('USER INPUTS'!$B$26="Total landfill gas",(1/($D$5/100)),IF('USER INPUTS'!$B$26="Methane",1,IF('USER INPUTS'!$B$26="Carbon dioxide",((1/($D$5/100))-1),(VLOOKUP('USER INPUTS'!$B$26,DEFAULTS!$E$8:$F$69,2,FALSE))/10^6*(1/($D$5/100))))))),0,METHANE!$J96*(IF('USER INPUTS'!$B$26="Total landfill gas",(1/($D$5/100)),IF('USER INPUTS'!$B$26="Methane",1,IF('USER INPUTS'!$B$26="Carbon dioxide",((1/($D$5/100))-1),(VLOOKUP('USER INPUTS'!$B$26,DEFAULTS!$E$8:$F$69,2,FALSE))/10^6*(1/($D$5/100)))))))</f>
        <v>0</v>
      </c>
      <c r="K82" s="62">
        <f>IF(K$8="(short tons/year)",(I82*DEFAULTS!$B$55*DEFAULTS!$B$53/DEFAULTS!$B$54),IF(K$8="(ft^3/year)",(J82*DEFAULTS!$B$57),IF(K$8="(av ft^3/min)",(J82*DEFAULTS!$B$57/DEFAULTS!$B$58),0)))</f>
        <v>0</v>
      </c>
      <c r="L82" s="62">
        <f>IF(ISERROR(METHANE!$J96*DEFAULTS!$B$83*(IF('USER INPUTS'!$B$28="Total landfill gas",(1/($D$5/100)),IF('USER INPUTS'!$B$28="Methane",1,IF('USER INPUTS'!$B$28="Carbon dioxide",((1/($D$5/100))-1),(VLOOKUP('USER INPUTS'!$B$28,DEFAULTS!$E$8:$F$69,2,FALSE))/10^6*(1/($D$5/100))))))),0,METHANE!$J96*DEFAULTS!$B$83*(IF('USER INPUTS'!$B$28="Total landfill gas",(1/($D$5/100)),IF('USER INPUTS'!$B$28="Methane",1,IF('USER INPUTS'!$B$28="Carbon dioxide",((1/($D$5/100))-1),(VLOOKUP('USER INPUTS'!$B$28,DEFAULTS!$E$8:$F$69,2,FALSE))/10^6*(1/($D$5/100)))))))</f>
        <v>7711.2254717036885</v>
      </c>
      <c r="M82" s="62">
        <f>IF(ISERROR(METHANE!$J96*(IF('USER INPUTS'!$B$28="Total landfill gas",(1/($D$5/100)),IF('USER INPUTS'!$B$28="Methane",1,IF('USER INPUTS'!$B$28="Carbon dioxide",((1/($D$5/100))-1),(VLOOKUP('USER INPUTS'!$B$28,DEFAULTS!$E$8:$F$69,2,FALSE))/10^6*(1/($D$5/100))))))),0,METHANE!$J96*(IF('USER INPUTS'!$B$28="Total landfill gas",(1/($D$5/100)),IF('USER INPUTS'!$B$28="Methane",1,IF('USER INPUTS'!$B$28="Carbon dioxide",((1/($D$5/100))-1),(VLOOKUP('USER INPUTS'!$B$28,DEFAULTS!$E$8:$F$69,2,FALSE))/10^6*(1/($D$5/100)))))))</f>
        <v>4212636.2006854778</v>
      </c>
      <c r="N82" s="62">
        <f>IF(N$8="(short tons/year)",(L82*DEFAULTS!$B$55*DEFAULTS!$B$53/DEFAULTS!$B$54),IF(N$8="(ft^3/year)",(M82*DEFAULTS!$B$57),IF(N$8="(av ft^3/min)",(M82*DEFAULTS!$B$57/DEFAULTS!$B$58),0)))</f>
        <v>283.04651336987757</v>
      </c>
      <c r="O82" s="62">
        <f>IF(ISERROR(METHANE!$J96*DEFAULTS!$B$84*(IF('USER INPUTS'!$B$30="Total landfill gas",(1/($D$5/100)),IF('USER INPUTS'!$B$30="Methane",1,IF('USER INPUTS'!$B$30="Carbon dioxide",((1/($D$5/100))-1),(VLOOKUP('USER INPUTS'!$B$30,DEFAULTS!$E$8:$F$69,2,FALSE))/10^6*(1/($D$5/100))))))),0,METHANE!$J96*DEFAULTS!$B$84*(IF('USER INPUTS'!$B$30="Total landfill gas",(1/($D$5/100)),IF('USER INPUTS'!$B$30="Methane",1,IF('USER INPUTS'!$B$30="Carbon dioxide",((1/($D$5/100))-1),(VLOOKUP('USER INPUTS'!$B$30,DEFAULTS!$E$8:$F$69,2,FALSE))/10^6*(1/($D$5/100)))))))</f>
        <v>0</v>
      </c>
      <c r="P82" s="62">
        <f>IF(ISERROR(METHANE!$J96*(IF('USER INPUTS'!$B$30="Total landfill gas",(1/($D$5/100)),IF('USER INPUTS'!$B$30="Methane",1,IF('USER INPUTS'!$B$30="Carbon dioxide",((1/($D$5/100))-1),(VLOOKUP('USER INPUTS'!$B$30,DEFAULTS!$E$8:$F$69,2,FALSE))/10^6*(1/($D$5/100))))))),0,METHANE!$J96*(IF('USER INPUTS'!$B$30="Total landfill gas",(1/($D$5/100)),IF('USER INPUTS'!$B$30="Methane",1,IF('USER INPUTS'!$B$30="Carbon dioxide",((1/($D$5/100))-1),(VLOOKUP('USER INPUTS'!$B$30,DEFAULTS!$E$8:$F$69,2,FALSE))/10^6*(1/($D$5/100)))))))</f>
        <v>0</v>
      </c>
      <c r="Q82" s="162">
        <f>IF(Q$8="(short tons/year)",(O82*DEFAULTS!$B$55*DEFAULTS!$B$53/DEFAULTS!$B$54),IF(Q$8="(ft^3/year)",(P82*DEFAULTS!$B$57),IF(Q$8="(av ft^3/min)",(P82*DEFAULTS!$B$57/DEFAULTS!$B$58),0)))</f>
        <v>0</v>
      </c>
    </row>
    <row r="83" spans="1:17">
      <c r="A83" s="68">
        <f>METHANE!I97</f>
        <v>2092</v>
      </c>
      <c r="B83" s="66">
        <f>IF(METHANE!E97&gt;0,METHANE!E97,0)</f>
        <v>0</v>
      </c>
      <c r="C83" s="66">
        <f>IF(METHANE!E97&gt;0,METHANE!E97*DEFAULTS!$B$55*DEFAULTS!$B$53/DEFAULTS!$B$54,0)</f>
        <v>0</v>
      </c>
      <c r="D83" s="66">
        <f>IF(METHANE!F97&gt;0,METHANE!F97,0)</f>
        <v>12946986</v>
      </c>
      <c r="E83" s="66">
        <f>IF(METHANE!F97&gt;0,METHANE!F97*DEFAULTS!$B$55*DEFAULTS!$B$53/DEFAULTS!$B$54,0)</f>
        <v>14241684.6</v>
      </c>
      <c r="F83" s="62">
        <f>IF(ISERROR(METHANE!$J97*DEFAULTS!$B$81*(IF('USER INPUTS'!$B$24="Total landfill gas",(1/($D$5/100)),IF('USER INPUTS'!$B$24="Methane",1,IF('USER INPUTS'!$B$24="Carbon dioxide",((1/($D$5/100))-1),(VLOOKUP('USER INPUTS'!$B$24,DEFAULTS!$E$8:$F$69,2,FALSE))/10^6*(1/($D$5/100))))))),0,METHANE!$J97*DEFAULTS!$B$81*(IF('USER INPUTS'!$B$24="Total landfill gas",(1/($D$5/100)),IF('USER INPUTS'!$B$24="Methane",1,IF('USER INPUTS'!$B$24="Carbon dioxide",((1/($D$5/100))-1),(VLOOKUP('USER INPUTS'!$B$24,DEFAULTS!$E$8:$F$69,2,FALSE))/10^6*(1/($D$5/100)))))))</f>
        <v>0</v>
      </c>
      <c r="G83" s="62">
        <f>IF(ISERROR(METHANE!$J97*(IF('USER INPUTS'!$B$24="Total landfill gas",(1/($D$5/100)),IF('USER INPUTS'!$B$24="Methane",1,IF('USER INPUTS'!$B$24="Carbon dioxide",((1/($D$5/100))-1),(VLOOKUP('USER INPUTS'!$B$24,DEFAULTS!$E$8:$F$69,2,FALSE))/10^6*(1/($D$5/100))))))),0,METHANE!$J97*(IF('USER INPUTS'!$B$24="Total landfill gas",(1/($D$5/100)),IF('USER INPUTS'!$B$24="Methane",1,IF('USER INPUTS'!$B$24="Carbon dioxide",((1/($D$5/100))-1),(VLOOKUP('USER INPUTS'!$B$24,DEFAULTS!$E$8:$F$69,2,FALSE))/10^6*(1/($D$5/100)))))))</f>
        <v>0</v>
      </c>
      <c r="H83" s="62">
        <f>IF(H$8="(short tons/year)",(F83*DEFAULTS!$B$55*DEFAULTS!$B$53/DEFAULTS!$B$54),IF(H$8="(ft^3/year)",(G83*DEFAULTS!$B$57),IF(H$8="(av ft^3/min)",(G83*DEFAULTS!$B$57/DEFAULTS!$B$58),0)))</f>
        <v>0</v>
      </c>
      <c r="I83" s="62">
        <f>IF(ISERROR(METHANE!$J97*DEFAULTS!$B$82*(IF('USER INPUTS'!$B$26="Total landfill gas",(1/($D$5/100)),IF('USER INPUTS'!$B$26="Methane",1,IF('USER INPUTS'!$B$26="Carbon dioxide",((1/($D$5/100))-1),(VLOOKUP('USER INPUTS'!$B$26,DEFAULTS!$E$8:$F$69,2,FALSE))/10^6*(1/($D$5/100))))))),0,METHANE!$J97*DEFAULTS!$B$82*(IF('USER INPUTS'!$B$26="Total landfill gas",(1/($D$5/100)),IF('USER INPUTS'!$B$26="Methane",1,IF('USER INPUTS'!$B$26="Carbon dioxide",((1/($D$5/100))-1),(VLOOKUP('USER INPUTS'!$B$26,DEFAULTS!$E$8:$F$69,2,FALSE))/10^6*(1/($D$5/100)))))))</f>
        <v>0</v>
      </c>
      <c r="J83" s="62">
        <f>IF(ISERROR(METHANE!$J97*(IF('USER INPUTS'!$B$26="Total landfill gas",(1/($D$5/100)),IF('USER INPUTS'!$B$26="Methane",1,IF('USER INPUTS'!$B$26="Carbon dioxide",((1/($D$5/100))-1),(VLOOKUP('USER INPUTS'!$B$26,DEFAULTS!$E$8:$F$69,2,FALSE))/10^6*(1/($D$5/100))))))),0,METHANE!$J97*(IF('USER INPUTS'!$B$26="Total landfill gas",(1/($D$5/100)),IF('USER INPUTS'!$B$26="Methane",1,IF('USER INPUTS'!$B$26="Carbon dioxide",((1/($D$5/100))-1),(VLOOKUP('USER INPUTS'!$B$26,DEFAULTS!$E$8:$F$69,2,FALSE))/10^6*(1/($D$5/100)))))))</f>
        <v>0</v>
      </c>
      <c r="K83" s="62">
        <f>IF(K$8="(short tons/year)",(I83*DEFAULTS!$B$55*DEFAULTS!$B$53/DEFAULTS!$B$54),IF(K$8="(ft^3/year)",(J83*DEFAULTS!$B$57),IF(K$8="(av ft^3/min)",(J83*DEFAULTS!$B$57/DEFAULTS!$B$58),0)))</f>
        <v>0</v>
      </c>
      <c r="L83" s="62">
        <f>IF(ISERROR(METHANE!$J97*DEFAULTS!$B$83*(IF('USER INPUTS'!$B$28="Total landfill gas",(1/($D$5/100)),IF('USER INPUTS'!$B$28="Methane",1,IF('USER INPUTS'!$B$28="Carbon dioxide",((1/($D$5/100))-1),(VLOOKUP('USER INPUTS'!$B$28,DEFAULTS!$E$8:$F$69,2,FALSE))/10^6*(1/($D$5/100))))))),0,METHANE!$J97*DEFAULTS!$B$83*(IF('USER INPUTS'!$B$28="Total landfill gas",(1/($D$5/100)),IF('USER INPUTS'!$B$28="Methane",1,IF('USER INPUTS'!$B$28="Carbon dioxide",((1/($D$5/100))-1),(VLOOKUP('USER INPUTS'!$B$28,DEFAULTS!$E$8:$F$69,2,FALSE))/10^6*(1/($D$5/100)))))))</f>
        <v>7408.8639961352947</v>
      </c>
      <c r="M83" s="62">
        <f>IF(ISERROR(METHANE!$J97*(IF('USER INPUTS'!$B$28="Total landfill gas",(1/($D$5/100)),IF('USER INPUTS'!$B$28="Methane",1,IF('USER INPUTS'!$B$28="Carbon dioxide",((1/($D$5/100))-1),(VLOOKUP('USER INPUTS'!$B$28,DEFAULTS!$E$8:$F$69,2,FALSE))/10^6*(1/($D$5/100))))))),0,METHANE!$J97*(IF('USER INPUTS'!$B$28="Total landfill gas",(1/($D$5/100)),IF('USER INPUTS'!$B$28="Methane",1,IF('USER INPUTS'!$B$28="Carbon dioxide",((1/($D$5/100))-1),(VLOOKUP('USER INPUTS'!$B$28,DEFAULTS!$E$8:$F$69,2,FALSE))/10^6*(1/($D$5/100)))))))</f>
        <v>4047456.3726093732</v>
      </c>
      <c r="N83" s="62">
        <f>IF(N$8="(short tons/year)",(L83*DEFAULTS!$B$55*DEFAULTS!$B$53/DEFAULTS!$B$54),IF(N$8="(ft^3/year)",(M83*DEFAULTS!$B$57),IF(N$8="(av ft^3/min)",(M83*DEFAULTS!$B$57/DEFAULTS!$B$58),0)))</f>
        <v>271.94810083466513</v>
      </c>
      <c r="O83" s="62">
        <f>IF(ISERROR(METHANE!$J97*DEFAULTS!$B$84*(IF('USER INPUTS'!$B$30="Total landfill gas",(1/($D$5/100)),IF('USER INPUTS'!$B$30="Methane",1,IF('USER INPUTS'!$B$30="Carbon dioxide",((1/($D$5/100))-1),(VLOOKUP('USER INPUTS'!$B$30,DEFAULTS!$E$8:$F$69,2,FALSE))/10^6*(1/($D$5/100))))))),0,METHANE!$J97*DEFAULTS!$B$84*(IF('USER INPUTS'!$B$30="Total landfill gas",(1/($D$5/100)),IF('USER INPUTS'!$B$30="Methane",1,IF('USER INPUTS'!$B$30="Carbon dioxide",((1/($D$5/100))-1),(VLOOKUP('USER INPUTS'!$B$30,DEFAULTS!$E$8:$F$69,2,FALSE))/10^6*(1/($D$5/100)))))))</f>
        <v>0</v>
      </c>
      <c r="P83" s="62">
        <f>IF(ISERROR(METHANE!$J97*(IF('USER INPUTS'!$B$30="Total landfill gas",(1/($D$5/100)),IF('USER INPUTS'!$B$30="Methane",1,IF('USER INPUTS'!$B$30="Carbon dioxide",((1/($D$5/100))-1),(VLOOKUP('USER INPUTS'!$B$30,DEFAULTS!$E$8:$F$69,2,FALSE))/10^6*(1/($D$5/100))))))),0,METHANE!$J97*(IF('USER INPUTS'!$B$30="Total landfill gas",(1/($D$5/100)),IF('USER INPUTS'!$B$30="Methane",1,IF('USER INPUTS'!$B$30="Carbon dioxide",((1/($D$5/100))-1),(VLOOKUP('USER INPUTS'!$B$30,DEFAULTS!$E$8:$F$69,2,FALSE))/10^6*(1/($D$5/100)))))))</f>
        <v>0</v>
      </c>
      <c r="Q83" s="162">
        <f>IF(Q$8="(short tons/year)",(O83*DEFAULTS!$B$55*DEFAULTS!$B$53/DEFAULTS!$B$54),IF(Q$8="(ft^3/year)",(P83*DEFAULTS!$B$57),IF(Q$8="(av ft^3/min)",(P83*DEFAULTS!$B$57/DEFAULTS!$B$58),0)))</f>
        <v>0</v>
      </c>
    </row>
    <row r="84" spans="1:17">
      <c r="A84" s="68">
        <f>METHANE!I98</f>
        <v>2093</v>
      </c>
      <c r="B84" s="66">
        <f>IF(METHANE!E98&gt;0,METHANE!E98,0)</f>
        <v>0</v>
      </c>
      <c r="C84" s="66">
        <f>IF(METHANE!E98&gt;0,METHANE!E98*DEFAULTS!$B$55*DEFAULTS!$B$53/DEFAULTS!$B$54,0)</f>
        <v>0</v>
      </c>
      <c r="D84" s="66">
        <f>IF(METHANE!F98&gt;0,METHANE!F98,0)</f>
        <v>12946986</v>
      </c>
      <c r="E84" s="66">
        <f>IF(METHANE!F98&gt;0,METHANE!F98*DEFAULTS!$B$55*DEFAULTS!$B$53/DEFAULTS!$B$54,0)</f>
        <v>14241684.6</v>
      </c>
      <c r="F84" s="62">
        <f>IF(ISERROR(METHANE!$J98*DEFAULTS!$B$81*(IF('USER INPUTS'!$B$24="Total landfill gas",(1/($D$5/100)),IF('USER INPUTS'!$B$24="Methane",1,IF('USER INPUTS'!$B$24="Carbon dioxide",((1/($D$5/100))-1),(VLOOKUP('USER INPUTS'!$B$24,DEFAULTS!$E$8:$F$69,2,FALSE))/10^6*(1/($D$5/100))))))),0,METHANE!$J98*DEFAULTS!$B$81*(IF('USER INPUTS'!$B$24="Total landfill gas",(1/($D$5/100)),IF('USER INPUTS'!$B$24="Methane",1,IF('USER INPUTS'!$B$24="Carbon dioxide",((1/($D$5/100))-1),(VLOOKUP('USER INPUTS'!$B$24,DEFAULTS!$E$8:$F$69,2,FALSE))/10^6*(1/($D$5/100)))))))</f>
        <v>0</v>
      </c>
      <c r="G84" s="62">
        <f>IF(ISERROR(METHANE!$J98*(IF('USER INPUTS'!$B$24="Total landfill gas",(1/($D$5/100)),IF('USER INPUTS'!$B$24="Methane",1,IF('USER INPUTS'!$B$24="Carbon dioxide",((1/($D$5/100))-1),(VLOOKUP('USER INPUTS'!$B$24,DEFAULTS!$E$8:$F$69,2,FALSE))/10^6*(1/($D$5/100))))))),0,METHANE!$J98*(IF('USER INPUTS'!$B$24="Total landfill gas",(1/($D$5/100)),IF('USER INPUTS'!$B$24="Methane",1,IF('USER INPUTS'!$B$24="Carbon dioxide",((1/($D$5/100))-1),(VLOOKUP('USER INPUTS'!$B$24,DEFAULTS!$E$8:$F$69,2,FALSE))/10^6*(1/($D$5/100)))))))</f>
        <v>0</v>
      </c>
      <c r="H84" s="62">
        <f>IF(H$8="(short tons/year)",(F84*DEFAULTS!$B$55*DEFAULTS!$B$53/DEFAULTS!$B$54),IF(H$8="(ft^3/year)",(G84*DEFAULTS!$B$57),IF(H$8="(av ft^3/min)",(G84*DEFAULTS!$B$57/DEFAULTS!$B$58),0)))</f>
        <v>0</v>
      </c>
      <c r="I84" s="62">
        <f>IF(ISERROR(METHANE!$J98*DEFAULTS!$B$82*(IF('USER INPUTS'!$B$26="Total landfill gas",(1/($D$5/100)),IF('USER INPUTS'!$B$26="Methane",1,IF('USER INPUTS'!$B$26="Carbon dioxide",((1/($D$5/100))-1),(VLOOKUP('USER INPUTS'!$B$26,DEFAULTS!$E$8:$F$69,2,FALSE))/10^6*(1/($D$5/100))))))),0,METHANE!$J98*DEFAULTS!$B$82*(IF('USER INPUTS'!$B$26="Total landfill gas",(1/($D$5/100)),IF('USER INPUTS'!$B$26="Methane",1,IF('USER INPUTS'!$B$26="Carbon dioxide",((1/($D$5/100))-1),(VLOOKUP('USER INPUTS'!$B$26,DEFAULTS!$E$8:$F$69,2,FALSE))/10^6*(1/($D$5/100)))))))</f>
        <v>0</v>
      </c>
      <c r="J84" s="62">
        <f>IF(ISERROR(METHANE!$J98*(IF('USER INPUTS'!$B$26="Total landfill gas",(1/($D$5/100)),IF('USER INPUTS'!$B$26="Methane",1,IF('USER INPUTS'!$B$26="Carbon dioxide",((1/($D$5/100))-1),(VLOOKUP('USER INPUTS'!$B$26,DEFAULTS!$E$8:$F$69,2,FALSE))/10^6*(1/($D$5/100))))))),0,METHANE!$J98*(IF('USER INPUTS'!$B$26="Total landfill gas",(1/($D$5/100)),IF('USER INPUTS'!$B$26="Methane",1,IF('USER INPUTS'!$B$26="Carbon dioxide",((1/($D$5/100))-1),(VLOOKUP('USER INPUTS'!$B$26,DEFAULTS!$E$8:$F$69,2,FALSE))/10^6*(1/($D$5/100)))))))</f>
        <v>0</v>
      </c>
      <c r="K84" s="62">
        <f>IF(K$8="(short tons/year)",(I84*DEFAULTS!$B$55*DEFAULTS!$B$53/DEFAULTS!$B$54),IF(K$8="(ft^3/year)",(J84*DEFAULTS!$B$57),IF(K$8="(av ft^3/min)",(J84*DEFAULTS!$B$57/DEFAULTS!$B$58),0)))</f>
        <v>0</v>
      </c>
      <c r="L84" s="62">
        <f>IF(ISERROR(METHANE!$J98*DEFAULTS!$B$83*(IF('USER INPUTS'!$B$28="Total landfill gas",(1/($D$5/100)),IF('USER INPUTS'!$B$28="Methane",1,IF('USER INPUTS'!$B$28="Carbon dioxide",((1/($D$5/100))-1),(VLOOKUP('USER INPUTS'!$B$28,DEFAULTS!$E$8:$F$69,2,FALSE))/10^6*(1/($D$5/100))))))),0,METHANE!$J98*DEFAULTS!$B$83*(IF('USER INPUTS'!$B$28="Total landfill gas",(1/($D$5/100)),IF('USER INPUTS'!$B$28="Methane",1,IF('USER INPUTS'!$B$28="Carbon dioxide",((1/($D$5/100))-1),(VLOOKUP('USER INPUTS'!$B$28,DEFAULTS!$E$8:$F$69,2,FALSE))/10^6*(1/($D$5/100)))))))</f>
        <v>7118.358283602669</v>
      </c>
      <c r="M84" s="62">
        <f>IF(ISERROR(METHANE!$J98*(IF('USER INPUTS'!$B$28="Total landfill gas",(1/($D$5/100)),IF('USER INPUTS'!$B$28="Methane",1,IF('USER INPUTS'!$B$28="Carbon dioxide",((1/($D$5/100))-1),(VLOOKUP('USER INPUTS'!$B$28,DEFAULTS!$E$8:$F$69,2,FALSE))/10^6*(1/($D$5/100))))))),0,METHANE!$J98*(IF('USER INPUTS'!$B$28="Total landfill gas",(1/($D$5/100)),IF('USER INPUTS'!$B$28="Methane",1,IF('USER INPUTS'!$B$28="Carbon dioxide",((1/($D$5/100))-1),(VLOOKUP('USER INPUTS'!$B$28,DEFAULTS!$E$8:$F$69,2,FALSE))/10^6*(1/($D$5/100)))))))</f>
        <v>3888753.3382328553</v>
      </c>
      <c r="N84" s="62">
        <f>IF(N$8="(short tons/year)",(L84*DEFAULTS!$B$55*DEFAULTS!$B$53/DEFAULTS!$B$54),IF(N$8="(ft^3/year)",(M84*DEFAULTS!$B$57),IF(N$8="(av ft^3/min)",(M84*DEFAULTS!$B$57/DEFAULTS!$B$58),0)))</f>
        <v>261.28486327947735</v>
      </c>
      <c r="O84" s="62">
        <f>IF(ISERROR(METHANE!$J98*DEFAULTS!$B$84*(IF('USER INPUTS'!$B$30="Total landfill gas",(1/($D$5/100)),IF('USER INPUTS'!$B$30="Methane",1,IF('USER INPUTS'!$B$30="Carbon dioxide",((1/($D$5/100))-1),(VLOOKUP('USER INPUTS'!$B$30,DEFAULTS!$E$8:$F$69,2,FALSE))/10^6*(1/($D$5/100))))))),0,METHANE!$J98*DEFAULTS!$B$84*(IF('USER INPUTS'!$B$30="Total landfill gas",(1/($D$5/100)),IF('USER INPUTS'!$B$30="Methane",1,IF('USER INPUTS'!$B$30="Carbon dioxide",((1/($D$5/100))-1),(VLOOKUP('USER INPUTS'!$B$30,DEFAULTS!$E$8:$F$69,2,FALSE))/10^6*(1/($D$5/100)))))))</f>
        <v>0</v>
      </c>
      <c r="P84" s="62">
        <f>IF(ISERROR(METHANE!$J98*(IF('USER INPUTS'!$B$30="Total landfill gas",(1/($D$5/100)),IF('USER INPUTS'!$B$30="Methane",1,IF('USER INPUTS'!$B$30="Carbon dioxide",((1/($D$5/100))-1),(VLOOKUP('USER INPUTS'!$B$30,DEFAULTS!$E$8:$F$69,2,FALSE))/10^6*(1/($D$5/100))))))),0,METHANE!$J98*(IF('USER INPUTS'!$B$30="Total landfill gas",(1/($D$5/100)),IF('USER INPUTS'!$B$30="Methane",1,IF('USER INPUTS'!$B$30="Carbon dioxide",((1/($D$5/100))-1),(VLOOKUP('USER INPUTS'!$B$30,DEFAULTS!$E$8:$F$69,2,FALSE))/10^6*(1/($D$5/100)))))))</f>
        <v>0</v>
      </c>
      <c r="Q84" s="162">
        <f>IF(Q$8="(short tons/year)",(O84*DEFAULTS!$B$55*DEFAULTS!$B$53/DEFAULTS!$B$54),IF(Q$8="(ft^3/year)",(P84*DEFAULTS!$B$57),IF(Q$8="(av ft^3/min)",(P84*DEFAULTS!$B$57/DEFAULTS!$B$58),0)))</f>
        <v>0</v>
      </c>
    </row>
    <row r="85" spans="1:17">
      <c r="A85" s="68">
        <f>METHANE!I99</f>
        <v>2094</v>
      </c>
      <c r="B85" s="66">
        <f>IF(METHANE!E99&gt;0,METHANE!E99,0)</f>
        <v>0</v>
      </c>
      <c r="C85" s="66">
        <f>IF(METHANE!E99&gt;0,METHANE!E99*DEFAULTS!$B$55*DEFAULTS!$B$53/DEFAULTS!$B$54,0)</f>
        <v>0</v>
      </c>
      <c r="D85" s="66">
        <f>IF(METHANE!F99&gt;0,METHANE!F99,0)</f>
        <v>12946986</v>
      </c>
      <c r="E85" s="66">
        <f>IF(METHANE!F99&gt;0,METHANE!F99*DEFAULTS!$B$55*DEFAULTS!$B$53/DEFAULTS!$B$54,0)</f>
        <v>14241684.6</v>
      </c>
      <c r="F85" s="62">
        <f>IF(ISERROR(METHANE!$J99*DEFAULTS!$B$81*(IF('USER INPUTS'!$B$24="Total landfill gas",(1/($D$5/100)),IF('USER INPUTS'!$B$24="Methane",1,IF('USER INPUTS'!$B$24="Carbon dioxide",((1/($D$5/100))-1),(VLOOKUP('USER INPUTS'!$B$24,DEFAULTS!$E$8:$F$69,2,FALSE))/10^6*(1/($D$5/100))))))),0,METHANE!$J99*DEFAULTS!$B$81*(IF('USER INPUTS'!$B$24="Total landfill gas",(1/($D$5/100)),IF('USER INPUTS'!$B$24="Methane",1,IF('USER INPUTS'!$B$24="Carbon dioxide",((1/($D$5/100))-1),(VLOOKUP('USER INPUTS'!$B$24,DEFAULTS!$E$8:$F$69,2,FALSE))/10^6*(1/($D$5/100)))))))</f>
        <v>0</v>
      </c>
      <c r="G85" s="62">
        <f>IF(ISERROR(METHANE!$J99*(IF('USER INPUTS'!$B$24="Total landfill gas",(1/($D$5/100)),IF('USER INPUTS'!$B$24="Methane",1,IF('USER INPUTS'!$B$24="Carbon dioxide",((1/($D$5/100))-1),(VLOOKUP('USER INPUTS'!$B$24,DEFAULTS!$E$8:$F$69,2,FALSE))/10^6*(1/($D$5/100))))))),0,METHANE!$J99*(IF('USER INPUTS'!$B$24="Total landfill gas",(1/($D$5/100)),IF('USER INPUTS'!$B$24="Methane",1,IF('USER INPUTS'!$B$24="Carbon dioxide",((1/($D$5/100))-1),(VLOOKUP('USER INPUTS'!$B$24,DEFAULTS!$E$8:$F$69,2,FALSE))/10^6*(1/($D$5/100)))))))</f>
        <v>0</v>
      </c>
      <c r="H85" s="62">
        <f>IF(H$8="(short tons/year)",(F85*DEFAULTS!$B$55*DEFAULTS!$B$53/DEFAULTS!$B$54),IF(H$8="(ft^3/year)",(G85*DEFAULTS!$B$57),IF(H$8="(av ft^3/min)",(G85*DEFAULTS!$B$57/DEFAULTS!$B$58),0)))</f>
        <v>0</v>
      </c>
      <c r="I85" s="62">
        <f>IF(ISERROR(METHANE!$J99*DEFAULTS!$B$82*(IF('USER INPUTS'!$B$26="Total landfill gas",(1/($D$5/100)),IF('USER INPUTS'!$B$26="Methane",1,IF('USER INPUTS'!$B$26="Carbon dioxide",((1/($D$5/100))-1),(VLOOKUP('USER INPUTS'!$B$26,DEFAULTS!$E$8:$F$69,2,FALSE))/10^6*(1/($D$5/100))))))),0,METHANE!$J99*DEFAULTS!$B$82*(IF('USER INPUTS'!$B$26="Total landfill gas",(1/($D$5/100)),IF('USER INPUTS'!$B$26="Methane",1,IF('USER INPUTS'!$B$26="Carbon dioxide",((1/($D$5/100))-1),(VLOOKUP('USER INPUTS'!$B$26,DEFAULTS!$E$8:$F$69,2,FALSE))/10^6*(1/($D$5/100)))))))</f>
        <v>0</v>
      </c>
      <c r="J85" s="62">
        <f>IF(ISERROR(METHANE!$J99*(IF('USER INPUTS'!$B$26="Total landfill gas",(1/($D$5/100)),IF('USER INPUTS'!$B$26="Methane",1,IF('USER INPUTS'!$B$26="Carbon dioxide",((1/($D$5/100))-1),(VLOOKUP('USER INPUTS'!$B$26,DEFAULTS!$E$8:$F$69,2,FALSE))/10^6*(1/($D$5/100))))))),0,METHANE!$J99*(IF('USER INPUTS'!$B$26="Total landfill gas",(1/($D$5/100)),IF('USER INPUTS'!$B$26="Methane",1,IF('USER INPUTS'!$B$26="Carbon dioxide",((1/($D$5/100))-1),(VLOOKUP('USER INPUTS'!$B$26,DEFAULTS!$E$8:$F$69,2,FALSE))/10^6*(1/($D$5/100)))))))</f>
        <v>0</v>
      </c>
      <c r="K85" s="62">
        <f>IF(K$8="(short tons/year)",(I85*DEFAULTS!$B$55*DEFAULTS!$B$53/DEFAULTS!$B$54),IF(K$8="(ft^3/year)",(J85*DEFAULTS!$B$57),IF(K$8="(av ft^3/min)",(J85*DEFAULTS!$B$57/DEFAULTS!$B$58),0)))</f>
        <v>0</v>
      </c>
      <c r="L85" s="62">
        <f>IF(ISERROR(METHANE!$J99*DEFAULTS!$B$83*(IF('USER INPUTS'!$B$28="Total landfill gas",(1/($D$5/100)),IF('USER INPUTS'!$B$28="Methane",1,IF('USER INPUTS'!$B$28="Carbon dioxide",((1/($D$5/100))-1),(VLOOKUP('USER INPUTS'!$B$28,DEFAULTS!$E$8:$F$69,2,FALSE))/10^6*(1/($D$5/100))))))),0,METHANE!$J99*DEFAULTS!$B$83*(IF('USER INPUTS'!$B$28="Total landfill gas",(1/($D$5/100)),IF('USER INPUTS'!$B$28="Methane",1,IF('USER INPUTS'!$B$28="Carbon dioxide",((1/($D$5/100))-1),(VLOOKUP('USER INPUTS'!$B$28,DEFAULTS!$E$8:$F$69,2,FALSE))/10^6*(1/($D$5/100)))))))</f>
        <v>6839.2434629879044</v>
      </c>
      <c r="M85" s="62">
        <f>IF(ISERROR(METHANE!$J99*(IF('USER INPUTS'!$B$28="Total landfill gas",(1/($D$5/100)),IF('USER INPUTS'!$B$28="Methane",1,IF('USER INPUTS'!$B$28="Carbon dioxide",((1/($D$5/100))-1),(VLOOKUP('USER INPUTS'!$B$28,DEFAULTS!$E$8:$F$69,2,FALSE))/10^6*(1/($D$5/100))))))),0,METHANE!$J99*(IF('USER INPUTS'!$B$28="Total landfill gas",(1/($D$5/100)),IF('USER INPUTS'!$B$28="Methane",1,IF('USER INPUTS'!$B$28="Carbon dioxide",((1/($D$5/100))-1),(VLOOKUP('USER INPUTS'!$B$28,DEFAULTS!$E$8:$F$69,2,FALSE))/10^6*(1/($D$5/100)))))))</f>
        <v>3736273.1388424709</v>
      </c>
      <c r="N85" s="62">
        <f>IF(N$8="(short tons/year)",(L85*DEFAULTS!$B$55*DEFAULTS!$B$53/DEFAULTS!$B$54),IF(N$8="(ft^3/year)",(M85*DEFAULTS!$B$57),IF(N$8="(av ft^3/min)",(M85*DEFAULTS!$B$57/DEFAULTS!$B$58),0)))</f>
        <v>251.03973724928053</v>
      </c>
      <c r="O85" s="62">
        <f>IF(ISERROR(METHANE!$J99*DEFAULTS!$B$84*(IF('USER INPUTS'!$B$30="Total landfill gas",(1/($D$5/100)),IF('USER INPUTS'!$B$30="Methane",1,IF('USER INPUTS'!$B$30="Carbon dioxide",((1/($D$5/100))-1),(VLOOKUP('USER INPUTS'!$B$30,DEFAULTS!$E$8:$F$69,2,FALSE))/10^6*(1/($D$5/100))))))),0,METHANE!$J99*DEFAULTS!$B$84*(IF('USER INPUTS'!$B$30="Total landfill gas",(1/($D$5/100)),IF('USER INPUTS'!$B$30="Methane",1,IF('USER INPUTS'!$B$30="Carbon dioxide",((1/($D$5/100))-1),(VLOOKUP('USER INPUTS'!$B$30,DEFAULTS!$E$8:$F$69,2,FALSE))/10^6*(1/($D$5/100)))))))</f>
        <v>0</v>
      </c>
      <c r="P85" s="62">
        <f>IF(ISERROR(METHANE!$J99*(IF('USER INPUTS'!$B$30="Total landfill gas",(1/($D$5/100)),IF('USER INPUTS'!$B$30="Methane",1,IF('USER INPUTS'!$B$30="Carbon dioxide",((1/($D$5/100))-1),(VLOOKUP('USER INPUTS'!$B$30,DEFAULTS!$E$8:$F$69,2,FALSE))/10^6*(1/($D$5/100))))))),0,METHANE!$J99*(IF('USER INPUTS'!$B$30="Total landfill gas",(1/($D$5/100)),IF('USER INPUTS'!$B$30="Methane",1,IF('USER INPUTS'!$B$30="Carbon dioxide",((1/($D$5/100))-1),(VLOOKUP('USER INPUTS'!$B$30,DEFAULTS!$E$8:$F$69,2,FALSE))/10^6*(1/($D$5/100)))))))</f>
        <v>0</v>
      </c>
      <c r="Q85" s="162">
        <f>IF(Q$8="(short tons/year)",(O85*DEFAULTS!$B$55*DEFAULTS!$B$53/DEFAULTS!$B$54),IF(Q$8="(ft^3/year)",(P85*DEFAULTS!$B$57),IF(Q$8="(av ft^3/min)",(P85*DEFAULTS!$B$57/DEFAULTS!$B$58),0)))</f>
        <v>0</v>
      </c>
    </row>
    <row r="86" spans="1:17">
      <c r="A86" s="68">
        <f>METHANE!I100</f>
        <v>2095</v>
      </c>
      <c r="B86" s="66">
        <f>IF(METHANE!E100&gt;0,METHANE!E100,0)</f>
        <v>0</v>
      </c>
      <c r="C86" s="66">
        <f>IF(METHANE!E100&gt;0,METHANE!E100*DEFAULTS!$B$55*DEFAULTS!$B$53/DEFAULTS!$B$54,0)</f>
        <v>0</v>
      </c>
      <c r="D86" s="66">
        <f>IF(METHANE!F100&gt;0,METHANE!F100,0)</f>
        <v>12946986</v>
      </c>
      <c r="E86" s="66">
        <f>IF(METHANE!F100&gt;0,METHANE!F100*DEFAULTS!$B$55*DEFAULTS!$B$53/DEFAULTS!$B$54,0)</f>
        <v>14241684.6</v>
      </c>
      <c r="F86" s="62">
        <f>IF(ISERROR(METHANE!$J100*DEFAULTS!$B$81*(IF('USER INPUTS'!$B$24="Total landfill gas",(1/($D$5/100)),IF('USER INPUTS'!$B$24="Methane",1,IF('USER INPUTS'!$B$24="Carbon dioxide",((1/($D$5/100))-1),(VLOOKUP('USER INPUTS'!$B$24,DEFAULTS!$E$8:$F$69,2,FALSE))/10^6*(1/($D$5/100))))))),0,METHANE!$J100*DEFAULTS!$B$81*(IF('USER INPUTS'!$B$24="Total landfill gas",(1/($D$5/100)),IF('USER INPUTS'!$B$24="Methane",1,IF('USER INPUTS'!$B$24="Carbon dioxide",((1/($D$5/100))-1),(VLOOKUP('USER INPUTS'!$B$24,DEFAULTS!$E$8:$F$69,2,FALSE))/10^6*(1/($D$5/100)))))))</f>
        <v>0</v>
      </c>
      <c r="G86" s="62">
        <f>IF(ISERROR(METHANE!$J100*(IF('USER INPUTS'!$B$24="Total landfill gas",(1/($D$5/100)),IF('USER INPUTS'!$B$24="Methane",1,IF('USER INPUTS'!$B$24="Carbon dioxide",((1/($D$5/100))-1),(VLOOKUP('USER INPUTS'!$B$24,DEFAULTS!$E$8:$F$69,2,FALSE))/10^6*(1/($D$5/100))))))),0,METHANE!$J100*(IF('USER INPUTS'!$B$24="Total landfill gas",(1/($D$5/100)),IF('USER INPUTS'!$B$24="Methane",1,IF('USER INPUTS'!$B$24="Carbon dioxide",((1/($D$5/100))-1),(VLOOKUP('USER INPUTS'!$B$24,DEFAULTS!$E$8:$F$69,2,FALSE))/10^6*(1/($D$5/100)))))))</f>
        <v>0</v>
      </c>
      <c r="H86" s="62">
        <f>IF(H$8="(short tons/year)",(F86*DEFAULTS!$B$55*DEFAULTS!$B$53/DEFAULTS!$B$54),IF(H$8="(ft^3/year)",(G86*DEFAULTS!$B$57),IF(H$8="(av ft^3/min)",(G86*DEFAULTS!$B$57/DEFAULTS!$B$58),0)))</f>
        <v>0</v>
      </c>
      <c r="I86" s="62">
        <f>IF(ISERROR(METHANE!$J100*DEFAULTS!$B$82*(IF('USER INPUTS'!$B$26="Total landfill gas",(1/($D$5/100)),IF('USER INPUTS'!$B$26="Methane",1,IF('USER INPUTS'!$B$26="Carbon dioxide",((1/($D$5/100))-1),(VLOOKUP('USER INPUTS'!$B$26,DEFAULTS!$E$8:$F$69,2,FALSE))/10^6*(1/($D$5/100))))))),0,METHANE!$J100*DEFAULTS!$B$82*(IF('USER INPUTS'!$B$26="Total landfill gas",(1/($D$5/100)),IF('USER INPUTS'!$B$26="Methane",1,IF('USER INPUTS'!$B$26="Carbon dioxide",((1/($D$5/100))-1),(VLOOKUP('USER INPUTS'!$B$26,DEFAULTS!$E$8:$F$69,2,FALSE))/10^6*(1/($D$5/100)))))))</f>
        <v>0</v>
      </c>
      <c r="J86" s="62">
        <f>IF(ISERROR(METHANE!$J100*(IF('USER INPUTS'!$B$26="Total landfill gas",(1/($D$5/100)),IF('USER INPUTS'!$B$26="Methane",1,IF('USER INPUTS'!$B$26="Carbon dioxide",((1/($D$5/100))-1),(VLOOKUP('USER INPUTS'!$B$26,DEFAULTS!$E$8:$F$69,2,FALSE))/10^6*(1/($D$5/100))))))),0,METHANE!$J100*(IF('USER INPUTS'!$B$26="Total landfill gas",(1/($D$5/100)),IF('USER INPUTS'!$B$26="Methane",1,IF('USER INPUTS'!$B$26="Carbon dioxide",((1/($D$5/100))-1),(VLOOKUP('USER INPUTS'!$B$26,DEFAULTS!$E$8:$F$69,2,FALSE))/10^6*(1/($D$5/100)))))))</f>
        <v>0</v>
      </c>
      <c r="K86" s="62">
        <f>IF(K$8="(short tons/year)",(I86*DEFAULTS!$B$55*DEFAULTS!$B$53/DEFAULTS!$B$54),IF(K$8="(ft^3/year)",(J86*DEFAULTS!$B$57),IF(K$8="(av ft^3/min)",(J86*DEFAULTS!$B$57/DEFAULTS!$B$58),0)))</f>
        <v>0</v>
      </c>
      <c r="L86" s="62">
        <f>IF(ISERROR(METHANE!$J100*DEFAULTS!$B$83*(IF('USER INPUTS'!$B$28="Total landfill gas",(1/($D$5/100)),IF('USER INPUTS'!$B$28="Methane",1,IF('USER INPUTS'!$B$28="Carbon dioxide",((1/($D$5/100))-1),(VLOOKUP('USER INPUTS'!$B$28,DEFAULTS!$E$8:$F$69,2,FALSE))/10^6*(1/($D$5/100))))))),0,METHANE!$J100*DEFAULTS!$B$83*(IF('USER INPUTS'!$B$28="Total landfill gas",(1/($D$5/100)),IF('USER INPUTS'!$B$28="Methane",1,IF('USER INPUTS'!$B$28="Carbon dioxide",((1/($D$5/100))-1),(VLOOKUP('USER INPUTS'!$B$28,DEFAULTS!$E$8:$F$69,2,FALSE))/10^6*(1/($D$5/100)))))))</f>
        <v>6571.0728910303378</v>
      </c>
      <c r="M86" s="62">
        <f>IF(ISERROR(METHANE!$J100*(IF('USER INPUTS'!$B$28="Total landfill gas",(1/($D$5/100)),IF('USER INPUTS'!$B$28="Methane",1,IF('USER INPUTS'!$B$28="Carbon dioxide",((1/($D$5/100))-1),(VLOOKUP('USER INPUTS'!$B$28,DEFAULTS!$E$8:$F$69,2,FALSE))/10^6*(1/($D$5/100))))))),0,METHANE!$J100*(IF('USER INPUTS'!$B$28="Total landfill gas",(1/($D$5/100)),IF('USER INPUTS'!$B$28="Methane",1,IF('USER INPUTS'!$B$28="Carbon dioxide",((1/($D$5/100))-1),(VLOOKUP('USER INPUTS'!$B$28,DEFAULTS!$E$8:$F$69,2,FALSE))/10^6*(1/($D$5/100)))))))</f>
        <v>3589771.7735883463</v>
      </c>
      <c r="N86" s="62">
        <f>IF(N$8="(short tons/year)",(L86*DEFAULTS!$B$55*DEFAULTS!$B$53/DEFAULTS!$B$54),IF(N$8="(ft^3/year)",(M86*DEFAULTS!$B$57),IF(N$8="(av ft^3/min)",(M86*DEFAULTS!$B$57/DEFAULTS!$B$58),0)))</f>
        <v>241.19632835668273</v>
      </c>
      <c r="O86" s="62">
        <f>IF(ISERROR(METHANE!$J100*DEFAULTS!$B$84*(IF('USER INPUTS'!$B$30="Total landfill gas",(1/($D$5/100)),IF('USER INPUTS'!$B$30="Methane",1,IF('USER INPUTS'!$B$30="Carbon dioxide",((1/($D$5/100))-1),(VLOOKUP('USER INPUTS'!$B$30,DEFAULTS!$E$8:$F$69,2,FALSE))/10^6*(1/($D$5/100))))))),0,METHANE!$J100*DEFAULTS!$B$84*(IF('USER INPUTS'!$B$30="Total landfill gas",(1/($D$5/100)),IF('USER INPUTS'!$B$30="Methane",1,IF('USER INPUTS'!$B$30="Carbon dioxide",((1/($D$5/100))-1),(VLOOKUP('USER INPUTS'!$B$30,DEFAULTS!$E$8:$F$69,2,FALSE))/10^6*(1/($D$5/100)))))))</f>
        <v>0</v>
      </c>
      <c r="P86" s="62">
        <f>IF(ISERROR(METHANE!$J100*(IF('USER INPUTS'!$B$30="Total landfill gas",(1/($D$5/100)),IF('USER INPUTS'!$B$30="Methane",1,IF('USER INPUTS'!$B$30="Carbon dioxide",((1/($D$5/100))-1),(VLOOKUP('USER INPUTS'!$B$30,DEFAULTS!$E$8:$F$69,2,FALSE))/10^6*(1/($D$5/100))))))),0,METHANE!$J100*(IF('USER INPUTS'!$B$30="Total landfill gas",(1/($D$5/100)),IF('USER INPUTS'!$B$30="Methane",1,IF('USER INPUTS'!$B$30="Carbon dioxide",((1/($D$5/100))-1),(VLOOKUP('USER INPUTS'!$B$30,DEFAULTS!$E$8:$F$69,2,FALSE))/10^6*(1/($D$5/100)))))))</f>
        <v>0</v>
      </c>
      <c r="Q86" s="162">
        <f>IF(Q$8="(short tons/year)",(O86*DEFAULTS!$B$55*DEFAULTS!$B$53/DEFAULTS!$B$54),IF(Q$8="(ft^3/year)",(P86*DEFAULTS!$B$57),IF(Q$8="(av ft^3/min)",(P86*DEFAULTS!$B$57/DEFAULTS!$B$58),0)))</f>
        <v>0</v>
      </c>
    </row>
    <row r="87" spans="1:17">
      <c r="A87" s="68">
        <f>METHANE!I101</f>
        <v>2096</v>
      </c>
      <c r="B87" s="66">
        <f>IF(METHANE!E101&gt;0,METHANE!E101,0)</f>
        <v>0</v>
      </c>
      <c r="C87" s="66">
        <f>IF(METHANE!E101&gt;0,METHANE!E101*DEFAULTS!$B$55*DEFAULTS!$B$53/DEFAULTS!$B$54,0)</f>
        <v>0</v>
      </c>
      <c r="D87" s="66">
        <f>IF(METHANE!F101&gt;0,METHANE!F101,0)</f>
        <v>12946986</v>
      </c>
      <c r="E87" s="66">
        <f>IF(METHANE!F101&gt;0,METHANE!F101*DEFAULTS!$B$55*DEFAULTS!$B$53/DEFAULTS!$B$54,0)</f>
        <v>14241684.6</v>
      </c>
      <c r="F87" s="62">
        <f>IF(ISERROR(METHANE!$J101*DEFAULTS!$B$81*(IF('USER INPUTS'!$B$24="Total landfill gas",(1/($D$5/100)),IF('USER INPUTS'!$B$24="Methane",1,IF('USER INPUTS'!$B$24="Carbon dioxide",((1/($D$5/100))-1),(VLOOKUP('USER INPUTS'!$B$24,DEFAULTS!$E$8:$F$69,2,FALSE))/10^6*(1/($D$5/100))))))),0,METHANE!$J101*DEFAULTS!$B$81*(IF('USER INPUTS'!$B$24="Total landfill gas",(1/($D$5/100)),IF('USER INPUTS'!$B$24="Methane",1,IF('USER INPUTS'!$B$24="Carbon dioxide",((1/($D$5/100))-1),(VLOOKUP('USER INPUTS'!$B$24,DEFAULTS!$E$8:$F$69,2,FALSE))/10^6*(1/($D$5/100)))))))</f>
        <v>0</v>
      </c>
      <c r="G87" s="62">
        <f>IF(ISERROR(METHANE!$J101*(IF('USER INPUTS'!$B$24="Total landfill gas",(1/($D$5/100)),IF('USER INPUTS'!$B$24="Methane",1,IF('USER INPUTS'!$B$24="Carbon dioxide",((1/($D$5/100))-1),(VLOOKUP('USER INPUTS'!$B$24,DEFAULTS!$E$8:$F$69,2,FALSE))/10^6*(1/($D$5/100))))))),0,METHANE!$J101*(IF('USER INPUTS'!$B$24="Total landfill gas",(1/($D$5/100)),IF('USER INPUTS'!$B$24="Methane",1,IF('USER INPUTS'!$B$24="Carbon dioxide",((1/($D$5/100))-1),(VLOOKUP('USER INPUTS'!$B$24,DEFAULTS!$E$8:$F$69,2,FALSE))/10^6*(1/($D$5/100)))))))</f>
        <v>0</v>
      </c>
      <c r="H87" s="62">
        <f>IF(H$8="(short tons/year)",(F87*DEFAULTS!$B$55*DEFAULTS!$B$53/DEFAULTS!$B$54),IF(H$8="(ft^3/year)",(G87*DEFAULTS!$B$57),IF(H$8="(av ft^3/min)",(G87*DEFAULTS!$B$57/DEFAULTS!$B$58),0)))</f>
        <v>0</v>
      </c>
      <c r="I87" s="62">
        <f>IF(ISERROR(METHANE!$J101*DEFAULTS!$B$82*(IF('USER INPUTS'!$B$26="Total landfill gas",(1/($D$5/100)),IF('USER INPUTS'!$B$26="Methane",1,IF('USER INPUTS'!$B$26="Carbon dioxide",((1/($D$5/100))-1),(VLOOKUP('USER INPUTS'!$B$26,DEFAULTS!$E$8:$F$69,2,FALSE))/10^6*(1/($D$5/100))))))),0,METHANE!$J101*DEFAULTS!$B$82*(IF('USER INPUTS'!$B$26="Total landfill gas",(1/($D$5/100)),IF('USER INPUTS'!$B$26="Methane",1,IF('USER INPUTS'!$B$26="Carbon dioxide",((1/($D$5/100))-1),(VLOOKUP('USER INPUTS'!$B$26,DEFAULTS!$E$8:$F$69,2,FALSE))/10^6*(1/($D$5/100)))))))</f>
        <v>0</v>
      </c>
      <c r="J87" s="62">
        <f>IF(ISERROR(METHANE!$J101*(IF('USER INPUTS'!$B$26="Total landfill gas",(1/($D$5/100)),IF('USER INPUTS'!$B$26="Methane",1,IF('USER INPUTS'!$B$26="Carbon dioxide",((1/($D$5/100))-1),(VLOOKUP('USER INPUTS'!$B$26,DEFAULTS!$E$8:$F$69,2,FALSE))/10^6*(1/($D$5/100))))))),0,METHANE!$J101*(IF('USER INPUTS'!$B$26="Total landfill gas",(1/($D$5/100)),IF('USER INPUTS'!$B$26="Methane",1,IF('USER INPUTS'!$B$26="Carbon dioxide",((1/($D$5/100))-1),(VLOOKUP('USER INPUTS'!$B$26,DEFAULTS!$E$8:$F$69,2,FALSE))/10^6*(1/($D$5/100)))))))</f>
        <v>0</v>
      </c>
      <c r="K87" s="62">
        <f>IF(K$8="(short tons/year)",(I87*DEFAULTS!$B$55*DEFAULTS!$B$53/DEFAULTS!$B$54),IF(K$8="(ft^3/year)",(J87*DEFAULTS!$B$57),IF(K$8="(av ft^3/min)",(J87*DEFAULTS!$B$57/DEFAULTS!$B$58),0)))</f>
        <v>0</v>
      </c>
      <c r="L87" s="62">
        <f>IF(ISERROR(METHANE!$J101*DEFAULTS!$B$83*(IF('USER INPUTS'!$B$28="Total landfill gas",(1/($D$5/100)),IF('USER INPUTS'!$B$28="Methane",1,IF('USER INPUTS'!$B$28="Carbon dioxide",((1/($D$5/100))-1),(VLOOKUP('USER INPUTS'!$B$28,DEFAULTS!$E$8:$F$69,2,FALSE))/10^6*(1/($D$5/100))))))),0,METHANE!$J101*DEFAULTS!$B$83*(IF('USER INPUTS'!$B$28="Total landfill gas",(1/($D$5/100)),IF('USER INPUTS'!$B$28="Methane",1,IF('USER INPUTS'!$B$28="Carbon dioxide",((1/($D$5/100))-1),(VLOOKUP('USER INPUTS'!$B$28,DEFAULTS!$E$8:$F$69,2,FALSE))/10^6*(1/($D$5/100)))))))</f>
        <v>6313.4174376020756</v>
      </c>
      <c r="M87" s="62">
        <f>IF(ISERROR(METHANE!$J101*(IF('USER INPUTS'!$B$28="Total landfill gas",(1/($D$5/100)),IF('USER INPUTS'!$B$28="Methane",1,IF('USER INPUTS'!$B$28="Carbon dioxide",((1/($D$5/100))-1),(VLOOKUP('USER INPUTS'!$B$28,DEFAULTS!$E$8:$F$69,2,FALSE))/10^6*(1/($D$5/100))))))),0,METHANE!$J101*(IF('USER INPUTS'!$B$28="Total landfill gas",(1/($D$5/100)),IF('USER INPUTS'!$B$28="Methane",1,IF('USER INPUTS'!$B$28="Carbon dioxide",((1/($D$5/100))-1),(VLOOKUP('USER INPUTS'!$B$28,DEFAULTS!$E$8:$F$69,2,FALSE))/10^6*(1/($D$5/100)))))))</f>
        <v>3449014.8090307885</v>
      </c>
      <c r="N87" s="62">
        <f>IF(N$8="(short tons/year)",(L87*DEFAULTS!$B$55*DEFAULTS!$B$53/DEFAULTS!$B$54),IF(N$8="(ft^3/year)",(M87*DEFAULTS!$B$57),IF(N$8="(av ft^3/min)",(M87*DEFAULTS!$B$57/DEFAULTS!$B$58),0)))</f>
        <v>231.73888504741683</v>
      </c>
      <c r="O87" s="62">
        <f>IF(ISERROR(METHANE!$J101*DEFAULTS!$B$84*(IF('USER INPUTS'!$B$30="Total landfill gas",(1/($D$5/100)),IF('USER INPUTS'!$B$30="Methane",1,IF('USER INPUTS'!$B$30="Carbon dioxide",((1/($D$5/100))-1),(VLOOKUP('USER INPUTS'!$B$30,DEFAULTS!$E$8:$F$69,2,FALSE))/10^6*(1/($D$5/100))))))),0,METHANE!$J101*DEFAULTS!$B$84*(IF('USER INPUTS'!$B$30="Total landfill gas",(1/($D$5/100)),IF('USER INPUTS'!$B$30="Methane",1,IF('USER INPUTS'!$B$30="Carbon dioxide",((1/($D$5/100))-1),(VLOOKUP('USER INPUTS'!$B$30,DEFAULTS!$E$8:$F$69,2,FALSE))/10^6*(1/($D$5/100)))))))</f>
        <v>0</v>
      </c>
      <c r="P87" s="62">
        <f>IF(ISERROR(METHANE!$J101*(IF('USER INPUTS'!$B$30="Total landfill gas",(1/($D$5/100)),IF('USER INPUTS'!$B$30="Methane",1,IF('USER INPUTS'!$B$30="Carbon dioxide",((1/($D$5/100))-1),(VLOOKUP('USER INPUTS'!$B$30,DEFAULTS!$E$8:$F$69,2,FALSE))/10^6*(1/($D$5/100))))))),0,METHANE!$J101*(IF('USER INPUTS'!$B$30="Total landfill gas",(1/($D$5/100)),IF('USER INPUTS'!$B$30="Methane",1,IF('USER INPUTS'!$B$30="Carbon dioxide",((1/($D$5/100))-1),(VLOOKUP('USER INPUTS'!$B$30,DEFAULTS!$E$8:$F$69,2,FALSE))/10^6*(1/($D$5/100)))))))</f>
        <v>0</v>
      </c>
      <c r="Q87" s="162">
        <f>IF(Q$8="(short tons/year)",(O87*DEFAULTS!$B$55*DEFAULTS!$B$53/DEFAULTS!$B$54),IF(Q$8="(ft^3/year)",(P87*DEFAULTS!$B$57),IF(Q$8="(av ft^3/min)",(P87*DEFAULTS!$B$57/DEFAULTS!$B$58),0)))</f>
        <v>0</v>
      </c>
    </row>
    <row r="88" spans="1:17">
      <c r="A88" s="68">
        <f>METHANE!I102</f>
        <v>2097</v>
      </c>
      <c r="B88" s="66">
        <f>IF(METHANE!E102&gt;0,METHANE!E102,0)</f>
        <v>0</v>
      </c>
      <c r="C88" s="66">
        <f>IF(METHANE!E102&gt;0,METHANE!E102*DEFAULTS!$B$55*DEFAULTS!$B$53/DEFAULTS!$B$54,0)</f>
        <v>0</v>
      </c>
      <c r="D88" s="66">
        <f>IF(METHANE!F102&gt;0,METHANE!F102,0)</f>
        <v>12946986</v>
      </c>
      <c r="E88" s="66">
        <f>IF(METHANE!F102&gt;0,METHANE!F102*DEFAULTS!$B$55*DEFAULTS!$B$53/DEFAULTS!$B$54,0)</f>
        <v>14241684.6</v>
      </c>
      <c r="F88" s="62">
        <f>IF(ISERROR(METHANE!$J102*DEFAULTS!$B$81*(IF('USER INPUTS'!$B$24="Total landfill gas",(1/($D$5/100)),IF('USER INPUTS'!$B$24="Methane",1,IF('USER INPUTS'!$B$24="Carbon dioxide",((1/($D$5/100))-1),(VLOOKUP('USER INPUTS'!$B$24,DEFAULTS!$E$8:$F$69,2,FALSE))/10^6*(1/($D$5/100))))))),0,METHANE!$J102*DEFAULTS!$B$81*(IF('USER INPUTS'!$B$24="Total landfill gas",(1/($D$5/100)),IF('USER INPUTS'!$B$24="Methane",1,IF('USER INPUTS'!$B$24="Carbon dioxide",((1/($D$5/100))-1),(VLOOKUP('USER INPUTS'!$B$24,DEFAULTS!$E$8:$F$69,2,FALSE))/10^6*(1/($D$5/100)))))))</f>
        <v>0</v>
      </c>
      <c r="G88" s="62">
        <f>IF(ISERROR(METHANE!$J102*(IF('USER INPUTS'!$B$24="Total landfill gas",(1/($D$5/100)),IF('USER INPUTS'!$B$24="Methane",1,IF('USER INPUTS'!$B$24="Carbon dioxide",((1/($D$5/100))-1),(VLOOKUP('USER INPUTS'!$B$24,DEFAULTS!$E$8:$F$69,2,FALSE))/10^6*(1/($D$5/100))))))),0,METHANE!$J102*(IF('USER INPUTS'!$B$24="Total landfill gas",(1/($D$5/100)),IF('USER INPUTS'!$B$24="Methane",1,IF('USER INPUTS'!$B$24="Carbon dioxide",((1/($D$5/100))-1),(VLOOKUP('USER INPUTS'!$B$24,DEFAULTS!$E$8:$F$69,2,FALSE))/10^6*(1/($D$5/100)))))))</f>
        <v>0</v>
      </c>
      <c r="H88" s="62">
        <f>IF(H$8="(short tons/year)",(F88*DEFAULTS!$B$55*DEFAULTS!$B$53/DEFAULTS!$B$54),IF(H$8="(ft^3/year)",(G88*DEFAULTS!$B$57),IF(H$8="(av ft^3/min)",(G88*DEFAULTS!$B$57/DEFAULTS!$B$58),0)))</f>
        <v>0</v>
      </c>
      <c r="I88" s="62">
        <f>IF(ISERROR(METHANE!$J102*DEFAULTS!$B$82*(IF('USER INPUTS'!$B$26="Total landfill gas",(1/($D$5/100)),IF('USER INPUTS'!$B$26="Methane",1,IF('USER INPUTS'!$B$26="Carbon dioxide",((1/($D$5/100))-1),(VLOOKUP('USER INPUTS'!$B$26,DEFAULTS!$E$8:$F$69,2,FALSE))/10^6*(1/($D$5/100))))))),0,METHANE!$J102*DEFAULTS!$B$82*(IF('USER INPUTS'!$B$26="Total landfill gas",(1/($D$5/100)),IF('USER INPUTS'!$B$26="Methane",1,IF('USER INPUTS'!$B$26="Carbon dioxide",((1/($D$5/100))-1),(VLOOKUP('USER INPUTS'!$B$26,DEFAULTS!$E$8:$F$69,2,FALSE))/10^6*(1/($D$5/100)))))))</f>
        <v>0</v>
      </c>
      <c r="J88" s="62">
        <f>IF(ISERROR(METHANE!$J102*(IF('USER INPUTS'!$B$26="Total landfill gas",(1/($D$5/100)),IF('USER INPUTS'!$B$26="Methane",1,IF('USER INPUTS'!$B$26="Carbon dioxide",((1/($D$5/100))-1),(VLOOKUP('USER INPUTS'!$B$26,DEFAULTS!$E$8:$F$69,2,FALSE))/10^6*(1/($D$5/100))))))),0,METHANE!$J102*(IF('USER INPUTS'!$B$26="Total landfill gas",(1/($D$5/100)),IF('USER INPUTS'!$B$26="Methane",1,IF('USER INPUTS'!$B$26="Carbon dioxide",((1/($D$5/100))-1),(VLOOKUP('USER INPUTS'!$B$26,DEFAULTS!$E$8:$F$69,2,FALSE))/10^6*(1/($D$5/100)))))))</f>
        <v>0</v>
      </c>
      <c r="K88" s="62">
        <f>IF(K$8="(short tons/year)",(I88*DEFAULTS!$B$55*DEFAULTS!$B$53/DEFAULTS!$B$54),IF(K$8="(ft^3/year)",(J88*DEFAULTS!$B$57),IF(K$8="(av ft^3/min)",(J88*DEFAULTS!$B$57/DEFAULTS!$B$58),0)))</f>
        <v>0</v>
      </c>
      <c r="L88" s="62">
        <f>IF(ISERROR(METHANE!$J102*DEFAULTS!$B$83*(IF('USER INPUTS'!$B$28="Total landfill gas",(1/($D$5/100)),IF('USER INPUTS'!$B$28="Methane",1,IF('USER INPUTS'!$B$28="Carbon dioxide",((1/($D$5/100))-1),(VLOOKUP('USER INPUTS'!$B$28,DEFAULTS!$E$8:$F$69,2,FALSE))/10^6*(1/($D$5/100))))))),0,METHANE!$J102*DEFAULTS!$B$83*(IF('USER INPUTS'!$B$28="Total landfill gas",(1/($D$5/100)),IF('USER INPUTS'!$B$28="Methane",1,IF('USER INPUTS'!$B$28="Carbon dioxide",((1/($D$5/100))-1),(VLOOKUP('USER INPUTS'!$B$28,DEFAULTS!$E$8:$F$69,2,FALSE))/10^6*(1/($D$5/100)))))))</f>
        <v>6065.8647990081963</v>
      </c>
      <c r="M88" s="62">
        <f>IF(ISERROR(METHANE!$J102*(IF('USER INPUTS'!$B$28="Total landfill gas",(1/($D$5/100)),IF('USER INPUTS'!$B$28="Methane",1,IF('USER INPUTS'!$B$28="Carbon dioxide",((1/($D$5/100))-1),(VLOOKUP('USER INPUTS'!$B$28,DEFAULTS!$E$8:$F$69,2,FALSE))/10^6*(1/($D$5/100))))))),0,METHANE!$J102*(IF('USER INPUTS'!$B$28="Total landfill gas",(1/($D$5/100)),IF('USER INPUTS'!$B$28="Methane",1,IF('USER INPUTS'!$B$28="Carbon dioxide",((1/($D$5/100))-1),(VLOOKUP('USER INPUTS'!$B$28,DEFAULTS!$E$8:$F$69,2,FALSE))/10^6*(1/($D$5/100)))))))</f>
        <v>3313777.0039967489</v>
      </c>
      <c r="N88" s="62">
        <f>IF(N$8="(short tons/year)",(L88*DEFAULTS!$B$55*DEFAULTS!$B$53/DEFAULTS!$B$54),IF(N$8="(ft^3/year)",(M88*DEFAULTS!$B$57),IF(N$8="(av ft^3/min)",(M88*DEFAULTS!$B$57/DEFAULTS!$B$58),0)))</f>
        <v>222.65227339449234</v>
      </c>
      <c r="O88" s="62">
        <f>IF(ISERROR(METHANE!$J102*DEFAULTS!$B$84*(IF('USER INPUTS'!$B$30="Total landfill gas",(1/($D$5/100)),IF('USER INPUTS'!$B$30="Methane",1,IF('USER INPUTS'!$B$30="Carbon dioxide",((1/($D$5/100))-1),(VLOOKUP('USER INPUTS'!$B$30,DEFAULTS!$E$8:$F$69,2,FALSE))/10^6*(1/($D$5/100))))))),0,METHANE!$J102*DEFAULTS!$B$84*(IF('USER INPUTS'!$B$30="Total landfill gas",(1/($D$5/100)),IF('USER INPUTS'!$B$30="Methane",1,IF('USER INPUTS'!$B$30="Carbon dioxide",((1/($D$5/100))-1),(VLOOKUP('USER INPUTS'!$B$30,DEFAULTS!$E$8:$F$69,2,FALSE))/10^6*(1/($D$5/100)))))))</f>
        <v>0</v>
      </c>
      <c r="P88" s="62">
        <f>IF(ISERROR(METHANE!$J102*(IF('USER INPUTS'!$B$30="Total landfill gas",(1/($D$5/100)),IF('USER INPUTS'!$B$30="Methane",1,IF('USER INPUTS'!$B$30="Carbon dioxide",((1/($D$5/100))-1),(VLOOKUP('USER INPUTS'!$B$30,DEFAULTS!$E$8:$F$69,2,FALSE))/10^6*(1/($D$5/100))))))),0,METHANE!$J102*(IF('USER INPUTS'!$B$30="Total landfill gas",(1/($D$5/100)),IF('USER INPUTS'!$B$30="Methane",1,IF('USER INPUTS'!$B$30="Carbon dioxide",((1/($D$5/100))-1),(VLOOKUP('USER INPUTS'!$B$30,DEFAULTS!$E$8:$F$69,2,FALSE))/10^6*(1/($D$5/100)))))))</f>
        <v>0</v>
      </c>
      <c r="Q88" s="162">
        <f>IF(Q$8="(short tons/year)",(O88*DEFAULTS!$B$55*DEFAULTS!$B$53/DEFAULTS!$B$54),IF(Q$8="(ft^3/year)",(P88*DEFAULTS!$B$57),IF(Q$8="(av ft^3/min)",(P88*DEFAULTS!$B$57/DEFAULTS!$B$58),0)))</f>
        <v>0</v>
      </c>
    </row>
    <row r="89" spans="1:17">
      <c r="A89" s="68">
        <f>METHANE!I103</f>
        <v>2098</v>
      </c>
      <c r="B89" s="361">
        <v>0</v>
      </c>
      <c r="C89" s="361">
        <v>0</v>
      </c>
      <c r="D89" s="66">
        <f>IF(METHANE!F102&gt;0,METHANE!E102+METHANE!F102,0)</f>
        <v>12946986</v>
      </c>
      <c r="E89" s="364">
        <f>E88</f>
        <v>14241684.6</v>
      </c>
      <c r="F89" s="62">
        <f>IF(ISERROR(METHANE!$J103*DEFAULTS!$B$81*(IF('USER INPUTS'!$B$24="Total landfill gas",(1/($D$5/100)),IF('USER INPUTS'!$B$24="Methane",1,IF('USER INPUTS'!$B$24="Carbon dioxide",((1/($D$5/100))-1),(VLOOKUP('USER INPUTS'!$B$24,DEFAULTS!$E$8:$F$69,2,FALSE))/10^6*(1/($D$5/100))))))),0,METHANE!$J103*DEFAULTS!$B$81*(IF('USER INPUTS'!$B$24="Total landfill gas",(1/($D$5/100)),IF('USER INPUTS'!$B$24="Methane",1,IF('USER INPUTS'!$B$24="Carbon dioxide",((1/($D$5/100))-1),(VLOOKUP('USER INPUTS'!$B$24,DEFAULTS!$E$8:$F$69,2,FALSE))/10^6*(1/($D$5/100)))))))</f>
        <v>0</v>
      </c>
      <c r="G89" s="62">
        <f>IF(ISERROR(METHANE!$J103*(IF('USER INPUTS'!$B$24="Total landfill gas",(1/($D$5/100)),IF('USER INPUTS'!$B$24="Methane",1,IF('USER INPUTS'!$B$24="Carbon dioxide",((1/($D$5/100))-1),(VLOOKUP('USER INPUTS'!$B$24,DEFAULTS!$E$8:$F$69,2,FALSE))/10^6*(1/($D$5/100))))))),0,METHANE!$J103*(IF('USER INPUTS'!$B$24="Total landfill gas",(1/($D$5/100)),IF('USER INPUTS'!$B$24="Methane",1,IF('USER INPUTS'!$B$24="Carbon dioxide",((1/($D$5/100))-1),(VLOOKUP('USER INPUTS'!$B$24,DEFAULTS!$E$8:$F$69,2,FALSE))/10^6*(1/($D$5/100)))))))</f>
        <v>0</v>
      </c>
      <c r="H89" s="62">
        <f>IF(H$8="(short tons/year)",(F89*DEFAULTS!$B$55*DEFAULTS!$B$53/DEFAULTS!$B$54),IF(H$8="(ft^3/year)",(G89*DEFAULTS!$B$57),IF(H$8="(av ft^3/min)",(G89*DEFAULTS!$B$57/DEFAULTS!$B$58),0)))</f>
        <v>0</v>
      </c>
      <c r="I89" s="62">
        <f>IF(ISERROR(METHANE!$J103*DEFAULTS!$B$82*(IF('USER INPUTS'!$B$26="Total landfill gas",(1/($D$5/100)),IF('USER INPUTS'!$B$26="Methane",1,IF('USER INPUTS'!$B$26="Carbon dioxide",((1/($D$5/100))-1),(VLOOKUP('USER INPUTS'!$B$26,DEFAULTS!$E$8:$F$69,2,FALSE))/10^6*(1/($D$5/100))))))),0,METHANE!$J103*DEFAULTS!$B$82*(IF('USER INPUTS'!$B$26="Total landfill gas",(1/($D$5/100)),IF('USER INPUTS'!$B$26="Methane",1,IF('USER INPUTS'!$B$26="Carbon dioxide",((1/($D$5/100))-1),(VLOOKUP('USER INPUTS'!$B$26,DEFAULTS!$E$8:$F$69,2,FALSE))/10^6*(1/($D$5/100)))))))</f>
        <v>0</v>
      </c>
      <c r="J89" s="62">
        <f>IF(ISERROR(METHANE!$J103*(IF('USER INPUTS'!$B$26="Total landfill gas",(1/($D$5/100)),IF('USER INPUTS'!$B$26="Methane",1,IF('USER INPUTS'!$B$26="Carbon dioxide",((1/($D$5/100))-1),(VLOOKUP('USER INPUTS'!$B$26,DEFAULTS!$E$8:$F$69,2,FALSE))/10^6*(1/($D$5/100))))))),0,METHANE!$J103*(IF('USER INPUTS'!$B$26="Total landfill gas",(1/($D$5/100)),IF('USER INPUTS'!$B$26="Methane",1,IF('USER INPUTS'!$B$26="Carbon dioxide",((1/($D$5/100))-1),(VLOOKUP('USER INPUTS'!$B$26,DEFAULTS!$E$8:$F$69,2,FALSE))/10^6*(1/($D$5/100)))))))</f>
        <v>0</v>
      </c>
      <c r="K89" s="62">
        <f>IF(K$8="(short tons/year)",(I89*DEFAULTS!$B$55*DEFAULTS!$B$53/DEFAULTS!$B$54),IF(K$8="(ft^3/year)",(J89*DEFAULTS!$B$57),IF(K$8="(av ft^3/min)",(J89*DEFAULTS!$B$57/DEFAULTS!$B$58),0)))</f>
        <v>0</v>
      </c>
      <c r="L89" s="62">
        <f>IF(ISERROR(METHANE!$J103*DEFAULTS!$B$83*(IF('USER INPUTS'!$B$28="Total landfill gas",(1/($D$5/100)),IF('USER INPUTS'!$B$28="Methane",1,IF('USER INPUTS'!$B$28="Carbon dioxide",((1/($D$5/100))-1),(VLOOKUP('USER INPUTS'!$B$28,DEFAULTS!$E$8:$F$69,2,FALSE))/10^6*(1/($D$5/100))))))),0,METHANE!$J103*DEFAULTS!$B$83*(IF('USER INPUTS'!$B$28="Total landfill gas",(1/($D$5/100)),IF('USER INPUTS'!$B$28="Methane",1,IF('USER INPUTS'!$B$28="Carbon dioxide",((1/($D$5/100))-1),(VLOOKUP('USER INPUTS'!$B$28,DEFAULTS!$E$8:$F$69,2,FALSE))/10^6*(1/($D$5/100)))))))</f>
        <v>5828.0188382129036</v>
      </c>
      <c r="M89" s="62">
        <f>IF(ISERROR(METHANE!$J103*(IF('USER INPUTS'!$B$28="Total landfill gas",(1/($D$5/100)),IF('USER INPUTS'!$B$28="Methane",1,IF('USER INPUTS'!$B$28="Carbon dioxide",((1/($D$5/100))-1),(VLOOKUP('USER INPUTS'!$B$28,DEFAULTS!$E$8:$F$69,2,FALSE))/10^6*(1/($D$5/100))))))),0,METHANE!$J103*(IF('USER INPUTS'!$B$28="Total landfill gas",(1/($D$5/100)),IF('USER INPUTS'!$B$28="Methane",1,IF('USER INPUTS'!$B$28="Carbon dioxide",((1/($D$5/100))-1),(VLOOKUP('USER INPUTS'!$B$28,DEFAULTS!$E$8:$F$69,2,FALSE))/10^6*(1/($D$5/100)))))))</f>
        <v>3183841.9491459015</v>
      </c>
      <c r="N89" s="62">
        <f>IF(N$8="(short tons/year)",(L89*DEFAULTS!$B$55*DEFAULTS!$B$53/DEFAULTS!$B$54),IF(N$8="(ft^3/year)",(M89*DEFAULTS!$B$57),IF(N$8="(av ft^3/min)",(M89*DEFAULTS!$B$57/DEFAULTS!$B$58),0)))</f>
        <v>213.92195288068399</v>
      </c>
      <c r="O89" s="62">
        <f>IF(ISERROR(METHANE!$J103*DEFAULTS!$B$84*(IF('USER INPUTS'!$B$30="Total landfill gas",(1/($D$5/100)),IF('USER INPUTS'!$B$30="Methane",1,IF('USER INPUTS'!$B$30="Carbon dioxide",((1/($D$5/100))-1),(VLOOKUP('USER INPUTS'!$B$30,DEFAULTS!$E$8:$F$69,2,FALSE))/10^6*(1/($D$5/100))))))),0,METHANE!$J103*DEFAULTS!$B$84*(IF('USER INPUTS'!$B$30="Total landfill gas",(1/($D$5/100)),IF('USER INPUTS'!$B$30="Methane",1,IF('USER INPUTS'!$B$30="Carbon dioxide",((1/($D$5/100))-1),(VLOOKUP('USER INPUTS'!$B$30,DEFAULTS!$E$8:$F$69,2,FALSE))/10^6*(1/($D$5/100)))))))</f>
        <v>0</v>
      </c>
      <c r="P89" s="62">
        <f>IF(ISERROR(METHANE!$J103*(IF('USER INPUTS'!$B$30="Total landfill gas",(1/($D$5/100)),IF('USER INPUTS'!$B$30="Methane",1,IF('USER INPUTS'!$B$30="Carbon dioxide",((1/($D$5/100))-1),(VLOOKUP('USER INPUTS'!$B$30,DEFAULTS!$E$8:$F$69,2,FALSE))/10^6*(1/($D$5/100))))))),0,METHANE!$J103*(IF('USER INPUTS'!$B$30="Total landfill gas",(1/($D$5/100)),IF('USER INPUTS'!$B$30="Methane",1,IF('USER INPUTS'!$B$30="Carbon dioxide",((1/($D$5/100))-1),(VLOOKUP('USER INPUTS'!$B$30,DEFAULTS!$E$8:$F$69,2,FALSE))/10^6*(1/($D$5/100)))))))</f>
        <v>0</v>
      </c>
      <c r="Q89" s="162">
        <f>IF(Q$8="(short tons/year)",(O89*DEFAULTS!$B$55*DEFAULTS!$B$53/DEFAULTS!$B$54),IF(Q$8="(ft^3/year)",(P89*DEFAULTS!$B$57),IF(Q$8="(av ft^3/min)",(P89*DEFAULTS!$B$57/DEFAULTS!$B$58),0)))</f>
        <v>0</v>
      </c>
    </row>
    <row r="90" spans="1:17">
      <c r="A90" s="68">
        <f>METHANE!I104</f>
        <v>2099</v>
      </c>
      <c r="B90" s="361">
        <v>0</v>
      </c>
      <c r="C90" s="361">
        <v>0</v>
      </c>
      <c r="D90" s="364">
        <f>D89</f>
        <v>12946986</v>
      </c>
      <c r="E90" s="364">
        <f>E89</f>
        <v>14241684.6</v>
      </c>
      <c r="F90" s="62">
        <f>IF(ISERROR(METHANE!$J104*DEFAULTS!$B$81*(IF('USER INPUTS'!$B$24="Total landfill gas",(1/($D$5/100)),IF('USER INPUTS'!$B$24="Methane",1,IF('USER INPUTS'!$B$24="Carbon dioxide",((1/($D$5/100))-1),(VLOOKUP('USER INPUTS'!$B$24,DEFAULTS!$E$8:$F$69,2,FALSE))/10^6*(1/($D$5/100))))))),0,METHANE!$J104*DEFAULTS!$B$81*(IF('USER INPUTS'!$B$24="Total landfill gas",(1/($D$5/100)),IF('USER INPUTS'!$B$24="Methane",1,IF('USER INPUTS'!$B$24="Carbon dioxide",((1/($D$5/100))-1),(VLOOKUP('USER INPUTS'!$B$24,DEFAULTS!$E$8:$F$69,2,FALSE))/10^6*(1/($D$5/100)))))))</f>
        <v>0</v>
      </c>
      <c r="G90" s="62">
        <f>IF(ISERROR(METHANE!$J104*(IF('USER INPUTS'!$B$24="Total landfill gas",(1/($D$5/100)),IF('USER INPUTS'!$B$24="Methane",1,IF('USER INPUTS'!$B$24="Carbon dioxide",((1/($D$5/100))-1),(VLOOKUP('USER INPUTS'!$B$24,DEFAULTS!$E$8:$F$69,2,FALSE))/10^6*(1/($D$5/100))))))),0,METHANE!$J104*(IF('USER INPUTS'!$B$24="Total landfill gas",(1/($D$5/100)),IF('USER INPUTS'!$B$24="Methane",1,IF('USER INPUTS'!$B$24="Carbon dioxide",((1/($D$5/100))-1),(VLOOKUP('USER INPUTS'!$B$24,DEFAULTS!$E$8:$F$69,2,FALSE))/10^6*(1/($D$5/100)))))))</f>
        <v>0</v>
      </c>
      <c r="H90" s="62">
        <f>IF(H$8="(short tons/year)",(F90*DEFAULTS!$B$55*DEFAULTS!$B$53/DEFAULTS!$B$54),IF(H$8="(ft^3/year)",(G90*DEFAULTS!$B$57),IF(H$8="(av ft^3/min)",(G90*DEFAULTS!$B$57/DEFAULTS!$B$58),0)))</f>
        <v>0</v>
      </c>
      <c r="I90" s="62">
        <f>IF(ISERROR(METHANE!$J104*DEFAULTS!$B$82*(IF('USER INPUTS'!$B$26="Total landfill gas",(1/($D$5/100)),IF('USER INPUTS'!$B$26="Methane",1,IF('USER INPUTS'!$B$26="Carbon dioxide",((1/($D$5/100))-1),(VLOOKUP('USER INPUTS'!$B$26,DEFAULTS!$E$8:$F$69,2,FALSE))/10^6*(1/($D$5/100))))))),0,METHANE!$J104*DEFAULTS!$B$82*(IF('USER INPUTS'!$B$26="Total landfill gas",(1/($D$5/100)),IF('USER INPUTS'!$B$26="Methane",1,IF('USER INPUTS'!$B$26="Carbon dioxide",((1/($D$5/100))-1),(VLOOKUP('USER INPUTS'!$B$26,DEFAULTS!$E$8:$F$69,2,FALSE))/10^6*(1/($D$5/100)))))))</f>
        <v>0</v>
      </c>
      <c r="J90" s="62">
        <f>IF(ISERROR(METHANE!$J104*(IF('USER INPUTS'!$B$26="Total landfill gas",(1/($D$5/100)),IF('USER INPUTS'!$B$26="Methane",1,IF('USER INPUTS'!$B$26="Carbon dioxide",((1/($D$5/100))-1),(VLOOKUP('USER INPUTS'!$B$26,DEFAULTS!$E$8:$F$69,2,FALSE))/10^6*(1/($D$5/100))))))),0,METHANE!$J104*(IF('USER INPUTS'!$B$26="Total landfill gas",(1/($D$5/100)),IF('USER INPUTS'!$B$26="Methane",1,IF('USER INPUTS'!$B$26="Carbon dioxide",((1/($D$5/100))-1),(VLOOKUP('USER INPUTS'!$B$26,DEFAULTS!$E$8:$F$69,2,FALSE))/10^6*(1/($D$5/100)))))))</f>
        <v>0</v>
      </c>
      <c r="K90" s="62">
        <f>IF(K$8="(short tons/year)",(I90*DEFAULTS!$B$55*DEFAULTS!$B$53/DEFAULTS!$B$54),IF(K$8="(ft^3/year)",(J90*DEFAULTS!$B$57),IF(K$8="(av ft^3/min)",(J90*DEFAULTS!$B$57/DEFAULTS!$B$58),0)))</f>
        <v>0</v>
      </c>
      <c r="L90" s="62">
        <f>IF(ISERROR(METHANE!$J104*DEFAULTS!$B$83*(IF('USER INPUTS'!$B$28="Total landfill gas",(1/($D$5/100)),IF('USER INPUTS'!$B$28="Methane",1,IF('USER INPUTS'!$B$28="Carbon dioxide",((1/($D$5/100))-1),(VLOOKUP('USER INPUTS'!$B$28,DEFAULTS!$E$8:$F$69,2,FALSE))/10^6*(1/($D$5/100))))))),0,METHANE!$J104*DEFAULTS!$B$83*(IF('USER INPUTS'!$B$28="Total landfill gas",(1/($D$5/100)),IF('USER INPUTS'!$B$28="Methane",1,IF('USER INPUTS'!$B$28="Carbon dioxide",((1/($D$5/100))-1),(VLOOKUP('USER INPUTS'!$B$28,DEFAULTS!$E$8:$F$69,2,FALSE))/10^6*(1/($D$5/100)))))))</f>
        <v>5599.4989509357492</v>
      </c>
      <c r="M90" s="62">
        <f>IF(ISERROR(METHANE!$J104*(IF('USER INPUTS'!$B$28="Total landfill gas",(1/($D$5/100)),IF('USER INPUTS'!$B$28="Methane",1,IF('USER INPUTS'!$B$28="Carbon dioxide",((1/($D$5/100))-1),(VLOOKUP('USER INPUTS'!$B$28,DEFAULTS!$E$8:$F$69,2,FALSE))/10^6*(1/($D$5/100))))))),0,METHANE!$J104*(IF('USER INPUTS'!$B$28="Total landfill gas",(1/($D$5/100)),IF('USER INPUTS'!$B$28="Methane",1,IF('USER INPUTS'!$B$28="Carbon dioxide",((1/($D$5/100))-1),(VLOOKUP('USER INPUTS'!$B$28,DEFAULTS!$E$8:$F$69,2,FALSE))/10^6*(1/($D$5/100)))))))</f>
        <v>3059001.7206695299</v>
      </c>
      <c r="N90" s="62">
        <f>IF(N$8="(short tons/year)",(L90*DEFAULTS!$B$55*DEFAULTS!$B$53/DEFAULTS!$B$54),IF(N$8="(ft^3/year)",(M90*DEFAULTS!$B$57),IF(N$8="(av ft^3/min)",(M90*DEFAULTS!$B$57/DEFAULTS!$B$58),0)))</f>
        <v>205.53395313060207</v>
      </c>
      <c r="O90" s="62">
        <f>IF(ISERROR(METHANE!$J104*DEFAULTS!$B$84*(IF('USER INPUTS'!$B$30="Total landfill gas",(1/($D$5/100)),IF('USER INPUTS'!$B$30="Methane",1,IF('USER INPUTS'!$B$30="Carbon dioxide",((1/($D$5/100))-1),(VLOOKUP('USER INPUTS'!$B$30,DEFAULTS!$E$8:$F$69,2,FALSE))/10^6*(1/($D$5/100))))))),0,METHANE!$J104*DEFAULTS!$B$84*(IF('USER INPUTS'!$B$30="Total landfill gas",(1/($D$5/100)),IF('USER INPUTS'!$B$30="Methane",1,IF('USER INPUTS'!$B$30="Carbon dioxide",((1/($D$5/100))-1),(VLOOKUP('USER INPUTS'!$B$30,DEFAULTS!$E$8:$F$69,2,FALSE))/10^6*(1/($D$5/100)))))))</f>
        <v>0</v>
      </c>
      <c r="P90" s="62">
        <f>IF(ISERROR(METHANE!$J104*(IF('USER INPUTS'!$B$30="Total landfill gas",(1/($D$5/100)),IF('USER INPUTS'!$B$30="Methane",1,IF('USER INPUTS'!$B$30="Carbon dioxide",((1/($D$5/100))-1),(VLOOKUP('USER INPUTS'!$B$30,DEFAULTS!$E$8:$F$69,2,FALSE))/10^6*(1/($D$5/100))))))),0,METHANE!$J104*(IF('USER INPUTS'!$B$30="Total landfill gas",(1/($D$5/100)),IF('USER INPUTS'!$B$30="Methane",1,IF('USER INPUTS'!$B$30="Carbon dioxide",((1/($D$5/100))-1),(VLOOKUP('USER INPUTS'!$B$30,DEFAULTS!$E$8:$F$69,2,FALSE))/10^6*(1/($D$5/100)))))))</f>
        <v>0</v>
      </c>
      <c r="Q90" s="162">
        <f>IF(Q$8="(short tons/year)",(O90*DEFAULTS!$B$55*DEFAULTS!$B$53/DEFAULTS!$B$54),IF(Q$8="(ft^3/year)",(P90*DEFAULTS!$B$57),IF(Q$8="(av ft^3/min)",(P90*DEFAULTS!$B$57/DEFAULTS!$B$58),0)))</f>
        <v>0</v>
      </c>
    </row>
    <row r="91" spans="1:17">
      <c r="A91" s="68">
        <f>METHANE!I105</f>
        <v>2100</v>
      </c>
      <c r="B91" s="361">
        <v>0</v>
      </c>
      <c r="C91" s="361">
        <v>0</v>
      </c>
      <c r="D91" s="364">
        <f t="shared" ref="D91:D96" si="0">D90</f>
        <v>12946986</v>
      </c>
      <c r="E91" s="364">
        <f t="shared" ref="E91:E96" si="1">E90</f>
        <v>14241684.6</v>
      </c>
      <c r="F91" s="62">
        <f>IF(ISERROR(METHANE!$J105*DEFAULTS!$B$81*(IF('USER INPUTS'!$B$24="Total landfill gas",(1/($D$5/100)),IF('USER INPUTS'!$B$24="Methane",1,IF('USER INPUTS'!$B$24="Carbon dioxide",((1/($D$5/100))-1),(VLOOKUP('USER INPUTS'!$B$24,DEFAULTS!$E$8:$F$69,2,FALSE))/10^6*(1/($D$5/100))))))),0,METHANE!$J105*DEFAULTS!$B$81*(IF('USER INPUTS'!$B$24="Total landfill gas",(1/($D$5/100)),IF('USER INPUTS'!$B$24="Methane",1,IF('USER INPUTS'!$B$24="Carbon dioxide",((1/($D$5/100))-1),(VLOOKUP('USER INPUTS'!$B$24,DEFAULTS!$E$8:$F$69,2,FALSE))/10^6*(1/($D$5/100)))))))</f>
        <v>0</v>
      </c>
      <c r="G91" s="62">
        <f>IF(ISERROR(METHANE!$J105*(IF('USER INPUTS'!$B$24="Total landfill gas",(1/($D$5/100)),IF('USER INPUTS'!$B$24="Methane",1,IF('USER INPUTS'!$B$24="Carbon dioxide",((1/($D$5/100))-1),(VLOOKUP('USER INPUTS'!$B$24,DEFAULTS!$E$8:$F$69,2,FALSE))/10^6*(1/($D$5/100))))))),0,METHANE!$J105*(IF('USER INPUTS'!$B$24="Total landfill gas",(1/($D$5/100)),IF('USER INPUTS'!$B$24="Methane",1,IF('USER INPUTS'!$B$24="Carbon dioxide",((1/($D$5/100))-1),(VLOOKUP('USER INPUTS'!$B$24,DEFAULTS!$E$8:$F$69,2,FALSE))/10^6*(1/($D$5/100)))))))</f>
        <v>0</v>
      </c>
      <c r="H91" s="62">
        <f>IF(H$8="(short tons/year)",(F91*DEFAULTS!$B$55*DEFAULTS!$B$53/DEFAULTS!$B$54),IF(H$8="(ft^3/year)",(G91*DEFAULTS!$B$57),IF(H$8="(av ft^3/min)",(G91*DEFAULTS!$B$57/DEFAULTS!$B$58),0)))</f>
        <v>0</v>
      </c>
      <c r="I91" s="62">
        <f>IF(ISERROR(METHANE!$J105*DEFAULTS!$B$82*(IF('USER INPUTS'!$B$26="Total landfill gas",(1/($D$5/100)),IF('USER INPUTS'!$B$26="Methane",1,IF('USER INPUTS'!$B$26="Carbon dioxide",((1/($D$5/100))-1),(VLOOKUP('USER INPUTS'!$B$26,DEFAULTS!$E$8:$F$69,2,FALSE))/10^6*(1/($D$5/100))))))),0,METHANE!$J105*DEFAULTS!$B$82*(IF('USER INPUTS'!$B$26="Total landfill gas",(1/($D$5/100)),IF('USER INPUTS'!$B$26="Methane",1,IF('USER INPUTS'!$B$26="Carbon dioxide",((1/($D$5/100))-1),(VLOOKUP('USER INPUTS'!$B$26,DEFAULTS!$E$8:$F$69,2,FALSE))/10^6*(1/($D$5/100)))))))</f>
        <v>0</v>
      </c>
      <c r="J91" s="62">
        <f>IF(ISERROR(METHANE!$J105*(IF('USER INPUTS'!$B$26="Total landfill gas",(1/($D$5/100)),IF('USER INPUTS'!$B$26="Methane",1,IF('USER INPUTS'!$B$26="Carbon dioxide",((1/($D$5/100))-1),(VLOOKUP('USER INPUTS'!$B$26,DEFAULTS!$E$8:$F$69,2,FALSE))/10^6*(1/($D$5/100))))))),0,METHANE!$J105*(IF('USER INPUTS'!$B$26="Total landfill gas",(1/($D$5/100)),IF('USER INPUTS'!$B$26="Methane",1,IF('USER INPUTS'!$B$26="Carbon dioxide",((1/($D$5/100))-1),(VLOOKUP('USER INPUTS'!$B$26,DEFAULTS!$E$8:$F$69,2,FALSE))/10^6*(1/($D$5/100)))))))</f>
        <v>0</v>
      </c>
      <c r="K91" s="62">
        <f>IF(K$8="(short tons/year)",(I91*DEFAULTS!$B$55*DEFAULTS!$B$53/DEFAULTS!$B$54),IF(K$8="(ft^3/year)",(J91*DEFAULTS!$B$57),IF(K$8="(av ft^3/min)",(J91*DEFAULTS!$B$57/DEFAULTS!$B$58),0)))</f>
        <v>0</v>
      </c>
      <c r="L91" s="62">
        <f>IF(ISERROR(METHANE!$J105*DEFAULTS!$B$83*(IF('USER INPUTS'!$B$28="Total landfill gas",(1/($D$5/100)),IF('USER INPUTS'!$B$28="Methane",1,IF('USER INPUTS'!$B$28="Carbon dioxide",((1/($D$5/100))-1),(VLOOKUP('USER INPUTS'!$B$28,DEFAULTS!$E$8:$F$69,2,FALSE))/10^6*(1/($D$5/100))))))),0,METHANE!$J105*DEFAULTS!$B$83*(IF('USER INPUTS'!$B$28="Total landfill gas",(1/($D$5/100)),IF('USER INPUTS'!$B$28="Methane",1,IF('USER INPUTS'!$B$28="Carbon dioxide",((1/($D$5/100))-1),(VLOOKUP('USER INPUTS'!$B$28,DEFAULTS!$E$8:$F$69,2,FALSE))/10^6*(1/($D$5/100)))))))</f>
        <v>5379.9394566035835</v>
      </c>
      <c r="M91" s="62">
        <f>IF(ISERROR(METHANE!$J105*(IF('USER INPUTS'!$B$28="Total landfill gas",(1/($D$5/100)),IF('USER INPUTS'!$B$28="Methane",1,IF('USER INPUTS'!$B$28="Carbon dioxide",((1/($D$5/100))-1),(VLOOKUP('USER INPUTS'!$B$28,DEFAULTS!$E$8:$F$69,2,FALSE))/10^6*(1/($D$5/100))))))),0,METHANE!$J105*(IF('USER INPUTS'!$B$28="Total landfill gas",(1/($D$5/100)),IF('USER INPUTS'!$B$28="Methane",1,IF('USER INPUTS'!$B$28="Carbon dioxide",((1/($D$5/100))-1),(VLOOKUP('USER INPUTS'!$B$28,DEFAULTS!$E$8:$F$69,2,FALSE))/10^6*(1/($D$5/100)))))))</f>
        <v>2939056.5475680707</v>
      </c>
      <c r="N91" s="62">
        <f>IF(N$8="(short tons/year)",(L91*DEFAULTS!$B$55*DEFAULTS!$B$53/DEFAULTS!$B$54),IF(N$8="(ft^3/year)",(M91*DEFAULTS!$B$57),IF(N$8="(av ft^3/min)",(M91*DEFAULTS!$B$57/DEFAULTS!$B$58),0)))</f>
        <v>197.47485155511112</v>
      </c>
      <c r="O91" s="62">
        <f>IF(ISERROR(METHANE!$J105*DEFAULTS!$B$84*(IF('USER INPUTS'!$B$30="Total landfill gas",(1/($D$5/100)),IF('USER INPUTS'!$B$30="Methane",1,IF('USER INPUTS'!$B$30="Carbon dioxide",((1/($D$5/100))-1),(VLOOKUP('USER INPUTS'!$B$30,DEFAULTS!$E$8:$F$69,2,FALSE))/10^6*(1/($D$5/100))))))),0,METHANE!$J105*DEFAULTS!$B$84*(IF('USER INPUTS'!$B$30="Total landfill gas",(1/($D$5/100)),IF('USER INPUTS'!$B$30="Methane",1,IF('USER INPUTS'!$B$30="Carbon dioxide",((1/($D$5/100))-1),(VLOOKUP('USER INPUTS'!$B$30,DEFAULTS!$E$8:$F$69,2,FALSE))/10^6*(1/($D$5/100)))))))</f>
        <v>0</v>
      </c>
      <c r="P91" s="62">
        <f>IF(ISERROR(METHANE!$J105*(IF('USER INPUTS'!$B$30="Total landfill gas",(1/($D$5/100)),IF('USER INPUTS'!$B$30="Methane",1,IF('USER INPUTS'!$B$30="Carbon dioxide",((1/($D$5/100))-1),(VLOOKUP('USER INPUTS'!$B$30,DEFAULTS!$E$8:$F$69,2,FALSE))/10^6*(1/($D$5/100))))))),0,METHANE!$J105*(IF('USER INPUTS'!$B$30="Total landfill gas",(1/($D$5/100)),IF('USER INPUTS'!$B$30="Methane",1,IF('USER INPUTS'!$B$30="Carbon dioxide",((1/($D$5/100))-1),(VLOOKUP('USER INPUTS'!$B$30,DEFAULTS!$E$8:$F$69,2,FALSE))/10^6*(1/($D$5/100)))))))</f>
        <v>0</v>
      </c>
      <c r="Q91" s="162">
        <f>IF(Q$8="(short tons/year)",(O91*DEFAULTS!$B$55*DEFAULTS!$B$53/DEFAULTS!$B$54),IF(Q$8="(ft^3/year)",(P91*DEFAULTS!$B$57),IF(Q$8="(av ft^3/min)",(P91*DEFAULTS!$B$57/DEFAULTS!$B$58),0)))</f>
        <v>0</v>
      </c>
    </row>
    <row r="92" spans="1:17">
      <c r="A92" s="68">
        <f>METHANE!I106</f>
        <v>2101</v>
      </c>
      <c r="B92" s="361">
        <v>0</v>
      </c>
      <c r="C92" s="361">
        <v>0</v>
      </c>
      <c r="D92" s="364">
        <f t="shared" si="0"/>
        <v>12946986</v>
      </c>
      <c r="E92" s="364">
        <f t="shared" si="1"/>
        <v>14241684.6</v>
      </c>
      <c r="F92" s="62">
        <f>IF(ISERROR(METHANE!$J106*DEFAULTS!$B$81*(IF('USER INPUTS'!$B$24="Total landfill gas",(1/($D$5/100)),IF('USER INPUTS'!$B$24="Methane",1,IF('USER INPUTS'!$B$24="Carbon dioxide",((1/($D$5/100))-1),(VLOOKUP('USER INPUTS'!$B$24,DEFAULTS!$E$8:$F$69,2,FALSE))/10^6*(1/($D$5/100))))))),0,METHANE!$J106*DEFAULTS!$B$81*(IF('USER INPUTS'!$B$24="Total landfill gas",(1/($D$5/100)),IF('USER INPUTS'!$B$24="Methane",1,IF('USER INPUTS'!$B$24="Carbon dioxide",((1/($D$5/100))-1),(VLOOKUP('USER INPUTS'!$B$24,DEFAULTS!$E$8:$F$69,2,FALSE))/10^6*(1/($D$5/100)))))))</f>
        <v>0</v>
      </c>
      <c r="G92" s="62">
        <f>IF(ISERROR(METHANE!$J106*(IF('USER INPUTS'!$B$24="Total landfill gas",(1/($D$5/100)),IF('USER INPUTS'!$B$24="Methane",1,IF('USER INPUTS'!$B$24="Carbon dioxide",((1/($D$5/100))-1),(VLOOKUP('USER INPUTS'!$B$24,DEFAULTS!$E$8:$F$69,2,FALSE))/10^6*(1/($D$5/100))))))),0,METHANE!$J106*(IF('USER INPUTS'!$B$24="Total landfill gas",(1/($D$5/100)),IF('USER INPUTS'!$B$24="Methane",1,IF('USER INPUTS'!$B$24="Carbon dioxide",((1/($D$5/100))-1),(VLOOKUP('USER INPUTS'!$B$24,DEFAULTS!$E$8:$F$69,2,FALSE))/10^6*(1/($D$5/100)))))))</f>
        <v>0</v>
      </c>
      <c r="H92" s="62">
        <f>IF(H$8="(short tons/year)",(F92*DEFAULTS!$B$55*DEFAULTS!$B$53/DEFAULTS!$B$54),IF(H$8="(ft^3/year)",(G92*DEFAULTS!$B$57),IF(H$8="(av ft^3/min)",(G92*DEFAULTS!$B$57/DEFAULTS!$B$58),0)))</f>
        <v>0</v>
      </c>
      <c r="I92" s="62">
        <f>IF(ISERROR(METHANE!$J106*DEFAULTS!$B$82*(IF('USER INPUTS'!$B$26="Total landfill gas",(1/($D$5/100)),IF('USER INPUTS'!$B$26="Methane",1,IF('USER INPUTS'!$B$26="Carbon dioxide",((1/($D$5/100))-1),(VLOOKUP('USER INPUTS'!$B$26,DEFAULTS!$E$8:$F$69,2,FALSE))/10^6*(1/($D$5/100))))))),0,METHANE!$J106*DEFAULTS!$B$82*(IF('USER INPUTS'!$B$26="Total landfill gas",(1/($D$5/100)),IF('USER INPUTS'!$B$26="Methane",1,IF('USER INPUTS'!$B$26="Carbon dioxide",((1/($D$5/100))-1),(VLOOKUP('USER INPUTS'!$B$26,DEFAULTS!$E$8:$F$69,2,FALSE))/10^6*(1/($D$5/100)))))))</f>
        <v>0</v>
      </c>
      <c r="J92" s="62">
        <f>IF(ISERROR(METHANE!$J106*(IF('USER INPUTS'!$B$26="Total landfill gas",(1/($D$5/100)),IF('USER INPUTS'!$B$26="Methane",1,IF('USER INPUTS'!$B$26="Carbon dioxide",((1/($D$5/100))-1),(VLOOKUP('USER INPUTS'!$B$26,DEFAULTS!$E$8:$F$69,2,FALSE))/10^6*(1/($D$5/100))))))),0,METHANE!$J106*(IF('USER INPUTS'!$B$26="Total landfill gas",(1/($D$5/100)),IF('USER INPUTS'!$B$26="Methane",1,IF('USER INPUTS'!$B$26="Carbon dioxide",((1/($D$5/100))-1),(VLOOKUP('USER INPUTS'!$B$26,DEFAULTS!$E$8:$F$69,2,FALSE))/10^6*(1/($D$5/100)))))))</f>
        <v>0</v>
      </c>
      <c r="K92" s="62">
        <f>IF(K$8="(short tons/year)",(I92*DEFAULTS!$B$55*DEFAULTS!$B$53/DEFAULTS!$B$54),IF(K$8="(ft^3/year)",(J92*DEFAULTS!$B$57),IF(K$8="(av ft^3/min)",(J92*DEFAULTS!$B$57/DEFAULTS!$B$58),0)))</f>
        <v>0</v>
      </c>
      <c r="L92" s="62">
        <f>IF(ISERROR(METHANE!$J106*DEFAULTS!$B$83*(IF('USER INPUTS'!$B$28="Total landfill gas",(1/($D$5/100)),IF('USER INPUTS'!$B$28="Methane",1,IF('USER INPUTS'!$B$28="Carbon dioxide",((1/($D$5/100))-1),(VLOOKUP('USER INPUTS'!$B$28,DEFAULTS!$E$8:$F$69,2,FALSE))/10^6*(1/($D$5/100))))))),0,METHANE!$J106*DEFAULTS!$B$83*(IF('USER INPUTS'!$B$28="Total landfill gas",(1/($D$5/100)),IF('USER INPUTS'!$B$28="Methane",1,IF('USER INPUTS'!$B$28="Carbon dioxide",((1/($D$5/100))-1),(VLOOKUP('USER INPUTS'!$B$28,DEFAULTS!$E$8:$F$69,2,FALSE))/10^6*(1/($D$5/100)))))))</f>
        <v>5168.9890131836082</v>
      </c>
      <c r="M92" s="62">
        <f>IF(ISERROR(METHANE!$J106*(IF('USER INPUTS'!$B$28="Total landfill gas",(1/($D$5/100)),IF('USER INPUTS'!$B$28="Methane",1,IF('USER INPUTS'!$B$28="Carbon dioxide",((1/($D$5/100))-1),(VLOOKUP('USER INPUTS'!$B$28,DEFAULTS!$E$8:$F$69,2,FALSE))/10^6*(1/($D$5/100))))))),0,METHANE!$J106*(IF('USER INPUTS'!$B$28="Total landfill gas",(1/($D$5/100)),IF('USER INPUTS'!$B$28="Methane",1,IF('USER INPUTS'!$B$28="Carbon dioxide",((1/($D$5/100))-1),(VLOOKUP('USER INPUTS'!$B$28,DEFAULTS!$E$8:$F$69,2,FALSE))/10^6*(1/($D$5/100)))))))</f>
        <v>2823814.4919748888</v>
      </c>
      <c r="N92" s="62">
        <f>IF(N$8="(short tons/year)",(L92*DEFAULTS!$B$55*DEFAULTS!$B$53/DEFAULTS!$B$54),IF(N$8="(ft^3/year)",(M92*DEFAULTS!$B$57),IF(N$8="(av ft^3/min)",(M92*DEFAULTS!$B$57/DEFAULTS!$B$58),0)))</f>
        <v>189.7317518723234</v>
      </c>
      <c r="O92" s="62">
        <f>IF(ISERROR(METHANE!$J106*DEFAULTS!$B$84*(IF('USER INPUTS'!$B$30="Total landfill gas",(1/($D$5/100)),IF('USER INPUTS'!$B$30="Methane",1,IF('USER INPUTS'!$B$30="Carbon dioxide",((1/($D$5/100))-1),(VLOOKUP('USER INPUTS'!$B$30,DEFAULTS!$E$8:$F$69,2,FALSE))/10^6*(1/($D$5/100))))))),0,METHANE!$J106*DEFAULTS!$B$84*(IF('USER INPUTS'!$B$30="Total landfill gas",(1/($D$5/100)),IF('USER INPUTS'!$B$30="Methane",1,IF('USER INPUTS'!$B$30="Carbon dioxide",((1/($D$5/100))-1),(VLOOKUP('USER INPUTS'!$B$30,DEFAULTS!$E$8:$F$69,2,FALSE))/10^6*(1/($D$5/100)))))))</f>
        <v>0</v>
      </c>
      <c r="P92" s="62">
        <f>IF(ISERROR(METHANE!$J106*(IF('USER INPUTS'!$B$30="Total landfill gas",(1/($D$5/100)),IF('USER INPUTS'!$B$30="Methane",1,IF('USER INPUTS'!$B$30="Carbon dioxide",((1/($D$5/100))-1),(VLOOKUP('USER INPUTS'!$B$30,DEFAULTS!$E$8:$F$69,2,FALSE))/10^6*(1/($D$5/100))))))),0,METHANE!$J106*(IF('USER INPUTS'!$B$30="Total landfill gas",(1/($D$5/100)),IF('USER INPUTS'!$B$30="Methane",1,IF('USER INPUTS'!$B$30="Carbon dioxide",((1/($D$5/100))-1),(VLOOKUP('USER INPUTS'!$B$30,DEFAULTS!$E$8:$F$69,2,FALSE))/10^6*(1/($D$5/100)))))))</f>
        <v>0</v>
      </c>
      <c r="Q92" s="162">
        <f>IF(Q$8="(short tons/year)",(O92*DEFAULTS!$B$55*DEFAULTS!$B$53/DEFAULTS!$B$54),IF(Q$8="(ft^3/year)",(P92*DEFAULTS!$B$57),IF(Q$8="(av ft^3/min)",(P92*DEFAULTS!$B$57/DEFAULTS!$B$58),0)))</f>
        <v>0</v>
      </c>
    </row>
    <row r="93" spans="1:17">
      <c r="A93" s="68">
        <f>METHANE!I107</f>
        <v>2102</v>
      </c>
      <c r="B93" s="361">
        <v>0</v>
      </c>
      <c r="C93" s="361">
        <v>0</v>
      </c>
      <c r="D93" s="364">
        <f t="shared" si="0"/>
        <v>12946986</v>
      </c>
      <c r="E93" s="364">
        <f t="shared" si="1"/>
        <v>14241684.6</v>
      </c>
      <c r="F93" s="62">
        <f>IF(ISERROR(METHANE!$J107*DEFAULTS!$B$81*(IF('USER INPUTS'!$B$24="Total landfill gas",(1/($D$5/100)),IF('USER INPUTS'!$B$24="Methane",1,IF('USER INPUTS'!$B$24="Carbon dioxide",((1/($D$5/100))-1),(VLOOKUP('USER INPUTS'!$B$24,DEFAULTS!$E$8:$F$69,2,FALSE))/10^6*(1/($D$5/100))))))),0,METHANE!$J107*DEFAULTS!$B$81*(IF('USER INPUTS'!$B$24="Total landfill gas",(1/($D$5/100)),IF('USER INPUTS'!$B$24="Methane",1,IF('USER INPUTS'!$B$24="Carbon dioxide",((1/($D$5/100))-1),(VLOOKUP('USER INPUTS'!$B$24,DEFAULTS!$E$8:$F$69,2,FALSE))/10^6*(1/($D$5/100)))))))</f>
        <v>0</v>
      </c>
      <c r="G93" s="62">
        <f>IF(ISERROR(METHANE!$J107*(IF('USER INPUTS'!$B$24="Total landfill gas",(1/($D$5/100)),IF('USER INPUTS'!$B$24="Methane",1,IF('USER INPUTS'!$B$24="Carbon dioxide",((1/($D$5/100))-1),(VLOOKUP('USER INPUTS'!$B$24,DEFAULTS!$E$8:$F$69,2,FALSE))/10^6*(1/($D$5/100))))))),0,METHANE!$J107*(IF('USER INPUTS'!$B$24="Total landfill gas",(1/($D$5/100)),IF('USER INPUTS'!$B$24="Methane",1,IF('USER INPUTS'!$B$24="Carbon dioxide",((1/($D$5/100))-1),(VLOOKUP('USER INPUTS'!$B$24,DEFAULTS!$E$8:$F$69,2,FALSE))/10^6*(1/($D$5/100)))))))</f>
        <v>0</v>
      </c>
      <c r="H93" s="62">
        <f>IF(H$8="(short tons/year)",(F93*DEFAULTS!$B$55*DEFAULTS!$B$53/DEFAULTS!$B$54),IF(H$8="(ft^3/year)",(G93*DEFAULTS!$B$57),IF(H$8="(av ft^3/min)",(G93*DEFAULTS!$B$57/DEFAULTS!$B$58),0)))</f>
        <v>0</v>
      </c>
      <c r="I93" s="62">
        <f>IF(ISERROR(METHANE!$J107*DEFAULTS!$B$82*(IF('USER INPUTS'!$B$26="Total landfill gas",(1/($D$5/100)),IF('USER INPUTS'!$B$26="Methane",1,IF('USER INPUTS'!$B$26="Carbon dioxide",((1/($D$5/100))-1),(VLOOKUP('USER INPUTS'!$B$26,DEFAULTS!$E$8:$F$69,2,FALSE))/10^6*(1/($D$5/100))))))),0,METHANE!$J107*DEFAULTS!$B$82*(IF('USER INPUTS'!$B$26="Total landfill gas",(1/($D$5/100)),IF('USER INPUTS'!$B$26="Methane",1,IF('USER INPUTS'!$B$26="Carbon dioxide",((1/($D$5/100))-1),(VLOOKUP('USER INPUTS'!$B$26,DEFAULTS!$E$8:$F$69,2,FALSE))/10^6*(1/($D$5/100)))))))</f>
        <v>0</v>
      </c>
      <c r="J93" s="62">
        <f>IF(ISERROR(METHANE!$J107*(IF('USER INPUTS'!$B$26="Total landfill gas",(1/($D$5/100)),IF('USER INPUTS'!$B$26="Methane",1,IF('USER INPUTS'!$B$26="Carbon dioxide",((1/($D$5/100))-1),(VLOOKUP('USER INPUTS'!$B$26,DEFAULTS!$E$8:$F$69,2,FALSE))/10^6*(1/($D$5/100))))))),0,METHANE!$J107*(IF('USER INPUTS'!$B$26="Total landfill gas",(1/($D$5/100)),IF('USER INPUTS'!$B$26="Methane",1,IF('USER INPUTS'!$B$26="Carbon dioxide",((1/($D$5/100))-1),(VLOOKUP('USER INPUTS'!$B$26,DEFAULTS!$E$8:$F$69,2,FALSE))/10^6*(1/($D$5/100)))))))</f>
        <v>0</v>
      </c>
      <c r="K93" s="62">
        <f>IF(K$8="(short tons/year)",(I93*DEFAULTS!$B$55*DEFAULTS!$B$53/DEFAULTS!$B$54),IF(K$8="(ft^3/year)",(J93*DEFAULTS!$B$57),IF(K$8="(av ft^3/min)",(J93*DEFAULTS!$B$57/DEFAULTS!$B$58),0)))</f>
        <v>0</v>
      </c>
      <c r="L93" s="62">
        <f>IF(ISERROR(METHANE!$J107*DEFAULTS!$B$83*(IF('USER INPUTS'!$B$28="Total landfill gas",(1/($D$5/100)),IF('USER INPUTS'!$B$28="Methane",1,IF('USER INPUTS'!$B$28="Carbon dioxide",((1/($D$5/100))-1),(VLOOKUP('USER INPUTS'!$B$28,DEFAULTS!$E$8:$F$69,2,FALSE))/10^6*(1/($D$5/100))))))),0,METHANE!$J107*DEFAULTS!$B$83*(IF('USER INPUTS'!$B$28="Total landfill gas",(1/($D$5/100)),IF('USER INPUTS'!$B$28="Methane",1,IF('USER INPUTS'!$B$28="Carbon dioxide",((1/($D$5/100))-1),(VLOOKUP('USER INPUTS'!$B$28,DEFAULTS!$E$8:$F$69,2,FALSE))/10^6*(1/($D$5/100)))))))</f>
        <v>4966.3100549612009</v>
      </c>
      <c r="M93" s="62">
        <f>IF(ISERROR(METHANE!$J107*(IF('USER INPUTS'!$B$28="Total landfill gas",(1/($D$5/100)),IF('USER INPUTS'!$B$28="Methane",1,IF('USER INPUTS'!$B$28="Carbon dioxide",((1/($D$5/100))-1),(VLOOKUP('USER INPUTS'!$B$28,DEFAULTS!$E$8:$F$69,2,FALSE))/10^6*(1/($D$5/100))))))),0,METHANE!$J107*(IF('USER INPUTS'!$B$28="Total landfill gas",(1/($D$5/100)),IF('USER INPUTS'!$B$28="Methane",1,IF('USER INPUTS'!$B$28="Carbon dioxide",((1/($D$5/100))-1),(VLOOKUP('USER INPUTS'!$B$28,DEFAULTS!$E$8:$F$69,2,FALSE))/10^6*(1/($D$5/100)))))))</f>
        <v>2713091.1420147563</v>
      </c>
      <c r="N93" s="62">
        <f>IF(N$8="(short tons/year)",(L93*DEFAULTS!$B$55*DEFAULTS!$B$53/DEFAULTS!$B$54),IF(N$8="(ft^3/year)",(M93*DEFAULTS!$B$57),IF(N$8="(av ft^3/min)",(M93*DEFAULTS!$B$57/DEFAULTS!$B$58),0)))</f>
        <v>182.29226347079739</v>
      </c>
      <c r="O93" s="62">
        <f>IF(ISERROR(METHANE!$J107*DEFAULTS!$B$84*(IF('USER INPUTS'!$B$30="Total landfill gas",(1/($D$5/100)),IF('USER INPUTS'!$B$30="Methane",1,IF('USER INPUTS'!$B$30="Carbon dioxide",((1/($D$5/100))-1),(VLOOKUP('USER INPUTS'!$B$30,DEFAULTS!$E$8:$F$69,2,FALSE))/10^6*(1/($D$5/100))))))),0,METHANE!$J107*DEFAULTS!$B$84*(IF('USER INPUTS'!$B$30="Total landfill gas",(1/($D$5/100)),IF('USER INPUTS'!$B$30="Methane",1,IF('USER INPUTS'!$B$30="Carbon dioxide",((1/($D$5/100))-1),(VLOOKUP('USER INPUTS'!$B$30,DEFAULTS!$E$8:$F$69,2,FALSE))/10^6*(1/($D$5/100)))))))</f>
        <v>0</v>
      </c>
      <c r="P93" s="62">
        <f>IF(ISERROR(METHANE!$J107*(IF('USER INPUTS'!$B$30="Total landfill gas",(1/($D$5/100)),IF('USER INPUTS'!$B$30="Methane",1,IF('USER INPUTS'!$B$30="Carbon dioxide",((1/($D$5/100))-1),(VLOOKUP('USER INPUTS'!$B$30,DEFAULTS!$E$8:$F$69,2,FALSE))/10^6*(1/($D$5/100))))))),0,METHANE!$J107*(IF('USER INPUTS'!$B$30="Total landfill gas",(1/($D$5/100)),IF('USER INPUTS'!$B$30="Methane",1,IF('USER INPUTS'!$B$30="Carbon dioxide",((1/($D$5/100))-1),(VLOOKUP('USER INPUTS'!$B$30,DEFAULTS!$E$8:$F$69,2,FALSE))/10^6*(1/($D$5/100)))))))</f>
        <v>0</v>
      </c>
      <c r="Q93" s="162">
        <f>IF(Q$8="(short tons/year)",(O93*DEFAULTS!$B$55*DEFAULTS!$B$53/DEFAULTS!$B$54),IF(Q$8="(ft^3/year)",(P93*DEFAULTS!$B$57),IF(Q$8="(av ft^3/min)",(P93*DEFAULTS!$B$57/DEFAULTS!$B$58),0)))</f>
        <v>0</v>
      </c>
    </row>
    <row r="94" spans="1:17">
      <c r="A94" s="68">
        <f>METHANE!I108</f>
        <v>2103</v>
      </c>
      <c r="B94" s="361">
        <v>0</v>
      </c>
      <c r="C94" s="361">
        <v>0</v>
      </c>
      <c r="D94" s="364">
        <f t="shared" si="0"/>
        <v>12946986</v>
      </c>
      <c r="E94" s="364">
        <f t="shared" si="1"/>
        <v>14241684.6</v>
      </c>
      <c r="F94" s="62">
        <f>IF(ISERROR(METHANE!$J108*DEFAULTS!$B$81*(IF('USER INPUTS'!$B$24="Total landfill gas",(1/($D$5/100)),IF('USER INPUTS'!$B$24="Methane",1,IF('USER INPUTS'!$B$24="Carbon dioxide",((1/($D$5/100))-1),(VLOOKUP('USER INPUTS'!$B$24,DEFAULTS!$E$8:$F$69,2,FALSE))/10^6*(1/($D$5/100))))))),0,METHANE!$J108*DEFAULTS!$B$81*(IF('USER INPUTS'!$B$24="Total landfill gas",(1/($D$5/100)),IF('USER INPUTS'!$B$24="Methane",1,IF('USER INPUTS'!$B$24="Carbon dioxide",((1/($D$5/100))-1),(VLOOKUP('USER INPUTS'!$B$24,DEFAULTS!$E$8:$F$69,2,FALSE))/10^6*(1/($D$5/100)))))))</f>
        <v>0</v>
      </c>
      <c r="G94" s="62">
        <f>IF(ISERROR(METHANE!$J108*(IF('USER INPUTS'!$B$24="Total landfill gas",(1/($D$5/100)),IF('USER INPUTS'!$B$24="Methane",1,IF('USER INPUTS'!$B$24="Carbon dioxide",((1/($D$5/100))-1),(VLOOKUP('USER INPUTS'!$B$24,DEFAULTS!$E$8:$F$69,2,FALSE))/10^6*(1/($D$5/100))))))),0,METHANE!$J108*(IF('USER INPUTS'!$B$24="Total landfill gas",(1/($D$5/100)),IF('USER INPUTS'!$B$24="Methane",1,IF('USER INPUTS'!$B$24="Carbon dioxide",((1/($D$5/100))-1),(VLOOKUP('USER INPUTS'!$B$24,DEFAULTS!$E$8:$F$69,2,FALSE))/10^6*(1/($D$5/100)))))))</f>
        <v>0</v>
      </c>
      <c r="H94" s="62">
        <f>IF(H$8="(short tons/year)",(F94*DEFAULTS!$B$55*DEFAULTS!$B$53/DEFAULTS!$B$54),IF(H$8="(ft^3/year)",(G94*DEFAULTS!$B$57),IF(H$8="(av ft^3/min)",(G94*DEFAULTS!$B$57/DEFAULTS!$B$58),0)))</f>
        <v>0</v>
      </c>
      <c r="I94" s="62">
        <f>IF(ISERROR(METHANE!$J108*DEFAULTS!$B$82*(IF('USER INPUTS'!$B$26="Total landfill gas",(1/($D$5/100)),IF('USER INPUTS'!$B$26="Methane",1,IF('USER INPUTS'!$B$26="Carbon dioxide",((1/($D$5/100))-1),(VLOOKUP('USER INPUTS'!$B$26,DEFAULTS!$E$8:$F$69,2,FALSE))/10^6*(1/($D$5/100))))))),0,METHANE!$J108*DEFAULTS!$B$82*(IF('USER INPUTS'!$B$26="Total landfill gas",(1/($D$5/100)),IF('USER INPUTS'!$B$26="Methane",1,IF('USER INPUTS'!$B$26="Carbon dioxide",((1/($D$5/100))-1),(VLOOKUP('USER INPUTS'!$B$26,DEFAULTS!$E$8:$F$69,2,FALSE))/10^6*(1/($D$5/100)))))))</f>
        <v>0</v>
      </c>
      <c r="J94" s="62">
        <f>IF(ISERROR(METHANE!$J108*(IF('USER INPUTS'!$B$26="Total landfill gas",(1/($D$5/100)),IF('USER INPUTS'!$B$26="Methane",1,IF('USER INPUTS'!$B$26="Carbon dioxide",((1/($D$5/100))-1),(VLOOKUP('USER INPUTS'!$B$26,DEFAULTS!$E$8:$F$69,2,FALSE))/10^6*(1/($D$5/100))))))),0,METHANE!$J108*(IF('USER INPUTS'!$B$26="Total landfill gas",(1/($D$5/100)),IF('USER INPUTS'!$B$26="Methane",1,IF('USER INPUTS'!$B$26="Carbon dioxide",((1/($D$5/100))-1),(VLOOKUP('USER INPUTS'!$B$26,DEFAULTS!$E$8:$F$69,2,FALSE))/10^6*(1/($D$5/100)))))))</f>
        <v>0</v>
      </c>
      <c r="K94" s="62">
        <f>IF(K$8="(short tons/year)",(I94*DEFAULTS!$B$55*DEFAULTS!$B$53/DEFAULTS!$B$54),IF(K$8="(ft^3/year)",(J94*DEFAULTS!$B$57),IF(K$8="(av ft^3/min)",(J94*DEFAULTS!$B$57/DEFAULTS!$B$58),0)))</f>
        <v>0</v>
      </c>
      <c r="L94" s="62">
        <f>IF(ISERROR(METHANE!$J108*DEFAULTS!$B$83*(IF('USER INPUTS'!$B$28="Total landfill gas",(1/($D$5/100)),IF('USER INPUTS'!$B$28="Methane",1,IF('USER INPUTS'!$B$28="Carbon dioxide",((1/($D$5/100))-1),(VLOOKUP('USER INPUTS'!$B$28,DEFAULTS!$E$8:$F$69,2,FALSE))/10^6*(1/($D$5/100))))))),0,METHANE!$J108*DEFAULTS!$B$83*(IF('USER INPUTS'!$B$28="Total landfill gas",(1/($D$5/100)),IF('USER INPUTS'!$B$28="Methane",1,IF('USER INPUTS'!$B$28="Carbon dioxide",((1/($D$5/100))-1),(VLOOKUP('USER INPUTS'!$B$28,DEFAULTS!$E$8:$F$69,2,FALSE))/10^6*(1/($D$5/100)))))))</f>
        <v>4771.5782523627158</v>
      </c>
      <c r="M94" s="62">
        <f>IF(ISERROR(METHANE!$J108*(IF('USER INPUTS'!$B$28="Total landfill gas",(1/($D$5/100)),IF('USER INPUTS'!$B$28="Methane",1,IF('USER INPUTS'!$B$28="Carbon dioxide",((1/($D$5/100))-1),(VLOOKUP('USER INPUTS'!$B$28,DEFAULTS!$E$8:$F$69,2,FALSE))/10^6*(1/($D$5/100))))))),0,METHANE!$J108*(IF('USER INPUTS'!$B$28="Total landfill gas",(1/($D$5/100)),IF('USER INPUTS'!$B$28="Methane",1,IF('USER INPUTS'!$B$28="Carbon dioxide",((1/($D$5/100))-1),(VLOOKUP('USER INPUTS'!$B$28,DEFAULTS!$E$8:$F$69,2,FALSE))/10^6*(1/($D$5/100)))))))</f>
        <v>2606709.3167054937</v>
      </c>
      <c r="N94" s="62">
        <f>IF(N$8="(short tons/year)",(L94*DEFAULTS!$B$55*DEFAULTS!$B$53/DEFAULTS!$B$54),IF(N$8="(ft^3/year)",(M94*DEFAULTS!$B$57),IF(N$8="(av ft^3/min)",(M94*DEFAULTS!$B$57/DEFAULTS!$B$58),0)))</f>
        <v>175.14448158191496</v>
      </c>
      <c r="O94" s="62">
        <f>IF(ISERROR(METHANE!$J108*DEFAULTS!$B$84*(IF('USER INPUTS'!$B$30="Total landfill gas",(1/($D$5/100)),IF('USER INPUTS'!$B$30="Methane",1,IF('USER INPUTS'!$B$30="Carbon dioxide",((1/($D$5/100))-1),(VLOOKUP('USER INPUTS'!$B$30,DEFAULTS!$E$8:$F$69,2,FALSE))/10^6*(1/($D$5/100))))))),0,METHANE!$J108*DEFAULTS!$B$84*(IF('USER INPUTS'!$B$30="Total landfill gas",(1/($D$5/100)),IF('USER INPUTS'!$B$30="Methane",1,IF('USER INPUTS'!$B$30="Carbon dioxide",((1/($D$5/100))-1),(VLOOKUP('USER INPUTS'!$B$30,DEFAULTS!$E$8:$F$69,2,FALSE))/10^6*(1/($D$5/100)))))))</f>
        <v>0</v>
      </c>
      <c r="P94" s="62">
        <f>IF(ISERROR(METHANE!$J108*(IF('USER INPUTS'!$B$30="Total landfill gas",(1/($D$5/100)),IF('USER INPUTS'!$B$30="Methane",1,IF('USER INPUTS'!$B$30="Carbon dioxide",((1/($D$5/100))-1),(VLOOKUP('USER INPUTS'!$B$30,DEFAULTS!$E$8:$F$69,2,FALSE))/10^6*(1/($D$5/100))))))),0,METHANE!$J108*(IF('USER INPUTS'!$B$30="Total landfill gas",(1/($D$5/100)),IF('USER INPUTS'!$B$30="Methane",1,IF('USER INPUTS'!$B$30="Carbon dioxide",((1/($D$5/100))-1),(VLOOKUP('USER INPUTS'!$B$30,DEFAULTS!$E$8:$F$69,2,FALSE))/10^6*(1/($D$5/100)))))))</f>
        <v>0</v>
      </c>
      <c r="Q94" s="162">
        <f>IF(Q$8="(short tons/year)",(O94*DEFAULTS!$B$55*DEFAULTS!$B$53/DEFAULTS!$B$54),IF(Q$8="(ft^3/year)",(P94*DEFAULTS!$B$57),IF(Q$8="(av ft^3/min)",(P94*DEFAULTS!$B$57/DEFAULTS!$B$58),0)))</f>
        <v>0</v>
      </c>
    </row>
    <row r="95" spans="1:17">
      <c r="A95" s="68">
        <f>METHANE!I109</f>
        <v>2104</v>
      </c>
      <c r="B95" s="361">
        <v>0</v>
      </c>
      <c r="C95" s="361">
        <v>0</v>
      </c>
      <c r="D95" s="364">
        <f t="shared" si="0"/>
        <v>12946986</v>
      </c>
      <c r="E95" s="364">
        <f t="shared" si="1"/>
        <v>14241684.6</v>
      </c>
      <c r="F95" s="62">
        <f>IF(ISERROR(METHANE!$J109*DEFAULTS!$B$81*(IF('USER INPUTS'!$B$24="Total landfill gas",(1/($D$5/100)),IF('USER INPUTS'!$B$24="Methane",1,IF('USER INPUTS'!$B$24="Carbon dioxide",((1/($D$5/100))-1),(VLOOKUP('USER INPUTS'!$B$24,DEFAULTS!$E$8:$F$69,2,FALSE))/10^6*(1/($D$5/100))))))),0,METHANE!$J109*DEFAULTS!$B$81*(IF('USER INPUTS'!$B$24="Total landfill gas",(1/($D$5/100)),IF('USER INPUTS'!$B$24="Methane",1,IF('USER INPUTS'!$B$24="Carbon dioxide",((1/($D$5/100))-1),(VLOOKUP('USER INPUTS'!$B$24,DEFAULTS!$E$8:$F$69,2,FALSE))/10^6*(1/($D$5/100)))))))</f>
        <v>0</v>
      </c>
      <c r="G95" s="62">
        <f>IF(ISERROR(METHANE!$J109*(IF('USER INPUTS'!$B$24="Total landfill gas",(1/($D$5/100)),IF('USER INPUTS'!$B$24="Methane",1,IF('USER INPUTS'!$B$24="Carbon dioxide",((1/($D$5/100))-1),(VLOOKUP('USER INPUTS'!$B$24,DEFAULTS!$E$8:$F$69,2,FALSE))/10^6*(1/($D$5/100))))))),0,METHANE!$J109*(IF('USER INPUTS'!$B$24="Total landfill gas",(1/($D$5/100)),IF('USER INPUTS'!$B$24="Methane",1,IF('USER INPUTS'!$B$24="Carbon dioxide",((1/($D$5/100))-1),(VLOOKUP('USER INPUTS'!$B$24,DEFAULTS!$E$8:$F$69,2,FALSE))/10^6*(1/($D$5/100)))))))</f>
        <v>0</v>
      </c>
      <c r="H95" s="62">
        <f>IF(H$8="(short tons/year)",(F95*DEFAULTS!$B$55*DEFAULTS!$B$53/DEFAULTS!$B$54),IF(H$8="(ft^3/year)",(G95*DEFAULTS!$B$57),IF(H$8="(av ft^3/min)",(G95*DEFAULTS!$B$57/DEFAULTS!$B$58),0)))</f>
        <v>0</v>
      </c>
      <c r="I95" s="62">
        <f>IF(ISERROR(METHANE!$J109*DEFAULTS!$B$82*(IF('USER INPUTS'!$B$26="Total landfill gas",(1/($D$5/100)),IF('USER INPUTS'!$B$26="Methane",1,IF('USER INPUTS'!$B$26="Carbon dioxide",((1/($D$5/100))-1),(VLOOKUP('USER INPUTS'!$B$26,DEFAULTS!$E$8:$F$69,2,FALSE))/10^6*(1/($D$5/100))))))),0,METHANE!$J109*DEFAULTS!$B$82*(IF('USER INPUTS'!$B$26="Total landfill gas",(1/($D$5/100)),IF('USER INPUTS'!$B$26="Methane",1,IF('USER INPUTS'!$B$26="Carbon dioxide",((1/($D$5/100))-1),(VLOOKUP('USER INPUTS'!$B$26,DEFAULTS!$E$8:$F$69,2,FALSE))/10^6*(1/($D$5/100)))))))</f>
        <v>0</v>
      </c>
      <c r="J95" s="62">
        <f>IF(ISERROR(METHANE!$J109*(IF('USER INPUTS'!$B$26="Total landfill gas",(1/($D$5/100)),IF('USER INPUTS'!$B$26="Methane",1,IF('USER INPUTS'!$B$26="Carbon dioxide",((1/($D$5/100))-1),(VLOOKUP('USER INPUTS'!$B$26,DEFAULTS!$E$8:$F$69,2,FALSE))/10^6*(1/($D$5/100))))))),0,METHANE!$J109*(IF('USER INPUTS'!$B$26="Total landfill gas",(1/($D$5/100)),IF('USER INPUTS'!$B$26="Methane",1,IF('USER INPUTS'!$B$26="Carbon dioxide",((1/($D$5/100))-1),(VLOOKUP('USER INPUTS'!$B$26,DEFAULTS!$E$8:$F$69,2,FALSE))/10^6*(1/($D$5/100)))))))</f>
        <v>0</v>
      </c>
      <c r="K95" s="62">
        <f>IF(K$8="(short tons/year)",(I95*DEFAULTS!$B$55*DEFAULTS!$B$53/DEFAULTS!$B$54),IF(K$8="(ft^3/year)",(J95*DEFAULTS!$B$57),IF(K$8="(av ft^3/min)",(J95*DEFAULTS!$B$57/DEFAULTS!$B$58),0)))</f>
        <v>0</v>
      </c>
      <c r="L95" s="62">
        <f>IF(ISERROR(METHANE!$J109*DEFAULTS!$B$83*(IF('USER INPUTS'!$B$28="Total landfill gas",(1/($D$5/100)),IF('USER INPUTS'!$B$28="Methane",1,IF('USER INPUTS'!$B$28="Carbon dioxide",((1/($D$5/100))-1),(VLOOKUP('USER INPUTS'!$B$28,DEFAULTS!$E$8:$F$69,2,FALSE))/10^6*(1/($D$5/100))))))),0,METHANE!$J109*DEFAULTS!$B$83*(IF('USER INPUTS'!$B$28="Total landfill gas",(1/($D$5/100)),IF('USER INPUTS'!$B$28="Methane",1,IF('USER INPUTS'!$B$28="Carbon dioxide",((1/($D$5/100))-1),(VLOOKUP('USER INPUTS'!$B$28,DEFAULTS!$E$8:$F$69,2,FALSE))/10^6*(1/($D$5/100)))))))</f>
        <v>4584.4819929589967</v>
      </c>
      <c r="M95" s="62">
        <f>IF(ISERROR(METHANE!$J109*(IF('USER INPUTS'!$B$28="Total landfill gas",(1/($D$5/100)),IF('USER INPUTS'!$B$28="Methane",1,IF('USER INPUTS'!$B$28="Carbon dioxide",((1/($D$5/100))-1),(VLOOKUP('USER INPUTS'!$B$28,DEFAULTS!$E$8:$F$69,2,FALSE))/10^6*(1/($D$5/100))))))),0,METHANE!$J109*(IF('USER INPUTS'!$B$28="Total landfill gas",(1/($D$5/100)),IF('USER INPUTS'!$B$28="Methane",1,IF('USER INPUTS'!$B$28="Carbon dioxide",((1/($D$5/100))-1),(VLOOKUP('USER INPUTS'!$B$28,DEFAULTS!$E$8:$F$69,2,FALSE))/10^6*(1/($D$5/100)))))))</f>
        <v>2504498.7824306074</v>
      </c>
      <c r="N95" s="62">
        <f>IF(N$8="(short tons/year)",(L95*DEFAULTS!$B$55*DEFAULTS!$B$53/DEFAULTS!$B$54),IF(N$8="(ft^3/year)",(M95*DEFAULTS!$B$57),IF(N$8="(av ft^3/min)",(M95*DEFAULTS!$B$57/DEFAULTS!$B$58),0)))</f>
        <v>168.27696822971251</v>
      </c>
      <c r="O95" s="62">
        <f>IF(ISERROR(METHANE!$J109*DEFAULTS!$B$84*(IF('USER INPUTS'!$B$30="Total landfill gas",(1/($D$5/100)),IF('USER INPUTS'!$B$30="Methane",1,IF('USER INPUTS'!$B$30="Carbon dioxide",((1/($D$5/100))-1),(VLOOKUP('USER INPUTS'!$B$30,DEFAULTS!$E$8:$F$69,2,FALSE))/10^6*(1/($D$5/100))))))),0,METHANE!$J109*DEFAULTS!$B$84*(IF('USER INPUTS'!$B$30="Total landfill gas",(1/($D$5/100)),IF('USER INPUTS'!$B$30="Methane",1,IF('USER INPUTS'!$B$30="Carbon dioxide",((1/($D$5/100))-1),(VLOOKUP('USER INPUTS'!$B$30,DEFAULTS!$E$8:$F$69,2,FALSE))/10^6*(1/($D$5/100)))))))</f>
        <v>0</v>
      </c>
      <c r="P95" s="62">
        <f>IF(ISERROR(METHANE!$J109*(IF('USER INPUTS'!$B$30="Total landfill gas",(1/($D$5/100)),IF('USER INPUTS'!$B$30="Methane",1,IF('USER INPUTS'!$B$30="Carbon dioxide",((1/($D$5/100))-1),(VLOOKUP('USER INPUTS'!$B$30,DEFAULTS!$E$8:$F$69,2,FALSE))/10^6*(1/($D$5/100))))))),0,METHANE!$J109*(IF('USER INPUTS'!$B$30="Total landfill gas",(1/($D$5/100)),IF('USER INPUTS'!$B$30="Methane",1,IF('USER INPUTS'!$B$30="Carbon dioxide",((1/($D$5/100))-1),(VLOOKUP('USER INPUTS'!$B$30,DEFAULTS!$E$8:$F$69,2,FALSE))/10^6*(1/($D$5/100)))))))</f>
        <v>0</v>
      </c>
      <c r="Q95" s="162">
        <f>IF(Q$8="(short tons/year)",(O95*DEFAULTS!$B$55*DEFAULTS!$B$53/DEFAULTS!$B$54),IF(Q$8="(ft^3/year)",(P95*DEFAULTS!$B$57),IF(Q$8="(av ft^3/min)",(P95*DEFAULTS!$B$57/DEFAULTS!$B$58),0)))</f>
        <v>0</v>
      </c>
    </row>
    <row r="96" spans="1:17">
      <c r="A96" s="68">
        <f>METHANE!I110</f>
        <v>2105</v>
      </c>
      <c r="B96" s="361">
        <v>0</v>
      </c>
      <c r="C96" s="361">
        <v>0</v>
      </c>
      <c r="D96" s="364">
        <f t="shared" si="0"/>
        <v>12946986</v>
      </c>
      <c r="E96" s="364">
        <f t="shared" si="1"/>
        <v>14241684.6</v>
      </c>
      <c r="F96" s="62">
        <f>IF(ISERROR(METHANE!$J110*DEFAULTS!$B$81*(IF('USER INPUTS'!$B$24="Total landfill gas",(1/($D$5/100)),IF('USER INPUTS'!$B$24="Methane",1,IF('USER INPUTS'!$B$24="Carbon dioxide",((1/($D$5/100))-1),(VLOOKUP('USER INPUTS'!$B$24,DEFAULTS!$E$8:$F$69,2,FALSE))/10^6*(1/($D$5/100))))))),0,METHANE!$J110*DEFAULTS!$B$81*(IF('USER INPUTS'!$B$24="Total landfill gas",(1/($D$5/100)),IF('USER INPUTS'!$B$24="Methane",1,IF('USER INPUTS'!$B$24="Carbon dioxide",((1/($D$5/100))-1),(VLOOKUP('USER INPUTS'!$B$24,DEFAULTS!$E$8:$F$69,2,FALSE))/10^6*(1/($D$5/100)))))))</f>
        <v>0</v>
      </c>
      <c r="G96" s="62">
        <f>IF(ISERROR(METHANE!$J110*(IF('USER INPUTS'!$B$24="Total landfill gas",(1/($D$5/100)),IF('USER INPUTS'!$B$24="Methane",1,IF('USER INPUTS'!$B$24="Carbon dioxide",((1/($D$5/100))-1),(VLOOKUP('USER INPUTS'!$B$24,DEFAULTS!$E$8:$F$69,2,FALSE))/10^6*(1/($D$5/100))))))),0,METHANE!$J110*(IF('USER INPUTS'!$B$24="Total landfill gas",(1/($D$5/100)),IF('USER INPUTS'!$B$24="Methane",1,IF('USER INPUTS'!$B$24="Carbon dioxide",((1/($D$5/100))-1),(VLOOKUP('USER INPUTS'!$B$24,DEFAULTS!$E$8:$F$69,2,FALSE))/10^6*(1/($D$5/100)))))))</f>
        <v>0</v>
      </c>
      <c r="H96" s="62">
        <f>IF(H$8="(short tons/year)",(F96*DEFAULTS!$B$55*DEFAULTS!$B$53/DEFAULTS!$B$54),IF(H$8="(ft^3/year)",(G96*DEFAULTS!$B$57),IF(H$8="(av ft^3/min)",(G96*DEFAULTS!$B$57/DEFAULTS!$B$58),0)))</f>
        <v>0</v>
      </c>
      <c r="I96" s="62">
        <f>IF(ISERROR(METHANE!$J110*DEFAULTS!$B$82*(IF('USER INPUTS'!$B$26="Total landfill gas",(1/($D$5/100)),IF('USER INPUTS'!$B$26="Methane",1,IF('USER INPUTS'!$B$26="Carbon dioxide",((1/($D$5/100))-1),(VLOOKUP('USER INPUTS'!$B$26,DEFAULTS!$E$8:$F$69,2,FALSE))/10^6*(1/($D$5/100))))))),0,METHANE!$J110*DEFAULTS!$B$82*(IF('USER INPUTS'!$B$26="Total landfill gas",(1/($D$5/100)),IF('USER INPUTS'!$B$26="Methane",1,IF('USER INPUTS'!$B$26="Carbon dioxide",((1/($D$5/100))-1),(VLOOKUP('USER INPUTS'!$B$26,DEFAULTS!$E$8:$F$69,2,FALSE))/10^6*(1/($D$5/100)))))))</f>
        <v>0</v>
      </c>
      <c r="J96" s="62">
        <f>IF(ISERROR(METHANE!$J110*(IF('USER INPUTS'!$B$26="Total landfill gas",(1/($D$5/100)),IF('USER INPUTS'!$B$26="Methane",1,IF('USER INPUTS'!$B$26="Carbon dioxide",((1/($D$5/100))-1),(VLOOKUP('USER INPUTS'!$B$26,DEFAULTS!$E$8:$F$69,2,FALSE))/10^6*(1/($D$5/100))))))),0,METHANE!$J110*(IF('USER INPUTS'!$B$26="Total landfill gas",(1/($D$5/100)),IF('USER INPUTS'!$B$26="Methane",1,IF('USER INPUTS'!$B$26="Carbon dioxide",((1/($D$5/100))-1),(VLOOKUP('USER INPUTS'!$B$26,DEFAULTS!$E$8:$F$69,2,FALSE))/10^6*(1/($D$5/100)))))))</f>
        <v>0</v>
      </c>
      <c r="K96" s="62">
        <f>IF(K$8="(short tons/year)",(I96*DEFAULTS!$B$55*DEFAULTS!$B$53/DEFAULTS!$B$54),IF(K$8="(ft^3/year)",(J96*DEFAULTS!$B$57),IF(K$8="(av ft^3/min)",(J96*DEFAULTS!$B$57/DEFAULTS!$B$58),0)))</f>
        <v>0</v>
      </c>
      <c r="L96" s="62">
        <f>IF(ISERROR(METHANE!$J110*DEFAULTS!$B$83*(IF('USER INPUTS'!$B$28="Total landfill gas",(1/($D$5/100)),IF('USER INPUTS'!$B$28="Methane",1,IF('USER INPUTS'!$B$28="Carbon dioxide",((1/($D$5/100))-1),(VLOOKUP('USER INPUTS'!$B$28,DEFAULTS!$E$8:$F$69,2,FALSE))/10^6*(1/($D$5/100))))))),0,METHANE!$J110*DEFAULTS!$B$83*(IF('USER INPUTS'!$B$28="Total landfill gas",(1/($D$5/100)),IF('USER INPUTS'!$B$28="Methane",1,IF('USER INPUTS'!$B$28="Carbon dioxide",((1/($D$5/100))-1),(VLOOKUP('USER INPUTS'!$B$28,DEFAULTS!$E$8:$F$69,2,FALSE))/10^6*(1/($D$5/100)))))))</f>
        <v>4404.7218828189998</v>
      </c>
      <c r="M96" s="62">
        <f>IF(ISERROR(METHANE!$J110*(IF('USER INPUTS'!$B$28="Total landfill gas",(1/($D$5/100)),IF('USER INPUTS'!$B$28="Methane",1,IF('USER INPUTS'!$B$28="Carbon dioxide",((1/($D$5/100))-1),(VLOOKUP('USER INPUTS'!$B$28,DEFAULTS!$E$8:$F$69,2,FALSE))/10^6*(1/($D$5/100))))))),0,METHANE!$J110*(IF('USER INPUTS'!$B$28="Total landfill gas",(1/($D$5/100)),IF('USER INPUTS'!$B$28="Methane",1,IF('USER INPUTS'!$B$28="Carbon dioxide",((1/($D$5/100))-1),(VLOOKUP('USER INPUTS'!$B$28,DEFAULTS!$E$8:$F$69,2,FALSE))/10^6*(1/($D$5/100)))))))</f>
        <v>2406295.9805291798</v>
      </c>
      <c r="N96" s="62">
        <f>IF(N$8="(short tons/year)",(L96*DEFAULTS!$B$55*DEFAULTS!$B$53/DEFAULTS!$B$54),IF(N$8="(ft^3/year)",(M96*DEFAULTS!$B$57),IF(N$8="(av ft^3/min)",(M96*DEFAULTS!$B$57/DEFAULTS!$B$58),0)))</f>
        <v>161.67873392767882</v>
      </c>
      <c r="O96" s="62">
        <f>IF(ISERROR(METHANE!$J110*DEFAULTS!$B$84*(IF('USER INPUTS'!$B$30="Total landfill gas",(1/($D$5/100)),IF('USER INPUTS'!$B$30="Methane",1,IF('USER INPUTS'!$B$30="Carbon dioxide",((1/($D$5/100))-1),(VLOOKUP('USER INPUTS'!$B$30,DEFAULTS!$E$8:$F$69,2,FALSE))/10^6*(1/($D$5/100))))))),0,METHANE!$J110*DEFAULTS!$B$84*(IF('USER INPUTS'!$B$30="Total landfill gas",(1/($D$5/100)),IF('USER INPUTS'!$B$30="Methane",1,IF('USER INPUTS'!$B$30="Carbon dioxide",((1/($D$5/100))-1),(VLOOKUP('USER INPUTS'!$B$30,DEFAULTS!$E$8:$F$69,2,FALSE))/10^6*(1/($D$5/100)))))))</f>
        <v>0</v>
      </c>
      <c r="P96" s="62">
        <f>IF(ISERROR(METHANE!$J110*(IF('USER INPUTS'!$B$30="Total landfill gas",(1/($D$5/100)),IF('USER INPUTS'!$B$30="Methane",1,IF('USER INPUTS'!$B$30="Carbon dioxide",((1/($D$5/100))-1),(VLOOKUP('USER INPUTS'!$B$30,DEFAULTS!$E$8:$F$69,2,FALSE))/10^6*(1/($D$5/100))))))),0,METHANE!$J110*(IF('USER INPUTS'!$B$30="Total landfill gas",(1/($D$5/100)),IF('USER INPUTS'!$B$30="Methane",1,IF('USER INPUTS'!$B$30="Carbon dioxide",((1/($D$5/100))-1),(VLOOKUP('USER INPUTS'!$B$30,DEFAULTS!$E$8:$F$69,2,FALSE))/10^6*(1/($D$5/100)))))))</f>
        <v>0</v>
      </c>
      <c r="Q96" s="162">
        <f>IF(Q$8="(short tons/year)",(O96*DEFAULTS!$B$55*DEFAULTS!$B$53/DEFAULTS!$B$54),IF(Q$8="(ft^3/year)",(P96*DEFAULTS!$B$57),IF(Q$8="(av ft^3/min)",(P96*DEFAULTS!$B$57/DEFAULTS!$B$58),0)))</f>
        <v>0</v>
      </c>
    </row>
    <row r="97" spans="1:17">
      <c r="A97" s="68">
        <f>METHANE!I111</f>
        <v>2106</v>
      </c>
      <c r="B97" s="361">
        <v>0</v>
      </c>
      <c r="C97" s="361">
        <v>0</v>
      </c>
      <c r="D97" s="364">
        <f t="shared" ref="D97:D149" si="2">D96</f>
        <v>12946986</v>
      </c>
      <c r="E97" s="364">
        <f t="shared" ref="E97:E149" si="3">E96</f>
        <v>14241684.6</v>
      </c>
      <c r="F97" s="62">
        <f>IF(ISERROR(METHANE!$J111*DEFAULTS!$B$81*(IF('USER INPUTS'!$B$24="Total landfill gas",(1/($D$5/100)),IF('USER INPUTS'!$B$24="Methane",1,IF('USER INPUTS'!$B$24="Carbon dioxide",((1/($D$5/100))-1),(VLOOKUP('USER INPUTS'!$B$24,DEFAULTS!$E$8:$F$69,2,FALSE))/10^6*(1/($D$5/100))))))),0,METHANE!$J111*DEFAULTS!$B$81*(IF('USER INPUTS'!$B$24="Total landfill gas",(1/($D$5/100)),IF('USER INPUTS'!$B$24="Methane",1,IF('USER INPUTS'!$B$24="Carbon dioxide",((1/($D$5/100))-1),(VLOOKUP('USER INPUTS'!$B$24,DEFAULTS!$E$8:$F$69,2,FALSE))/10^6*(1/($D$5/100)))))))</f>
        <v>0</v>
      </c>
      <c r="G97" s="62">
        <f>IF(ISERROR(METHANE!$J111*(IF('USER INPUTS'!$B$24="Total landfill gas",(1/($D$5/100)),IF('USER INPUTS'!$B$24="Methane",1,IF('USER INPUTS'!$B$24="Carbon dioxide",((1/($D$5/100))-1),(VLOOKUP('USER INPUTS'!$B$24,DEFAULTS!$E$8:$F$69,2,FALSE))/10^6*(1/($D$5/100))))))),0,METHANE!$J111*(IF('USER INPUTS'!$B$24="Total landfill gas",(1/($D$5/100)),IF('USER INPUTS'!$B$24="Methane",1,IF('USER INPUTS'!$B$24="Carbon dioxide",((1/($D$5/100))-1),(VLOOKUP('USER INPUTS'!$B$24,DEFAULTS!$E$8:$F$69,2,FALSE))/10^6*(1/($D$5/100)))))))</f>
        <v>0</v>
      </c>
      <c r="H97" s="62">
        <f>IF(H$8="(short tons/year)",(F97*DEFAULTS!$B$55*DEFAULTS!$B$53/DEFAULTS!$B$54),IF(H$8="(ft^3/year)",(G97*DEFAULTS!$B$57),IF(H$8="(av ft^3/min)",(G97*DEFAULTS!$B$57/DEFAULTS!$B$58),0)))</f>
        <v>0</v>
      </c>
      <c r="I97" s="62">
        <f>IF(ISERROR(METHANE!$J111*DEFAULTS!$B$82*(IF('USER INPUTS'!$B$26="Total landfill gas",(1/($D$5/100)),IF('USER INPUTS'!$B$26="Methane",1,IF('USER INPUTS'!$B$26="Carbon dioxide",((1/($D$5/100))-1),(VLOOKUP('USER INPUTS'!$B$26,DEFAULTS!$E$8:$F$69,2,FALSE))/10^6*(1/($D$5/100))))))),0,METHANE!$J111*DEFAULTS!$B$82*(IF('USER INPUTS'!$B$26="Total landfill gas",(1/($D$5/100)),IF('USER INPUTS'!$B$26="Methane",1,IF('USER INPUTS'!$B$26="Carbon dioxide",((1/($D$5/100))-1),(VLOOKUP('USER INPUTS'!$B$26,DEFAULTS!$E$8:$F$69,2,FALSE))/10^6*(1/($D$5/100)))))))</f>
        <v>0</v>
      </c>
      <c r="J97" s="62">
        <f>IF(ISERROR(METHANE!$J111*(IF('USER INPUTS'!$B$26="Total landfill gas",(1/($D$5/100)),IF('USER INPUTS'!$B$26="Methane",1,IF('USER INPUTS'!$B$26="Carbon dioxide",((1/($D$5/100))-1),(VLOOKUP('USER INPUTS'!$B$26,DEFAULTS!$E$8:$F$69,2,FALSE))/10^6*(1/($D$5/100))))))),0,METHANE!$J111*(IF('USER INPUTS'!$B$26="Total landfill gas",(1/($D$5/100)),IF('USER INPUTS'!$B$26="Methane",1,IF('USER INPUTS'!$B$26="Carbon dioxide",((1/($D$5/100))-1),(VLOOKUP('USER INPUTS'!$B$26,DEFAULTS!$E$8:$F$69,2,FALSE))/10^6*(1/($D$5/100)))))))</f>
        <v>0</v>
      </c>
      <c r="K97" s="62">
        <f>IF(K$8="(short tons/year)",(I97*DEFAULTS!$B$55*DEFAULTS!$B$53/DEFAULTS!$B$54),IF(K$8="(ft^3/year)",(J97*DEFAULTS!$B$57),IF(K$8="(av ft^3/min)",(J97*DEFAULTS!$B$57/DEFAULTS!$B$58),0)))</f>
        <v>0</v>
      </c>
      <c r="L97" s="62">
        <f>IF(ISERROR(METHANE!$J111*DEFAULTS!$B$83*(IF('USER INPUTS'!$B$28="Total landfill gas",(1/($D$5/100)),IF('USER INPUTS'!$B$28="Methane",1,IF('USER INPUTS'!$B$28="Carbon dioxide",((1/($D$5/100))-1),(VLOOKUP('USER INPUTS'!$B$28,DEFAULTS!$E$8:$F$69,2,FALSE))/10^6*(1/($D$5/100))))))),0,METHANE!$J111*DEFAULTS!$B$83*(IF('USER INPUTS'!$B$28="Total landfill gas",(1/($D$5/100)),IF('USER INPUTS'!$B$28="Methane",1,IF('USER INPUTS'!$B$28="Carbon dioxide",((1/($D$5/100))-1),(VLOOKUP('USER INPUTS'!$B$28,DEFAULTS!$E$8:$F$69,2,FALSE))/10^6*(1/($D$5/100)))))))</f>
        <v>4232.0102674156315</v>
      </c>
      <c r="M97" s="62">
        <f>IF(ISERROR(METHANE!$J111*(IF('USER INPUTS'!$B$28="Total landfill gas",(1/($D$5/100)),IF('USER INPUTS'!$B$28="Methane",1,IF('USER INPUTS'!$B$28="Carbon dioxide",((1/($D$5/100))-1),(VLOOKUP('USER INPUTS'!$B$28,DEFAULTS!$E$8:$F$69,2,FALSE))/10^6*(1/($D$5/100))))))),0,METHANE!$J111*(IF('USER INPUTS'!$B$28="Total landfill gas",(1/($D$5/100)),IF('USER INPUTS'!$B$28="Methane",1,IF('USER INPUTS'!$B$28="Carbon dioxide",((1/($D$5/100))-1),(VLOOKUP('USER INPUTS'!$B$28,DEFAULTS!$E$8:$F$69,2,FALSE))/10^6*(1/($D$5/100)))))))</f>
        <v>2311943.7655671202</v>
      </c>
      <c r="N97" s="62">
        <f>IF(N$8="(short tons/year)",(L97*DEFAULTS!$B$55*DEFAULTS!$B$53/DEFAULTS!$B$54),IF(N$8="(ft^3/year)",(M97*DEFAULTS!$B$57),IF(N$8="(av ft^3/min)",(M97*DEFAULTS!$B$57/DEFAULTS!$B$58),0)))</f>
        <v>155.3392200932322</v>
      </c>
      <c r="O97" s="62">
        <f>IF(ISERROR(METHANE!$J111*DEFAULTS!$B$84*(IF('USER INPUTS'!$B$30="Total landfill gas",(1/($D$5/100)),IF('USER INPUTS'!$B$30="Methane",1,IF('USER INPUTS'!$B$30="Carbon dioxide",((1/($D$5/100))-1),(VLOOKUP('USER INPUTS'!$B$30,DEFAULTS!$E$8:$F$69,2,FALSE))/10^6*(1/($D$5/100))))))),0,METHANE!$J111*DEFAULTS!$B$84*(IF('USER INPUTS'!$B$30="Total landfill gas",(1/($D$5/100)),IF('USER INPUTS'!$B$30="Methane",1,IF('USER INPUTS'!$B$30="Carbon dioxide",((1/($D$5/100))-1),(VLOOKUP('USER INPUTS'!$B$30,DEFAULTS!$E$8:$F$69,2,FALSE))/10^6*(1/($D$5/100)))))))</f>
        <v>0</v>
      </c>
      <c r="P97" s="62">
        <f>IF(ISERROR(METHANE!$J111*(IF('USER INPUTS'!$B$30="Total landfill gas",(1/($D$5/100)),IF('USER INPUTS'!$B$30="Methane",1,IF('USER INPUTS'!$B$30="Carbon dioxide",((1/($D$5/100))-1),(VLOOKUP('USER INPUTS'!$B$30,DEFAULTS!$E$8:$F$69,2,FALSE))/10^6*(1/($D$5/100))))))),0,METHANE!$J111*(IF('USER INPUTS'!$B$30="Total landfill gas",(1/($D$5/100)),IF('USER INPUTS'!$B$30="Methane",1,IF('USER INPUTS'!$B$30="Carbon dioxide",((1/($D$5/100))-1),(VLOOKUP('USER INPUTS'!$B$30,DEFAULTS!$E$8:$F$69,2,FALSE))/10^6*(1/($D$5/100)))))))</f>
        <v>0</v>
      </c>
      <c r="Q97" s="162">
        <f>IF(Q$8="(short tons/year)",(O97*DEFAULTS!$B$55*DEFAULTS!$B$53/DEFAULTS!$B$54),IF(Q$8="(ft^3/year)",(P97*DEFAULTS!$B$57),IF(Q$8="(av ft^3/min)",(P97*DEFAULTS!$B$57/DEFAULTS!$B$58),0)))</f>
        <v>0</v>
      </c>
    </row>
    <row r="98" spans="1:17">
      <c r="A98" s="68">
        <f>METHANE!I112</f>
        <v>2107</v>
      </c>
      <c r="B98" s="361">
        <v>0</v>
      </c>
      <c r="C98" s="361">
        <v>0</v>
      </c>
      <c r="D98" s="364">
        <f t="shared" si="2"/>
        <v>12946986</v>
      </c>
      <c r="E98" s="364">
        <f t="shared" si="3"/>
        <v>14241684.6</v>
      </c>
      <c r="F98" s="62">
        <f>IF(ISERROR(METHANE!$J112*DEFAULTS!$B$81*(IF('USER INPUTS'!$B$24="Total landfill gas",(1/($D$5/100)),IF('USER INPUTS'!$B$24="Methane",1,IF('USER INPUTS'!$B$24="Carbon dioxide",((1/($D$5/100))-1),(VLOOKUP('USER INPUTS'!$B$24,DEFAULTS!$E$8:$F$69,2,FALSE))/10^6*(1/($D$5/100))))))),0,METHANE!$J112*DEFAULTS!$B$81*(IF('USER INPUTS'!$B$24="Total landfill gas",(1/($D$5/100)),IF('USER INPUTS'!$B$24="Methane",1,IF('USER INPUTS'!$B$24="Carbon dioxide",((1/($D$5/100))-1),(VLOOKUP('USER INPUTS'!$B$24,DEFAULTS!$E$8:$F$69,2,FALSE))/10^6*(1/($D$5/100)))))))</f>
        <v>0</v>
      </c>
      <c r="G98" s="62">
        <f>IF(ISERROR(METHANE!$J112*(IF('USER INPUTS'!$B$24="Total landfill gas",(1/($D$5/100)),IF('USER INPUTS'!$B$24="Methane",1,IF('USER INPUTS'!$B$24="Carbon dioxide",((1/($D$5/100))-1),(VLOOKUP('USER INPUTS'!$B$24,DEFAULTS!$E$8:$F$69,2,FALSE))/10^6*(1/($D$5/100))))))),0,METHANE!$J112*(IF('USER INPUTS'!$B$24="Total landfill gas",(1/($D$5/100)),IF('USER INPUTS'!$B$24="Methane",1,IF('USER INPUTS'!$B$24="Carbon dioxide",((1/($D$5/100))-1),(VLOOKUP('USER INPUTS'!$B$24,DEFAULTS!$E$8:$F$69,2,FALSE))/10^6*(1/($D$5/100)))))))</f>
        <v>0</v>
      </c>
      <c r="H98" s="62">
        <f>IF(H$8="(short tons/year)",(F98*DEFAULTS!$B$55*DEFAULTS!$B$53/DEFAULTS!$B$54),IF(H$8="(ft^3/year)",(G98*DEFAULTS!$B$57),IF(H$8="(av ft^3/min)",(G98*DEFAULTS!$B$57/DEFAULTS!$B$58),0)))</f>
        <v>0</v>
      </c>
      <c r="I98" s="62">
        <f>IF(ISERROR(METHANE!$J112*DEFAULTS!$B$82*(IF('USER INPUTS'!$B$26="Total landfill gas",(1/($D$5/100)),IF('USER INPUTS'!$B$26="Methane",1,IF('USER INPUTS'!$B$26="Carbon dioxide",((1/($D$5/100))-1),(VLOOKUP('USER INPUTS'!$B$26,DEFAULTS!$E$8:$F$69,2,FALSE))/10^6*(1/($D$5/100))))))),0,METHANE!$J112*DEFAULTS!$B$82*(IF('USER INPUTS'!$B$26="Total landfill gas",(1/($D$5/100)),IF('USER INPUTS'!$B$26="Methane",1,IF('USER INPUTS'!$B$26="Carbon dioxide",((1/($D$5/100))-1),(VLOOKUP('USER INPUTS'!$B$26,DEFAULTS!$E$8:$F$69,2,FALSE))/10^6*(1/($D$5/100)))))))</f>
        <v>0</v>
      </c>
      <c r="J98" s="62">
        <f>IF(ISERROR(METHANE!$J112*(IF('USER INPUTS'!$B$26="Total landfill gas",(1/($D$5/100)),IF('USER INPUTS'!$B$26="Methane",1,IF('USER INPUTS'!$B$26="Carbon dioxide",((1/($D$5/100))-1),(VLOOKUP('USER INPUTS'!$B$26,DEFAULTS!$E$8:$F$69,2,FALSE))/10^6*(1/($D$5/100))))))),0,METHANE!$J112*(IF('USER INPUTS'!$B$26="Total landfill gas",(1/($D$5/100)),IF('USER INPUTS'!$B$26="Methane",1,IF('USER INPUTS'!$B$26="Carbon dioxide",((1/($D$5/100))-1),(VLOOKUP('USER INPUTS'!$B$26,DEFAULTS!$E$8:$F$69,2,FALSE))/10^6*(1/($D$5/100)))))))</f>
        <v>0</v>
      </c>
      <c r="K98" s="62">
        <f>IF(K$8="(short tons/year)",(I98*DEFAULTS!$B$55*DEFAULTS!$B$53/DEFAULTS!$B$54),IF(K$8="(ft^3/year)",(J98*DEFAULTS!$B$57),IF(K$8="(av ft^3/min)",(J98*DEFAULTS!$B$57/DEFAULTS!$B$58),0)))</f>
        <v>0</v>
      </c>
      <c r="L98" s="62">
        <f>IF(ISERROR(METHANE!$J112*DEFAULTS!$B$83*(IF('USER INPUTS'!$B$28="Total landfill gas",(1/($D$5/100)),IF('USER INPUTS'!$B$28="Methane",1,IF('USER INPUTS'!$B$28="Carbon dioxide",((1/($D$5/100))-1),(VLOOKUP('USER INPUTS'!$B$28,DEFAULTS!$E$8:$F$69,2,FALSE))/10^6*(1/($D$5/100))))))),0,METHANE!$J112*DEFAULTS!$B$83*(IF('USER INPUTS'!$B$28="Total landfill gas",(1/($D$5/100)),IF('USER INPUTS'!$B$28="Methane",1,IF('USER INPUTS'!$B$28="Carbon dioxide",((1/($D$5/100))-1),(VLOOKUP('USER INPUTS'!$B$28,DEFAULTS!$E$8:$F$69,2,FALSE))/10^6*(1/($D$5/100)))))))</f>
        <v>4066.0707713171382</v>
      </c>
      <c r="M98" s="62">
        <f>IF(ISERROR(METHANE!$J112*(IF('USER INPUTS'!$B$28="Total landfill gas",(1/($D$5/100)),IF('USER INPUTS'!$B$28="Methane",1,IF('USER INPUTS'!$B$28="Carbon dioxide",((1/($D$5/100))-1),(VLOOKUP('USER INPUTS'!$B$28,DEFAULTS!$E$8:$F$69,2,FALSE))/10^6*(1/($D$5/100))))))),0,METHANE!$J112*(IF('USER INPUTS'!$B$28="Total landfill gas",(1/($D$5/100)),IF('USER INPUTS'!$B$28="Methane",1,IF('USER INPUTS'!$B$28="Carbon dioxide",((1/($D$5/100))-1),(VLOOKUP('USER INPUTS'!$B$28,DEFAULTS!$E$8:$F$69,2,FALSE))/10^6*(1/($D$5/100)))))))</f>
        <v>2221291.1538709435</v>
      </c>
      <c r="N98" s="62">
        <f>IF(N$8="(short tons/year)",(L98*DEFAULTS!$B$55*DEFAULTS!$B$53/DEFAULTS!$B$54),IF(N$8="(ft^3/year)",(M98*DEFAULTS!$B$57),IF(N$8="(av ft^3/min)",(M98*DEFAULTS!$B$57/DEFAULTS!$B$58),0)))</f>
        <v>149.24828215173585</v>
      </c>
      <c r="O98" s="62">
        <f>IF(ISERROR(METHANE!$J112*DEFAULTS!$B$84*(IF('USER INPUTS'!$B$30="Total landfill gas",(1/($D$5/100)),IF('USER INPUTS'!$B$30="Methane",1,IF('USER INPUTS'!$B$30="Carbon dioxide",((1/($D$5/100))-1),(VLOOKUP('USER INPUTS'!$B$30,DEFAULTS!$E$8:$F$69,2,FALSE))/10^6*(1/($D$5/100))))))),0,METHANE!$J112*DEFAULTS!$B$84*(IF('USER INPUTS'!$B$30="Total landfill gas",(1/($D$5/100)),IF('USER INPUTS'!$B$30="Methane",1,IF('USER INPUTS'!$B$30="Carbon dioxide",((1/($D$5/100))-1),(VLOOKUP('USER INPUTS'!$B$30,DEFAULTS!$E$8:$F$69,2,FALSE))/10^6*(1/($D$5/100)))))))</f>
        <v>0</v>
      </c>
      <c r="P98" s="62">
        <f>IF(ISERROR(METHANE!$J112*(IF('USER INPUTS'!$B$30="Total landfill gas",(1/($D$5/100)),IF('USER INPUTS'!$B$30="Methane",1,IF('USER INPUTS'!$B$30="Carbon dioxide",((1/($D$5/100))-1),(VLOOKUP('USER INPUTS'!$B$30,DEFAULTS!$E$8:$F$69,2,FALSE))/10^6*(1/($D$5/100))))))),0,METHANE!$J112*(IF('USER INPUTS'!$B$30="Total landfill gas",(1/($D$5/100)),IF('USER INPUTS'!$B$30="Methane",1,IF('USER INPUTS'!$B$30="Carbon dioxide",((1/($D$5/100))-1),(VLOOKUP('USER INPUTS'!$B$30,DEFAULTS!$E$8:$F$69,2,FALSE))/10^6*(1/($D$5/100)))))))</f>
        <v>0</v>
      </c>
      <c r="Q98" s="162">
        <f>IF(Q$8="(short tons/year)",(O98*DEFAULTS!$B$55*DEFAULTS!$B$53/DEFAULTS!$B$54),IF(Q$8="(ft^3/year)",(P98*DEFAULTS!$B$57),IF(Q$8="(av ft^3/min)",(P98*DEFAULTS!$B$57/DEFAULTS!$B$58),0)))</f>
        <v>0</v>
      </c>
    </row>
    <row r="99" spans="1:17">
      <c r="A99" s="68">
        <f>METHANE!I113</f>
        <v>2108</v>
      </c>
      <c r="B99" s="361">
        <v>0</v>
      </c>
      <c r="C99" s="361">
        <v>0</v>
      </c>
      <c r="D99" s="364">
        <f t="shared" si="2"/>
        <v>12946986</v>
      </c>
      <c r="E99" s="364">
        <f t="shared" si="3"/>
        <v>14241684.6</v>
      </c>
      <c r="F99" s="62">
        <f>IF(ISERROR(METHANE!$J113*DEFAULTS!$B$81*(IF('USER INPUTS'!$B$24="Total landfill gas",(1/($D$5/100)),IF('USER INPUTS'!$B$24="Methane",1,IF('USER INPUTS'!$B$24="Carbon dioxide",((1/($D$5/100))-1),(VLOOKUP('USER INPUTS'!$B$24,DEFAULTS!$E$8:$F$69,2,FALSE))/10^6*(1/($D$5/100))))))),0,METHANE!$J113*DEFAULTS!$B$81*(IF('USER INPUTS'!$B$24="Total landfill gas",(1/($D$5/100)),IF('USER INPUTS'!$B$24="Methane",1,IF('USER INPUTS'!$B$24="Carbon dioxide",((1/($D$5/100))-1),(VLOOKUP('USER INPUTS'!$B$24,DEFAULTS!$E$8:$F$69,2,FALSE))/10^6*(1/($D$5/100)))))))</f>
        <v>0</v>
      </c>
      <c r="G99" s="62">
        <f>IF(ISERROR(METHANE!$J113*(IF('USER INPUTS'!$B$24="Total landfill gas",(1/($D$5/100)),IF('USER INPUTS'!$B$24="Methane",1,IF('USER INPUTS'!$B$24="Carbon dioxide",((1/($D$5/100))-1),(VLOOKUP('USER INPUTS'!$B$24,DEFAULTS!$E$8:$F$69,2,FALSE))/10^6*(1/($D$5/100))))))),0,METHANE!$J113*(IF('USER INPUTS'!$B$24="Total landfill gas",(1/($D$5/100)),IF('USER INPUTS'!$B$24="Methane",1,IF('USER INPUTS'!$B$24="Carbon dioxide",((1/($D$5/100))-1),(VLOOKUP('USER INPUTS'!$B$24,DEFAULTS!$E$8:$F$69,2,FALSE))/10^6*(1/($D$5/100)))))))</f>
        <v>0</v>
      </c>
      <c r="H99" s="62">
        <f>IF(H$8="(short tons/year)",(F99*DEFAULTS!$B$55*DEFAULTS!$B$53/DEFAULTS!$B$54),IF(H$8="(ft^3/year)",(G99*DEFAULTS!$B$57),IF(H$8="(av ft^3/min)",(G99*DEFAULTS!$B$57/DEFAULTS!$B$58),0)))</f>
        <v>0</v>
      </c>
      <c r="I99" s="62">
        <f>IF(ISERROR(METHANE!$J113*DEFAULTS!$B$82*(IF('USER INPUTS'!$B$26="Total landfill gas",(1/($D$5/100)),IF('USER INPUTS'!$B$26="Methane",1,IF('USER INPUTS'!$B$26="Carbon dioxide",((1/($D$5/100))-1),(VLOOKUP('USER INPUTS'!$B$26,DEFAULTS!$E$8:$F$69,2,FALSE))/10^6*(1/($D$5/100))))))),0,METHANE!$J113*DEFAULTS!$B$82*(IF('USER INPUTS'!$B$26="Total landfill gas",(1/($D$5/100)),IF('USER INPUTS'!$B$26="Methane",1,IF('USER INPUTS'!$B$26="Carbon dioxide",((1/($D$5/100))-1),(VLOOKUP('USER INPUTS'!$B$26,DEFAULTS!$E$8:$F$69,2,FALSE))/10^6*(1/($D$5/100)))))))</f>
        <v>0</v>
      </c>
      <c r="J99" s="62">
        <f>IF(ISERROR(METHANE!$J113*(IF('USER INPUTS'!$B$26="Total landfill gas",(1/($D$5/100)),IF('USER INPUTS'!$B$26="Methane",1,IF('USER INPUTS'!$B$26="Carbon dioxide",((1/($D$5/100))-1),(VLOOKUP('USER INPUTS'!$B$26,DEFAULTS!$E$8:$F$69,2,FALSE))/10^6*(1/($D$5/100))))))),0,METHANE!$J113*(IF('USER INPUTS'!$B$26="Total landfill gas",(1/($D$5/100)),IF('USER INPUTS'!$B$26="Methane",1,IF('USER INPUTS'!$B$26="Carbon dioxide",((1/($D$5/100))-1),(VLOOKUP('USER INPUTS'!$B$26,DEFAULTS!$E$8:$F$69,2,FALSE))/10^6*(1/($D$5/100)))))))</f>
        <v>0</v>
      </c>
      <c r="K99" s="62">
        <f>IF(K$8="(short tons/year)",(I99*DEFAULTS!$B$55*DEFAULTS!$B$53/DEFAULTS!$B$54),IF(K$8="(ft^3/year)",(J99*DEFAULTS!$B$57),IF(K$8="(av ft^3/min)",(J99*DEFAULTS!$B$57/DEFAULTS!$B$58),0)))</f>
        <v>0</v>
      </c>
      <c r="L99" s="62">
        <f>IF(ISERROR(METHANE!$J113*DEFAULTS!$B$83*(IF('USER INPUTS'!$B$28="Total landfill gas",(1/($D$5/100)),IF('USER INPUTS'!$B$28="Methane",1,IF('USER INPUTS'!$B$28="Carbon dioxide",((1/($D$5/100))-1),(VLOOKUP('USER INPUTS'!$B$28,DEFAULTS!$E$8:$F$69,2,FALSE))/10^6*(1/($D$5/100))))))),0,METHANE!$J113*DEFAULTS!$B$83*(IF('USER INPUTS'!$B$28="Total landfill gas",(1/($D$5/100)),IF('USER INPUTS'!$B$28="Methane",1,IF('USER INPUTS'!$B$28="Carbon dioxide",((1/($D$5/100))-1),(VLOOKUP('USER INPUTS'!$B$28,DEFAULTS!$E$8:$F$69,2,FALSE))/10^6*(1/($D$5/100)))))))</f>
        <v>3906.6378559274472</v>
      </c>
      <c r="M99" s="62">
        <f>IF(ISERROR(METHANE!$J113*(IF('USER INPUTS'!$B$28="Total landfill gas",(1/($D$5/100)),IF('USER INPUTS'!$B$28="Methane",1,IF('USER INPUTS'!$B$28="Carbon dioxide",((1/($D$5/100))-1),(VLOOKUP('USER INPUTS'!$B$28,DEFAULTS!$E$8:$F$69,2,FALSE))/10^6*(1/($D$5/100))))))),0,METHANE!$J113*(IF('USER INPUTS'!$B$28="Total landfill gas",(1/($D$5/100)),IF('USER INPUTS'!$B$28="Methane",1,IF('USER INPUTS'!$B$28="Carbon dioxide",((1/($D$5/100))-1),(VLOOKUP('USER INPUTS'!$B$28,DEFAULTS!$E$8:$F$69,2,FALSE))/10^6*(1/($D$5/100)))))))</f>
        <v>2134193.0819216808</v>
      </c>
      <c r="N99" s="62">
        <f>IF(N$8="(short tons/year)",(L99*DEFAULTS!$B$55*DEFAULTS!$B$53/DEFAULTS!$B$54),IF(N$8="(ft^3/year)",(M99*DEFAULTS!$B$57),IF(N$8="(av ft^3/min)",(M99*DEFAULTS!$B$57/DEFAULTS!$B$58),0)))</f>
        <v>143.396173303014</v>
      </c>
      <c r="O99" s="62">
        <f>IF(ISERROR(METHANE!$J113*DEFAULTS!$B$84*(IF('USER INPUTS'!$B$30="Total landfill gas",(1/($D$5/100)),IF('USER INPUTS'!$B$30="Methane",1,IF('USER INPUTS'!$B$30="Carbon dioxide",((1/($D$5/100))-1),(VLOOKUP('USER INPUTS'!$B$30,DEFAULTS!$E$8:$F$69,2,FALSE))/10^6*(1/($D$5/100))))))),0,METHANE!$J113*DEFAULTS!$B$84*(IF('USER INPUTS'!$B$30="Total landfill gas",(1/($D$5/100)),IF('USER INPUTS'!$B$30="Methane",1,IF('USER INPUTS'!$B$30="Carbon dioxide",((1/($D$5/100))-1),(VLOOKUP('USER INPUTS'!$B$30,DEFAULTS!$E$8:$F$69,2,FALSE))/10^6*(1/($D$5/100)))))))</f>
        <v>0</v>
      </c>
      <c r="P99" s="62">
        <f>IF(ISERROR(METHANE!$J113*(IF('USER INPUTS'!$B$30="Total landfill gas",(1/($D$5/100)),IF('USER INPUTS'!$B$30="Methane",1,IF('USER INPUTS'!$B$30="Carbon dioxide",((1/($D$5/100))-1),(VLOOKUP('USER INPUTS'!$B$30,DEFAULTS!$E$8:$F$69,2,FALSE))/10^6*(1/($D$5/100))))))),0,METHANE!$J113*(IF('USER INPUTS'!$B$30="Total landfill gas",(1/($D$5/100)),IF('USER INPUTS'!$B$30="Methane",1,IF('USER INPUTS'!$B$30="Carbon dioxide",((1/($D$5/100))-1),(VLOOKUP('USER INPUTS'!$B$30,DEFAULTS!$E$8:$F$69,2,FALSE))/10^6*(1/($D$5/100)))))))</f>
        <v>0</v>
      </c>
      <c r="Q99" s="162">
        <f>IF(Q$8="(short tons/year)",(O99*DEFAULTS!$B$55*DEFAULTS!$B$53/DEFAULTS!$B$54),IF(Q$8="(ft^3/year)",(P99*DEFAULTS!$B$57),IF(Q$8="(av ft^3/min)",(P99*DEFAULTS!$B$57/DEFAULTS!$B$58),0)))</f>
        <v>0</v>
      </c>
    </row>
    <row r="100" spans="1:17">
      <c r="A100" s="68">
        <f>METHANE!I114</f>
        <v>2109</v>
      </c>
      <c r="B100" s="361">
        <v>0</v>
      </c>
      <c r="C100" s="361">
        <v>0</v>
      </c>
      <c r="D100" s="364">
        <f t="shared" si="2"/>
        <v>12946986</v>
      </c>
      <c r="E100" s="364">
        <f t="shared" si="3"/>
        <v>14241684.6</v>
      </c>
      <c r="F100" s="62">
        <f>IF(ISERROR(METHANE!$J114*DEFAULTS!$B$81*(IF('USER INPUTS'!$B$24="Total landfill gas",(1/($D$5/100)),IF('USER INPUTS'!$B$24="Methane",1,IF('USER INPUTS'!$B$24="Carbon dioxide",((1/($D$5/100))-1),(VLOOKUP('USER INPUTS'!$B$24,DEFAULTS!$E$8:$F$69,2,FALSE))/10^6*(1/($D$5/100))))))),0,METHANE!$J114*DEFAULTS!$B$81*(IF('USER INPUTS'!$B$24="Total landfill gas",(1/($D$5/100)),IF('USER INPUTS'!$B$24="Methane",1,IF('USER INPUTS'!$B$24="Carbon dioxide",((1/($D$5/100))-1),(VLOOKUP('USER INPUTS'!$B$24,DEFAULTS!$E$8:$F$69,2,FALSE))/10^6*(1/($D$5/100)))))))</f>
        <v>0</v>
      </c>
      <c r="G100" s="62">
        <f>IF(ISERROR(METHANE!$J114*(IF('USER INPUTS'!$B$24="Total landfill gas",(1/($D$5/100)),IF('USER INPUTS'!$B$24="Methane",1,IF('USER INPUTS'!$B$24="Carbon dioxide",((1/($D$5/100))-1),(VLOOKUP('USER INPUTS'!$B$24,DEFAULTS!$E$8:$F$69,2,FALSE))/10^6*(1/($D$5/100))))))),0,METHANE!$J114*(IF('USER INPUTS'!$B$24="Total landfill gas",(1/($D$5/100)),IF('USER INPUTS'!$B$24="Methane",1,IF('USER INPUTS'!$B$24="Carbon dioxide",((1/($D$5/100))-1),(VLOOKUP('USER INPUTS'!$B$24,DEFAULTS!$E$8:$F$69,2,FALSE))/10^6*(1/($D$5/100)))))))</f>
        <v>0</v>
      </c>
      <c r="H100" s="62">
        <f>IF(H$8="(short tons/year)",(F100*DEFAULTS!$B$55*DEFAULTS!$B$53/DEFAULTS!$B$54),IF(H$8="(ft^3/year)",(G100*DEFAULTS!$B$57),IF(H$8="(av ft^3/min)",(G100*DEFAULTS!$B$57/DEFAULTS!$B$58),0)))</f>
        <v>0</v>
      </c>
      <c r="I100" s="62">
        <f>IF(ISERROR(METHANE!$J114*DEFAULTS!$B$82*(IF('USER INPUTS'!$B$26="Total landfill gas",(1/($D$5/100)),IF('USER INPUTS'!$B$26="Methane",1,IF('USER INPUTS'!$B$26="Carbon dioxide",((1/($D$5/100))-1),(VLOOKUP('USER INPUTS'!$B$26,DEFAULTS!$E$8:$F$69,2,FALSE))/10^6*(1/($D$5/100))))))),0,METHANE!$J114*DEFAULTS!$B$82*(IF('USER INPUTS'!$B$26="Total landfill gas",(1/($D$5/100)),IF('USER INPUTS'!$B$26="Methane",1,IF('USER INPUTS'!$B$26="Carbon dioxide",((1/($D$5/100))-1),(VLOOKUP('USER INPUTS'!$B$26,DEFAULTS!$E$8:$F$69,2,FALSE))/10^6*(1/($D$5/100)))))))</f>
        <v>0</v>
      </c>
      <c r="J100" s="62">
        <f>IF(ISERROR(METHANE!$J114*(IF('USER INPUTS'!$B$26="Total landfill gas",(1/($D$5/100)),IF('USER INPUTS'!$B$26="Methane",1,IF('USER INPUTS'!$B$26="Carbon dioxide",((1/($D$5/100))-1),(VLOOKUP('USER INPUTS'!$B$26,DEFAULTS!$E$8:$F$69,2,FALSE))/10^6*(1/($D$5/100))))))),0,METHANE!$J114*(IF('USER INPUTS'!$B$26="Total landfill gas",(1/($D$5/100)),IF('USER INPUTS'!$B$26="Methane",1,IF('USER INPUTS'!$B$26="Carbon dioxide",((1/($D$5/100))-1),(VLOOKUP('USER INPUTS'!$B$26,DEFAULTS!$E$8:$F$69,2,FALSE))/10^6*(1/($D$5/100)))))))</f>
        <v>0</v>
      </c>
      <c r="K100" s="62">
        <f>IF(K$8="(short tons/year)",(I100*DEFAULTS!$B$55*DEFAULTS!$B$53/DEFAULTS!$B$54),IF(K$8="(ft^3/year)",(J100*DEFAULTS!$B$57),IF(K$8="(av ft^3/min)",(J100*DEFAULTS!$B$57/DEFAULTS!$B$58),0)))</f>
        <v>0</v>
      </c>
      <c r="L100" s="62">
        <f>IF(ISERROR(METHANE!$J114*DEFAULTS!$B$83*(IF('USER INPUTS'!$B$28="Total landfill gas",(1/($D$5/100)),IF('USER INPUTS'!$B$28="Methane",1,IF('USER INPUTS'!$B$28="Carbon dioxide",((1/($D$5/100))-1),(VLOOKUP('USER INPUTS'!$B$28,DEFAULTS!$E$8:$F$69,2,FALSE))/10^6*(1/($D$5/100))))))),0,METHANE!$J114*DEFAULTS!$B$83*(IF('USER INPUTS'!$B$28="Total landfill gas",(1/($D$5/100)),IF('USER INPUTS'!$B$28="Methane",1,IF('USER INPUTS'!$B$28="Carbon dioxide",((1/($D$5/100))-1),(VLOOKUP('USER INPUTS'!$B$28,DEFAULTS!$E$8:$F$69,2,FALSE))/10^6*(1/($D$5/100)))))))</f>
        <v>3753.456394567766</v>
      </c>
      <c r="M100" s="62">
        <f>IF(ISERROR(METHANE!$J114*(IF('USER INPUTS'!$B$28="Total landfill gas",(1/($D$5/100)),IF('USER INPUTS'!$B$28="Methane",1,IF('USER INPUTS'!$B$28="Carbon dioxide",((1/($D$5/100))-1),(VLOOKUP('USER INPUTS'!$B$28,DEFAULTS!$E$8:$F$69,2,FALSE))/10^6*(1/($D$5/100))))))),0,METHANE!$J114*(IF('USER INPUTS'!$B$28="Total landfill gas",(1/($D$5/100)),IF('USER INPUTS'!$B$28="Methane",1,IF('USER INPUTS'!$B$28="Carbon dioxide",((1/($D$5/100))-1),(VLOOKUP('USER INPUTS'!$B$28,DEFAULTS!$E$8:$F$69,2,FALSE))/10^6*(1/($D$5/100)))))))</f>
        <v>2050510.1742222994</v>
      </c>
      <c r="N100" s="62">
        <f>IF(N$8="(short tons/year)",(L100*DEFAULTS!$B$55*DEFAULTS!$B$53/DEFAULTS!$B$54),IF(N$8="(ft^3/year)",(M100*DEFAULTS!$B$57),IF(N$8="(av ft^3/min)",(M100*DEFAULTS!$B$57/DEFAULTS!$B$58),0)))</f>
        <v>137.77352892439211</v>
      </c>
      <c r="O100" s="62">
        <f>IF(ISERROR(METHANE!$J114*DEFAULTS!$B$84*(IF('USER INPUTS'!$B$30="Total landfill gas",(1/($D$5/100)),IF('USER INPUTS'!$B$30="Methane",1,IF('USER INPUTS'!$B$30="Carbon dioxide",((1/($D$5/100))-1),(VLOOKUP('USER INPUTS'!$B$30,DEFAULTS!$E$8:$F$69,2,FALSE))/10^6*(1/($D$5/100))))))),0,METHANE!$J114*DEFAULTS!$B$84*(IF('USER INPUTS'!$B$30="Total landfill gas",(1/($D$5/100)),IF('USER INPUTS'!$B$30="Methane",1,IF('USER INPUTS'!$B$30="Carbon dioxide",((1/($D$5/100))-1),(VLOOKUP('USER INPUTS'!$B$30,DEFAULTS!$E$8:$F$69,2,FALSE))/10^6*(1/($D$5/100)))))))</f>
        <v>0</v>
      </c>
      <c r="P100" s="62">
        <f>IF(ISERROR(METHANE!$J114*(IF('USER INPUTS'!$B$30="Total landfill gas",(1/($D$5/100)),IF('USER INPUTS'!$B$30="Methane",1,IF('USER INPUTS'!$B$30="Carbon dioxide",((1/($D$5/100))-1),(VLOOKUP('USER INPUTS'!$B$30,DEFAULTS!$E$8:$F$69,2,FALSE))/10^6*(1/($D$5/100))))))),0,METHANE!$J114*(IF('USER INPUTS'!$B$30="Total landfill gas",(1/($D$5/100)),IF('USER INPUTS'!$B$30="Methane",1,IF('USER INPUTS'!$B$30="Carbon dioxide",((1/($D$5/100))-1),(VLOOKUP('USER INPUTS'!$B$30,DEFAULTS!$E$8:$F$69,2,FALSE))/10^6*(1/($D$5/100)))))))</f>
        <v>0</v>
      </c>
      <c r="Q100" s="162">
        <f>IF(Q$8="(short tons/year)",(O100*DEFAULTS!$B$55*DEFAULTS!$B$53/DEFAULTS!$B$54),IF(Q$8="(ft^3/year)",(P100*DEFAULTS!$B$57),IF(Q$8="(av ft^3/min)",(P100*DEFAULTS!$B$57/DEFAULTS!$B$58),0)))</f>
        <v>0</v>
      </c>
    </row>
    <row r="101" spans="1:17">
      <c r="A101" s="68">
        <f>METHANE!I115</f>
        <v>2110</v>
      </c>
      <c r="B101" s="361">
        <v>0</v>
      </c>
      <c r="C101" s="361">
        <v>0</v>
      </c>
      <c r="D101" s="364">
        <f t="shared" si="2"/>
        <v>12946986</v>
      </c>
      <c r="E101" s="364">
        <f t="shared" si="3"/>
        <v>14241684.6</v>
      </c>
      <c r="F101" s="62">
        <f>IF(ISERROR(METHANE!$J115*DEFAULTS!$B$81*(IF('USER INPUTS'!$B$24="Total landfill gas",(1/($D$5/100)),IF('USER INPUTS'!$B$24="Methane",1,IF('USER INPUTS'!$B$24="Carbon dioxide",((1/($D$5/100))-1),(VLOOKUP('USER INPUTS'!$B$24,DEFAULTS!$E$8:$F$69,2,FALSE))/10^6*(1/($D$5/100))))))),0,METHANE!$J115*DEFAULTS!$B$81*(IF('USER INPUTS'!$B$24="Total landfill gas",(1/($D$5/100)),IF('USER INPUTS'!$B$24="Methane",1,IF('USER INPUTS'!$B$24="Carbon dioxide",((1/($D$5/100))-1),(VLOOKUP('USER INPUTS'!$B$24,DEFAULTS!$E$8:$F$69,2,FALSE))/10^6*(1/($D$5/100)))))))</f>
        <v>0</v>
      </c>
      <c r="G101" s="62">
        <f>IF(ISERROR(METHANE!$J115*(IF('USER INPUTS'!$B$24="Total landfill gas",(1/($D$5/100)),IF('USER INPUTS'!$B$24="Methane",1,IF('USER INPUTS'!$B$24="Carbon dioxide",((1/($D$5/100))-1),(VLOOKUP('USER INPUTS'!$B$24,DEFAULTS!$E$8:$F$69,2,FALSE))/10^6*(1/($D$5/100))))))),0,METHANE!$J115*(IF('USER INPUTS'!$B$24="Total landfill gas",(1/($D$5/100)),IF('USER INPUTS'!$B$24="Methane",1,IF('USER INPUTS'!$B$24="Carbon dioxide",((1/($D$5/100))-1),(VLOOKUP('USER INPUTS'!$B$24,DEFAULTS!$E$8:$F$69,2,FALSE))/10^6*(1/($D$5/100)))))))</f>
        <v>0</v>
      </c>
      <c r="H101" s="62">
        <f>IF(H$8="(short tons/year)",(F101*DEFAULTS!$B$55*DEFAULTS!$B$53/DEFAULTS!$B$54),IF(H$8="(ft^3/year)",(G101*DEFAULTS!$B$57),IF(H$8="(av ft^3/min)",(G101*DEFAULTS!$B$57/DEFAULTS!$B$58),0)))</f>
        <v>0</v>
      </c>
      <c r="I101" s="62">
        <f>IF(ISERROR(METHANE!$J115*DEFAULTS!$B$82*(IF('USER INPUTS'!$B$26="Total landfill gas",(1/($D$5/100)),IF('USER INPUTS'!$B$26="Methane",1,IF('USER INPUTS'!$B$26="Carbon dioxide",((1/($D$5/100))-1),(VLOOKUP('USER INPUTS'!$B$26,DEFAULTS!$E$8:$F$69,2,FALSE))/10^6*(1/($D$5/100))))))),0,METHANE!$J115*DEFAULTS!$B$82*(IF('USER INPUTS'!$B$26="Total landfill gas",(1/($D$5/100)),IF('USER INPUTS'!$B$26="Methane",1,IF('USER INPUTS'!$B$26="Carbon dioxide",((1/($D$5/100))-1),(VLOOKUP('USER INPUTS'!$B$26,DEFAULTS!$E$8:$F$69,2,FALSE))/10^6*(1/($D$5/100)))))))</f>
        <v>0</v>
      </c>
      <c r="J101" s="62">
        <f>IF(ISERROR(METHANE!$J115*(IF('USER INPUTS'!$B$26="Total landfill gas",(1/($D$5/100)),IF('USER INPUTS'!$B$26="Methane",1,IF('USER INPUTS'!$B$26="Carbon dioxide",((1/($D$5/100))-1),(VLOOKUP('USER INPUTS'!$B$26,DEFAULTS!$E$8:$F$69,2,FALSE))/10^6*(1/($D$5/100))))))),0,METHANE!$J115*(IF('USER INPUTS'!$B$26="Total landfill gas",(1/($D$5/100)),IF('USER INPUTS'!$B$26="Methane",1,IF('USER INPUTS'!$B$26="Carbon dioxide",((1/($D$5/100))-1),(VLOOKUP('USER INPUTS'!$B$26,DEFAULTS!$E$8:$F$69,2,FALSE))/10^6*(1/($D$5/100)))))))</f>
        <v>0</v>
      </c>
      <c r="K101" s="62">
        <f>IF(K$8="(short tons/year)",(I101*DEFAULTS!$B$55*DEFAULTS!$B$53/DEFAULTS!$B$54),IF(K$8="(ft^3/year)",(J101*DEFAULTS!$B$57),IF(K$8="(av ft^3/min)",(J101*DEFAULTS!$B$57/DEFAULTS!$B$58),0)))</f>
        <v>0</v>
      </c>
      <c r="L101" s="62">
        <f>IF(ISERROR(METHANE!$J115*DEFAULTS!$B$83*(IF('USER INPUTS'!$B$28="Total landfill gas",(1/($D$5/100)),IF('USER INPUTS'!$B$28="Methane",1,IF('USER INPUTS'!$B$28="Carbon dioxide",((1/($D$5/100))-1),(VLOOKUP('USER INPUTS'!$B$28,DEFAULTS!$E$8:$F$69,2,FALSE))/10^6*(1/($D$5/100))))))),0,METHANE!$J115*DEFAULTS!$B$83*(IF('USER INPUTS'!$B$28="Total landfill gas",(1/($D$5/100)),IF('USER INPUTS'!$B$28="Methane",1,IF('USER INPUTS'!$B$28="Carbon dioxide",((1/($D$5/100))-1),(VLOOKUP('USER INPUTS'!$B$28,DEFAULTS!$E$8:$F$69,2,FALSE))/10^6*(1/($D$5/100)))))))</f>
        <v>3606.2812642194658</v>
      </c>
      <c r="M101" s="62">
        <f>IF(ISERROR(METHANE!$J115*(IF('USER INPUTS'!$B$28="Total landfill gas",(1/($D$5/100)),IF('USER INPUTS'!$B$28="Methane",1,IF('USER INPUTS'!$B$28="Carbon dioxide",((1/($D$5/100))-1),(VLOOKUP('USER INPUTS'!$B$28,DEFAULTS!$E$8:$F$69,2,FALSE))/10^6*(1/($D$5/100))))))),0,METHANE!$J115*(IF('USER INPUTS'!$B$28="Total landfill gas",(1/($D$5/100)),IF('USER INPUTS'!$B$28="Methane",1,IF('USER INPUTS'!$B$28="Carbon dioxide",((1/($D$5/100))-1),(VLOOKUP('USER INPUTS'!$B$28,DEFAULTS!$E$8:$F$69,2,FALSE))/10^6*(1/($D$5/100)))))))</f>
        <v>1970108.520267176</v>
      </c>
      <c r="N101" s="62">
        <f>IF(N$8="(short tons/year)",(L101*DEFAULTS!$B$55*DEFAULTS!$B$53/DEFAULTS!$B$54),IF(N$8="(ft^3/year)",(M101*DEFAULTS!$B$57),IF(N$8="(av ft^3/min)",(M101*DEFAULTS!$B$57/DEFAULTS!$B$58),0)))</f>
        <v>132.3713515853031</v>
      </c>
      <c r="O101" s="62">
        <f>IF(ISERROR(METHANE!$J115*DEFAULTS!$B$84*(IF('USER INPUTS'!$B$30="Total landfill gas",(1/($D$5/100)),IF('USER INPUTS'!$B$30="Methane",1,IF('USER INPUTS'!$B$30="Carbon dioxide",((1/($D$5/100))-1),(VLOOKUP('USER INPUTS'!$B$30,DEFAULTS!$E$8:$F$69,2,FALSE))/10^6*(1/($D$5/100))))))),0,METHANE!$J115*DEFAULTS!$B$84*(IF('USER INPUTS'!$B$30="Total landfill gas",(1/($D$5/100)),IF('USER INPUTS'!$B$30="Methane",1,IF('USER INPUTS'!$B$30="Carbon dioxide",((1/($D$5/100))-1),(VLOOKUP('USER INPUTS'!$B$30,DEFAULTS!$E$8:$F$69,2,FALSE))/10^6*(1/($D$5/100)))))))</f>
        <v>0</v>
      </c>
      <c r="P101" s="62">
        <f>IF(ISERROR(METHANE!$J115*(IF('USER INPUTS'!$B$30="Total landfill gas",(1/($D$5/100)),IF('USER INPUTS'!$B$30="Methane",1,IF('USER INPUTS'!$B$30="Carbon dioxide",((1/($D$5/100))-1),(VLOOKUP('USER INPUTS'!$B$30,DEFAULTS!$E$8:$F$69,2,FALSE))/10^6*(1/($D$5/100))))))),0,METHANE!$J115*(IF('USER INPUTS'!$B$30="Total landfill gas",(1/($D$5/100)),IF('USER INPUTS'!$B$30="Methane",1,IF('USER INPUTS'!$B$30="Carbon dioxide",((1/($D$5/100))-1),(VLOOKUP('USER INPUTS'!$B$30,DEFAULTS!$E$8:$F$69,2,FALSE))/10^6*(1/($D$5/100)))))))</f>
        <v>0</v>
      </c>
      <c r="Q101" s="162">
        <f>IF(Q$8="(short tons/year)",(O101*DEFAULTS!$B$55*DEFAULTS!$B$53/DEFAULTS!$B$54),IF(Q$8="(ft^3/year)",(P101*DEFAULTS!$B$57),IF(Q$8="(av ft^3/min)",(P101*DEFAULTS!$B$57/DEFAULTS!$B$58),0)))</f>
        <v>0</v>
      </c>
    </row>
    <row r="102" spans="1:17">
      <c r="A102" s="68">
        <f>METHANE!I116</f>
        <v>2111</v>
      </c>
      <c r="B102" s="361">
        <v>0</v>
      </c>
      <c r="C102" s="361">
        <v>0</v>
      </c>
      <c r="D102" s="364">
        <f t="shared" si="2"/>
        <v>12946986</v>
      </c>
      <c r="E102" s="364">
        <f t="shared" si="3"/>
        <v>14241684.6</v>
      </c>
      <c r="F102" s="62">
        <f>IF(ISERROR(METHANE!$J116*DEFAULTS!$B$81*(IF('USER INPUTS'!$B$24="Total landfill gas",(1/($D$5/100)),IF('USER INPUTS'!$B$24="Methane",1,IF('USER INPUTS'!$B$24="Carbon dioxide",((1/($D$5/100))-1),(VLOOKUP('USER INPUTS'!$B$24,DEFAULTS!$E$8:$F$69,2,FALSE))/10^6*(1/($D$5/100))))))),0,METHANE!$J116*DEFAULTS!$B$81*(IF('USER INPUTS'!$B$24="Total landfill gas",(1/($D$5/100)),IF('USER INPUTS'!$B$24="Methane",1,IF('USER INPUTS'!$B$24="Carbon dioxide",((1/($D$5/100))-1),(VLOOKUP('USER INPUTS'!$B$24,DEFAULTS!$E$8:$F$69,2,FALSE))/10^6*(1/($D$5/100)))))))</f>
        <v>0</v>
      </c>
      <c r="G102" s="62">
        <f>IF(ISERROR(METHANE!$J116*(IF('USER INPUTS'!$B$24="Total landfill gas",(1/($D$5/100)),IF('USER INPUTS'!$B$24="Methane",1,IF('USER INPUTS'!$B$24="Carbon dioxide",((1/($D$5/100))-1),(VLOOKUP('USER INPUTS'!$B$24,DEFAULTS!$E$8:$F$69,2,FALSE))/10^6*(1/($D$5/100))))))),0,METHANE!$J116*(IF('USER INPUTS'!$B$24="Total landfill gas",(1/($D$5/100)),IF('USER INPUTS'!$B$24="Methane",1,IF('USER INPUTS'!$B$24="Carbon dioxide",((1/($D$5/100))-1),(VLOOKUP('USER INPUTS'!$B$24,DEFAULTS!$E$8:$F$69,2,FALSE))/10^6*(1/($D$5/100)))))))</f>
        <v>0</v>
      </c>
      <c r="H102" s="62">
        <f>IF(H$8="(short tons/year)",(F102*DEFAULTS!$B$55*DEFAULTS!$B$53/DEFAULTS!$B$54),IF(H$8="(ft^3/year)",(G102*DEFAULTS!$B$57),IF(H$8="(av ft^3/min)",(G102*DEFAULTS!$B$57/DEFAULTS!$B$58),0)))</f>
        <v>0</v>
      </c>
      <c r="I102" s="62">
        <f>IF(ISERROR(METHANE!$J116*DEFAULTS!$B$82*(IF('USER INPUTS'!$B$26="Total landfill gas",(1/($D$5/100)),IF('USER INPUTS'!$B$26="Methane",1,IF('USER INPUTS'!$B$26="Carbon dioxide",((1/($D$5/100))-1),(VLOOKUP('USER INPUTS'!$B$26,DEFAULTS!$E$8:$F$69,2,FALSE))/10^6*(1/($D$5/100))))))),0,METHANE!$J116*DEFAULTS!$B$82*(IF('USER INPUTS'!$B$26="Total landfill gas",(1/($D$5/100)),IF('USER INPUTS'!$B$26="Methane",1,IF('USER INPUTS'!$B$26="Carbon dioxide",((1/($D$5/100))-1),(VLOOKUP('USER INPUTS'!$B$26,DEFAULTS!$E$8:$F$69,2,FALSE))/10^6*(1/($D$5/100)))))))</f>
        <v>0</v>
      </c>
      <c r="J102" s="62">
        <f>IF(ISERROR(METHANE!$J116*(IF('USER INPUTS'!$B$26="Total landfill gas",(1/($D$5/100)),IF('USER INPUTS'!$B$26="Methane",1,IF('USER INPUTS'!$B$26="Carbon dioxide",((1/($D$5/100))-1),(VLOOKUP('USER INPUTS'!$B$26,DEFAULTS!$E$8:$F$69,2,FALSE))/10^6*(1/($D$5/100))))))),0,METHANE!$J116*(IF('USER INPUTS'!$B$26="Total landfill gas",(1/($D$5/100)),IF('USER INPUTS'!$B$26="Methane",1,IF('USER INPUTS'!$B$26="Carbon dioxide",((1/($D$5/100))-1),(VLOOKUP('USER INPUTS'!$B$26,DEFAULTS!$E$8:$F$69,2,FALSE))/10^6*(1/($D$5/100)))))))</f>
        <v>0</v>
      </c>
      <c r="K102" s="62">
        <f>IF(K$8="(short tons/year)",(I102*DEFAULTS!$B$55*DEFAULTS!$B$53/DEFAULTS!$B$54),IF(K$8="(ft^3/year)",(J102*DEFAULTS!$B$57),IF(K$8="(av ft^3/min)",(J102*DEFAULTS!$B$57/DEFAULTS!$B$58),0)))</f>
        <v>0</v>
      </c>
      <c r="L102" s="62">
        <f>IF(ISERROR(METHANE!$J116*DEFAULTS!$B$83*(IF('USER INPUTS'!$B$28="Total landfill gas",(1/($D$5/100)),IF('USER INPUTS'!$B$28="Methane",1,IF('USER INPUTS'!$B$28="Carbon dioxide",((1/($D$5/100))-1),(VLOOKUP('USER INPUTS'!$B$28,DEFAULTS!$E$8:$F$69,2,FALSE))/10^6*(1/($D$5/100))))))),0,METHANE!$J116*DEFAULTS!$B$83*(IF('USER INPUTS'!$B$28="Total landfill gas",(1/($D$5/100)),IF('USER INPUTS'!$B$28="Methane",1,IF('USER INPUTS'!$B$28="Carbon dioxide",((1/($D$5/100))-1),(VLOOKUP('USER INPUTS'!$B$28,DEFAULTS!$E$8:$F$69,2,FALSE))/10^6*(1/($D$5/100)))))))</f>
        <v>3464.8769532749511</v>
      </c>
      <c r="M102" s="62">
        <f>IF(ISERROR(METHANE!$J116*(IF('USER INPUTS'!$B$28="Total landfill gas",(1/($D$5/100)),IF('USER INPUTS'!$B$28="Methane",1,IF('USER INPUTS'!$B$28="Carbon dioxide",((1/($D$5/100))-1),(VLOOKUP('USER INPUTS'!$B$28,DEFAULTS!$E$8:$F$69,2,FALSE))/10^6*(1/($D$5/100))))))),0,METHANE!$J116*(IF('USER INPUTS'!$B$28="Total landfill gas",(1/($D$5/100)),IF('USER INPUTS'!$B$28="Methane",1,IF('USER INPUTS'!$B$28="Carbon dioxide",((1/($D$5/100))-1),(VLOOKUP('USER INPUTS'!$B$28,DEFAULTS!$E$8:$F$69,2,FALSE))/10^6*(1/($D$5/100)))))))</f>
        <v>1892859.4602567134</v>
      </c>
      <c r="N102" s="62">
        <f>IF(N$8="(short tons/year)",(L102*DEFAULTS!$B$55*DEFAULTS!$B$53/DEFAULTS!$B$54),IF(N$8="(ft^3/year)",(M102*DEFAULTS!$B$57),IF(N$8="(av ft^3/min)",(M102*DEFAULTS!$B$57/DEFAULTS!$B$58),0)))</f>
        <v>127.18099664947837</v>
      </c>
      <c r="O102" s="62">
        <f>IF(ISERROR(METHANE!$J116*DEFAULTS!$B$84*(IF('USER INPUTS'!$B$30="Total landfill gas",(1/($D$5/100)),IF('USER INPUTS'!$B$30="Methane",1,IF('USER INPUTS'!$B$30="Carbon dioxide",((1/($D$5/100))-1),(VLOOKUP('USER INPUTS'!$B$30,DEFAULTS!$E$8:$F$69,2,FALSE))/10^6*(1/($D$5/100))))))),0,METHANE!$J116*DEFAULTS!$B$84*(IF('USER INPUTS'!$B$30="Total landfill gas",(1/($D$5/100)),IF('USER INPUTS'!$B$30="Methane",1,IF('USER INPUTS'!$B$30="Carbon dioxide",((1/($D$5/100))-1),(VLOOKUP('USER INPUTS'!$B$30,DEFAULTS!$E$8:$F$69,2,FALSE))/10^6*(1/($D$5/100)))))))</f>
        <v>0</v>
      </c>
      <c r="P102" s="62">
        <f>IF(ISERROR(METHANE!$J116*(IF('USER INPUTS'!$B$30="Total landfill gas",(1/($D$5/100)),IF('USER INPUTS'!$B$30="Methane",1,IF('USER INPUTS'!$B$30="Carbon dioxide",((1/($D$5/100))-1),(VLOOKUP('USER INPUTS'!$B$30,DEFAULTS!$E$8:$F$69,2,FALSE))/10^6*(1/($D$5/100))))))),0,METHANE!$J116*(IF('USER INPUTS'!$B$30="Total landfill gas",(1/($D$5/100)),IF('USER INPUTS'!$B$30="Methane",1,IF('USER INPUTS'!$B$30="Carbon dioxide",((1/($D$5/100))-1),(VLOOKUP('USER INPUTS'!$B$30,DEFAULTS!$E$8:$F$69,2,FALSE))/10^6*(1/($D$5/100)))))))</f>
        <v>0</v>
      </c>
      <c r="Q102" s="162">
        <f>IF(Q$8="(short tons/year)",(O102*DEFAULTS!$B$55*DEFAULTS!$B$53/DEFAULTS!$B$54),IF(Q$8="(ft^3/year)",(P102*DEFAULTS!$B$57),IF(Q$8="(av ft^3/min)",(P102*DEFAULTS!$B$57/DEFAULTS!$B$58),0)))</f>
        <v>0</v>
      </c>
    </row>
    <row r="103" spans="1:17">
      <c r="A103" s="68">
        <f>METHANE!I117</f>
        <v>2112</v>
      </c>
      <c r="B103" s="361">
        <v>0</v>
      </c>
      <c r="C103" s="361">
        <v>0</v>
      </c>
      <c r="D103" s="364">
        <f t="shared" si="2"/>
        <v>12946986</v>
      </c>
      <c r="E103" s="364">
        <f t="shared" si="3"/>
        <v>14241684.6</v>
      </c>
      <c r="F103" s="62">
        <f>IF(ISERROR(METHANE!$J117*DEFAULTS!$B$81*(IF('USER INPUTS'!$B$24="Total landfill gas",(1/($D$5/100)),IF('USER INPUTS'!$B$24="Methane",1,IF('USER INPUTS'!$B$24="Carbon dioxide",((1/($D$5/100))-1),(VLOOKUP('USER INPUTS'!$B$24,DEFAULTS!$E$8:$F$69,2,FALSE))/10^6*(1/($D$5/100))))))),0,METHANE!$J117*DEFAULTS!$B$81*(IF('USER INPUTS'!$B$24="Total landfill gas",(1/($D$5/100)),IF('USER INPUTS'!$B$24="Methane",1,IF('USER INPUTS'!$B$24="Carbon dioxide",((1/($D$5/100))-1),(VLOOKUP('USER INPUTS'!$B$24,DEFAULTS!$E$8:$F$69,2,FALSE))/10^6*(1/($D$5/100)))))))</f>
        <v>0</v>
      </c>
      <c r="G103" s="62">
        <f>IF(ISERROR(METHANE!$J117*(IF('USER INPUTS'!$B$24="Total landfill gas",(1/($D$5/100)),IF('USER INPUTS'!$B$24="Methane",1,IF('USER INPUTS'!$B$24="Carbon dioxide",((1/($D$5/100))-1),(VLOOKUP('USER INPUTS'!$B$24,DEFAULTS!$E$8:$F$69,2,FALSE))/10^6*(1/($D$5/100))))))),0,METHANE!$J117*(IF('USER INPUTS'!$B$24="Total landfill gas",(1/($D$5/100)),IF('USER INPUTS'!$B$24="Methane",1,IF('USER INPUTS'!$B$24="Carbon dioxide",((1/($D$5/100))-1),(VLOOKUP('USER INPUTS'!$B$24,DEFAULTS!$E$8:$F$69,2,FALSE))/10^6*(1/($D$5/100)))))))</f>
        <v>0</v>
      </c>
      <c r="H103" s="62">
        <f>IF(H$8="(short tons/year)",(F103*DEFAULTS!$B$55*DEFAULTS!$B$53/DEFAULTS!$B$54),IF(H$8="(ft^3/year)",(G103*DEFAULTS!$B$57),IF(H$8="(av ft^3/min)",(G103*DEFAULTS!$B$57/DEFAULTS!$B$58),0)))</f>
        <v>0</v>
      </c>
      <c r="I103" s="62">
        <f>IF(ISERROR(METHANE!$J117*DEFAULTS!$B$82*(IF('USER INPUTS'!$B$26="Total landfill gas",(1/($D$5/100)),IF('USER INPUTS'!$B$26="Methane",1,IF('USER INPUTS'!$B$26="Carbon dioxide",((1/($D$5/100))-1),(VLOOKUP('USER INPUTS'!$B$26,DEFAULTS!$E$8:$F$69,2,FALSE))/10^6*(1/($D$5/100))))))),0,METHANE!$J117*DEFAULTS!$B$82*(IF('USER INPUTS'!$B$26="Total landfill gas",(1/($D$5/100)),IF('USER INPUTS'!$B$26="Methane",1,IF('USER INPUTS'!$B$26="Carbon dioxide",((1/($D$5/100))-1),(VLOOKUP('USER INPUTS'!$B$26,DEFAULTS!$E$8:$F$69,2,FALSE))/10^6*(1/($D$5/100)))))))</f>
        <v>0</v>
      </c>
      <c r="J103" s="62">
        <f>IF(ISERROR(METHANE!$J117*(IF('USER INPUTS'!$B$26="Total landfill gas",(1/($D$5/100)),IF('USER INPUTS'!$B$26="Methane",1,IF('USER INPUTS'!$B$26="Carbon dioxide",((1/($D$5/100))-1),(VLOOKUP('USER INPUTS'!$B$26,DEFAULTS!$E$8:$F$69,2,FALSE))/10^6*(1/($D$5/100))))))),0,METHANE!$J117*(IF('USER INPUTS'!$B$26="Total landfill gas",(1/($D$5/100)),IF('USER INPUTS'!$B$26="Methane",1,IF('USER INPUTS'!$B$26="Carbon dioxide",((1/($D$5/100))-1),(VLOOKUP('USER INPUTS'!$B$26,DEFAULTS!$E$8:$F$69,2,FALSE))/10^6*(1/($D$5/100)))))))</f>
        <v>0</v>
      </c>
      <c r="K103" s="62">
        <f>IF(K$8="(short tons/year)",(I103*DEFAULTS!$B$55*DEFAULTS!$B$53/DEFAULTS!$B$54),IF(K$8="(ft^3/year)",(J103*DEFAULTS!$B$57),IF(K$8="(av ft^3/min)",(J103*DEFAULTS!$B$57/DEFAULTS!$B$58),0)))</f>
        <v>0</v>
      </c>
      <c r="L103" s="62">
        <f>IF(ISERROR(METHANE!$J117*DEFAULTS!$B$83*(IF('USER INPUTS'!$B$28="Total landfill gas",(1/($D$5/100)),IF('USER INPUTS'!$B$28="Methane",1,IF('USER INPUTS'!$B$28="Carbon dioxide",((1/($D$5/100))-1),(VLOOKUP('USER INPUTS'!$B$28,DEFAULTS!$E$8:$F$69,2,FALSE))/10^6*(1/($D$5/100))))))),0,METHANE!$J117*DEFAULTS!$B$83*(IF('USER INPUTS'!$B$28="Total landfill gas",(1/($D$5/100)),IF('USER INPUTS'!$B$28="Methane",1,IF('USER INPUTS'!$B$28="Carbon dioxide",((1/($D$5/100))-1),(VLOOKUP('USER INPUTS'!$B$28,DEFAULTS!$E$8:$F$69,2,FALSE))/10^6*(1/($D$5/100)))))))</f>
        <v>3329.0171846688504</v>
      </c>
      <c r="M103" s="62">
        <f>IF(ISERROR(METHANE!$J117*(IF('USER INPUTS'!$B$28="Total landfill gas",(1/($D$5/100)),IF('USER INPUTS'!$B$28="Methane",1,IF('USER INPUTS'!$B$28="Carbon dioxide",((1/($D$5/100))-1),(VLOOKUP('USER INPUTS'!$B$28,DEFAULTS!$E$8:$F$69,2,FALSE))/10^6*(1/($D$5/100))))))),0,METHANE!$J117*(IF('USER INPUTS'!$B$28="Total landfill gas",(1/($D$5/100)),IF('USER INPUTS'!$B$28="Methane",1,IF('USER INPUTS'!$B$28="Carbon dioxide",((1/($D$5/100))-1),(VLOOKUP('USER INPUTS'!$B$28,DEFAULTS!$E$8:$F$69,2,FALSE))/10^6*(1/($D$5/100)))))))</f>
        <v>1818639.3792142165</v>
      </c>
      <c r="N103" s="62">
        <f>IF(N$8="(short tons/year)",(L103*DEFAULTS!$B$55*DEFAULTS!$B$53/DEFAULTS!$B$54),IF(N$8="(ft^3/year)",(M103*DEFAULTS!$B$57),IF(N$8="(av ft^3/min)",(M103*DEFAULTS!$B$57/DEFAULTS!$B$58),0)))</f>
        <v>122.19415844168579</v>
      </c>
      <c r="O103" s="62">
        <f>IF(ISERROR(METHANE!$J117*DEFAULTS!$B$84*(IF('USER INPUTS'!$B$30="Total landfill gas",(1/($D$5/100)),IF('USER INPUTS'!$B$30="Methane",1,IF('USER INPUTS'!$B$30="Carbon dioxide",((1/($D$5/100))-1),(VLOOKUP('USER INPUTS'!$B$30,DEFAULTS!$E$8:$F$69,2,FALSE))/10^6*(1/($D$5/100))))))),0,METHANE!$J117*DEFAULTS!$B$84*(IF('USER INPUTS'!$B$30="Total landfill gas",(1/($D$5/100)),IF('USER INPUTS'!$B$30="Methane",1,IF('USER INPUTS'!$B$30="Carbon dioxide",((1/($D$5/100))-1),(VLOOKUP('USER INPUTS'!$B$30,DEFAULTS!$E$8:$F$69,2,FALSE))/10^6*(1/($D$5/100)))))))</f>
        <v>0</v>
      </c>
      <c r="P103" s="62">
        <f>IF(ISERROR(METHANE!$J117*(IF('USER INPUTS'!$B$30="Total landfill gas",(1/($D$5/100)),IF('USER INPUTS'!$B$30="Methane",1,IF('USER INPUTS'!$B$30="Carbon dioxide",((1/($D$5/100))-1),(VLOOKUP('USER INPUTS'!$B$30,DEFAULTS!$E$8:$F$69,2,FALSE))/10^6*(1/($D$5/100))))))),0,METHANE!$J117*(IF('USER INPUTS'!$B$30="Total landfill gas",(1/($D$5/100)),IF('USER INPUTS'!$B$30="Methane",1,IF('USER INPUTS'!$B$30="Carbon dioxide",((1/($D$5/100))-1),(VLOOKUP('USER INPUTS'!$B$30,DEFAULTS!$E$8:$F$69,2,FALSE))/10^6*(1/($D$5/100)))))))</f>
        <v>0</v>
      </c>
      <c r="Q103" s="162">
        <f>IF(Q$8="(short tons/year)",(O103*DEFAULTS!$B$55*DEFAULTS!$B$53/DEFAULTS!$B$54),IF(Q$8="(ft^3/year)",(P103*DEFAULTS!$B$57),IF(Q$8="(av ft^3/min)",(P103*DEFAULTS!$B$57/DEFAULTS!$B$58),0)))</f>
        <v>0</v>
      </c>
    </row>
    <row r="104" spans="1:17">
      <c r="A104" s="68">
        <f>METHANE!I118</f>
        <v>2113</v>
      </c>
      <c r="B104" s="361">
        <v>0</v>
      </c>
      <c r="C104" s="361">
        <v>0</v>
      </c>
      <c r="D104" s="364">
        <f t="shared" si="2"/>
        <v>12946986</v>
      </c>
      <c r="E104" s="364">
        <f t="shared" si="3"/>
        <v>14241684.6</v>
      </c>
      <c r="F104" s="62">
        <f>IF(ISERROR(METHANE!$J118*DEFAULTS!$B$81*(IF('USER INPUTS'!$B$24="Total landfill gas",(1/($D$5/100)),IF('USER INPUTS'!$B$24="Methane",1,IF('USER INPUTS'!$B$24="Carbon dioxide",((1/($D$5/100))-1),(VLOOKUP('USER INPUTS'!$B$24,DEFAULTS!$E$8:$F$69,2,FALSE))/10^6*(1/($D$5/100))))))),0,METHANE!$J118*DEFAULTS!$B$81*(IF('USER INPUTS'!$B$24="Total landfill gas",(1/($D$5/100)),IF('USER INPUTS'!$B$24="Methane",1,IF('USER INPUTS'!$B$24="Carbon dioxide",((1/($D$5/100))-1),(VLOOKUP('USER INPUTS'!$B$24,DEFAULTS!$E$8:$F$69,2,FALSE))/10^6*(1/($D$5/100)))))))</f>
        <v>0</v>
      </c>
      <c r="G104" s="62">
        <f>IF(ISERROR(METHANE!$J118*(IF('USER INPUTS'!$B$24="Total landfill gas",(1/($D$5/100)),IF('USER INPUTS'!$B$24="Methane",1,IF('USER INPUTS'!$B$24="Carbon dioxide",((1/($D$5/100))-1),(VLOOKUP('USER INPUTS'!$B$24,DEFAULTS!$E$8:$F$69,2,FALSE))/10^6*(1/($D$5/100))))))),0,METHANE!$J118*(IF('USER INPUTS'!$B$24="Total landfill gas",(1/($D$5/100)),IF('USER INPUTS'!$B$24="Methane",1,IF('USER INPUTS'!$B$24="Carbon dioxide",((1/($D$5/100))-1),(VLOOKUP('USER INPUTS'!$B$24,DEFAULTS!$E$8:$F$69,2,FALSE))/10^6*(1/($D$5/100)))))))</f>
        <v>0</v>
      </c>
      <c r="H104" s="62">
        <f>IF(H$8="(short tons/year)",(F104*DEFAULTS!$B$55*DEFAULTS!$B$53/DEFAULTS!$B$54),IF(H$8="(ft^3/year)",(G104*DEFAULTS!$B$57),IF(H$8="(av ft^3/min)",(G104*DEFAULTS!$B$57/DEFAULTS!$B$58),0)))</f>
        <v>0</v>
      </c>
      <c r="I104" s="62">
        <f>IF(ISERROR(METHANE!$J118*DEFAULTS!$B$82*(IF('USER INPUTS'!$B$26="Total landfill gas",(1/($D$5/100)),IF('USER INPUTS'!$B$26="Methane",1,IF('USER INPUTS'!$B$26="Carbon dioxide",((1/($D$5/100))-1),(VLOOKUP('USER INPUTS'!$B$26,DEFAULTS!$E$8:$F$69,2,FALSE))/10^6*(1/($D$5/100))))))),0,METHANE!$J118*DEFAULTS!$B$82*(IF('USER INPUTS'!$B$26="Total landfill gas",(1/($D$5/100)),IF('USER INPUTS'!$B$26="Methane",1,IF('USER INPUTS'!$B$26="Carbon dioxide",((1/($D$5/100))-1),(VLOOKUP('USER INPUTS'!$B$26,DEFAULTS!$E$8:$F$69,2,FALSE))/10^6*(1/($D$5/100)))))))</f>
        <v>0</v>
      </c>
      <c r="J104" s="62">
        <f>IF(ISERROR(METHANE!$J118*(IF('USER INPUTS'!$B$26="Total landfill gas",(1/($D$5/100)),IF('USER INPUTS'!$B$26="Methane",1,IF('USER INPUTS'!$B$26="Carbon dioxide",((1/($D$5/100))-1),(VLOOKUP('USER INPUTS'!$B$26,DEFAULTS!$E$8:$F$69,2,FALSE))/10^6*(1/($D$5/100))))))),0,METHANE!$J118*(IF('USER INPUTS'!$B$26="Total landfill gas",(1/($D$5/100)),IF('USER INPUTS'!$B$26="Methane",1,IF('USER INPUTS'!$B$26="Carbon dioxide",((1/($D$5/100))-1),(VLOOKUP('USER INPUTS'!$B$26,DEFAULTS!$E$8:$F$69,2,FALSE))/10^6*(1/($D$5/100)))))))</f>
        <v>0</v>
      </c>
      <c r="K104" s="62">
        <f>IF(K$8="(short tons/year)",(I104*DEFAULTS!$B$55*DEFAULTS!$B$53/DEFAULTS!$B$54),IF(K$8="(ft^3/year)",(J104*DEFAULTS!$B$57),IF(K$8="(av ft^3/min)",(J104*DEFAULTS!$B$57/DEFAULTS!$B$58),0)))</f>
        <v>0</v>
      </c>
      <c r="L104" s="62">
        <f>IF(ISERROR(METHANE!$J118*DEFAULTS!$B$83*(IF('USER INPUTS'!$B$28="Total landfill gas",(1/($D$5/100)),IF('USER INPUTS'!$B$28="Methane",1,IF('USER INPUTS'!$B$28="Carbon dioxide",((1/($D$5/100))-1),(VLOOKUP('USER INPUTS'!$B$28,DEFAULTS!$E$8:$F$69,2,FALSE))/10^6*(1/($D$5/100))))))),0,METHANE!$J118*DEFAULTS!$B$83*(IF('USER INPUTS'!$B$28="Total landfill gas",(1/($D$5/100)),IF('USER INPUTS'!$B$28="Methane",1,IF('USER INPUTS'!$B$28="Carbon dioxide",((1/($D$5/100))-1),(VLOOKUP('USER INPUTS'!$B$28,DEFAULTS!$E$8:$F$69,2,FALSE))/10^6*(1/($D$5/100)))))))</f>
        <v>3198.4845537864308</v>
      </c>
      <c r="M104" s="62">
        <f>IF(ISERROR(METHANE!$J118*(IF('USER INPUTS'!$B$28="Total landfill gas",(1/($D$5/100)),IF('USER INPUTS'!$B$28="Methane",1,IF('USER INPUTS'!$B$28="Carbon dioxide",((1/($D$5/100))-1),(VLOOKUP('USER INPUTS'!$B$28,DEFAULTS!$E$8:$F$69,2,FALSE))/10^6*(1/($D$5/100))))))),0,METHANE!$J118*(IF('USER INPUTS'!$B$28="Total landfill gas",(1/($D$5/100)),IF('USER INPUTS'!$B$28="Methane",1,IF('USER INPUTS'!$B$28="Carbon dioxide",((1/($D$5/100))-1),(VLOOKUP('USER INPUTS'!$B$28,DEFAULTS!$E$8:$F$69,2,FALSE))/10^6*(1/($D$5/100)))))))</f>
        <v>1747329.5091755567</v>
      </c>
      <c r="N104" s="62">
        <f>IF(N$8="(short tons/year)",(L104*DEFAULTS!$B$55*DEFAULTS!$B$53/DEFAULTS!$B$54),IF(N$8="(ft^3/year)",(M104*DEFAULTS!$B$57),IF(N$8="(av ft^3/min)",(M104*DEFAULTS!$B$57/DEFAULTS!$B$58),0)))</f>
        <v>117.40285695687744</v>
      </c>
      <c r="O104" s="62">
        <f>IF(ISERROR(METHANE!$J118*DEFAULTS!$B$84*(IF('USER INPUTS'!$B$30="Total landfill gas",(1/($D$5/100)),IF('USER INPUTS'!$B$30="Methane",1,IF('USER INPUTS'!$B$30="Carbon dioxide",((1/($D$5/100))-1),(VLOOKUP('USER INPUTS'!$B$30,DEFAULTS!$E$8:$F$69,2,FALSE))/10^6*(1/($D$5/100))))))),0,METHANE!$J118*DEFAULTS!$B$84*(IF('USER INPUTS'!$B$30="Total landfill gas",(1/($D$5/100)),IF('USER INPUTS'!$B$30="Methane",1,IF('USER INPUTS'!$B$30="Carbon dioxide",((1/($D$5/100))-1),(VLOOKUP('USER INPUTS'!$B$30,DEFAULTS!$E$8:$F$69,2,FALSE))/10^6*(1/($D$5/100)))))))</f>
        <v>0</v>
      </c>
      <c r="P104" s="62">
        <f>IF(ISERROR(METHANE!$J118*(IF('USER INPUTS'!$B$30="Total landfill gas",(1/($D$5/100)),IF('USER INPUTS'!$B$30="Methane",1,IF('USER INPUTS'!$B$30="Carbon dioxide",((1/($D$5/100))-1),(VLOOKUP('USER INPUTS'!$B$30,DEFAULTS!$E$8:$F$69,2,FALSE))/10^6*(1/($D$5/100))))))),0,METHANE!$J118*(IF('USER INPUTS'!$B$30="Total landfill gas",(1/($D$5/100)),IF('USER INPUTS'!$B$30="Methane",1,IF('USER INPUTS'!$B$30="Carbon dioxide",((1/($D$5/100))-1),(VLOOKUP('USER INPUTS'!$B$30,DEFAULTS!$E$8:$F$69,2,FALSE))/10^6*(1/($D$5/100)))))))</f>
        <v>0</v>
      </c>
      <c r="Q104" s="162">
        <f>IF(Q$8="(short tons/year)",(O104*DEFAULTS!$B$55*DEFAULTS!$B$53/DEFAULTS!$B$54),IF(Q$8="(ft^3/year)",(P104*DEFAULTS!$B$57),IF(Q$8="(av ft^3/min)",(P104*DEFAULTS!$B$57/DEFAULTS!$B$58),0)))</f>
        <v>0</v>
      </c>
    </row>
    <row r="105" spans="1:17">
      <c r="A105" s="68">
        <f>METHANE!I119</f>
        <v>2114</v>
      </c>
      <c r="B105" s="361">
        <v>0</v>
      </c>
      <c r="C105" s="361">
        <v>0</v>
      </c>
      <c r="D105" s="364">
        <f t="shared" si="2"/>
        <v>12946986</v>
      </c>
      <c r="E105" s="364">
        <f t="shared" si="3"/>
        <v>14241684.6</v>
      </c>
      <c r="F105" s="62">
        <f>IF(ISERROR(METHANE!$J119*DEFAULTS!$B$81*(IF('USER INPUTS'!$B$24="Total landfill gas",(1/($D$5/100)),IF('USER INPUTS'!$B$24="Methane",1,IF('USER INPUTS'!$B$24="Carbon dioxide",((1/($D$5/100))-1),(VLOOKUP('USER INPUTS'!$B$24,DEFAULTS!$E$8:$F$69,2,FALSE))/10^6*(1/($D$5/100))))))),0,METHANE!$J119*DEFAULTS!$B$81*(IF('USER INPUTS'!$B$24="Total landfill gas",(1/($D$5/100)),IF('USER INPUTS'!$B$24="Methane",1,IF('USER INPUTS'!$B$24="Carbon dioxide",((1/($D$5/100))-1),(VLOOKUP('USER INPUTS'!$B$24,DEFAULTS!$E$8:$F$69,2,FALSE))/10^6*(1/($D$5/100)))))))</f>
        <v>0</v>
      </c>
      <c r="G105" s="62">
        <f>IF(ISERROR(METHANE!$J119*(IF('USER INPUTS'!$B$24="Total landfill gas",(1/($D$5/100)),IF('USER INPUTS'!$B$24="Methane",1,IF('USER INPUTS'!$B$24="Carbon dioxide",((1/($D$5/100))-1),(VLOOKUP('USER INPUTS'!$B$24,DEFAULTS!$E$8:$F$69,2,FALSE))/10^6*(1/($D$5/100))))))),0,METHANE!$J119*(IF('USER INPUTS'!$B$24="Total landfill gas",(1/($D$5/100)),IF('USER INPUTS'!$B$24="Methane",1,IF('USER INPUTS'!$B$24="Carbon dioxide",((1/($D$5/100))-1),(VLOOKUP('USER INPUTS'!$B$24,DEFAULTS!$E$8:$F$69,2,FALSE))/10^6*(1/($D$5/100)))))))</f>
        <v>0</v>
      </c>
      <c r="H105" s="62">
        <f>IF(H$8="(short tons/year)",(F105*DEFAULTS!$B$55*DEFAULTS!$B$53/DEFAULTS!$B$54),IF(H$8="(ft^3/year)",(G105*DEFAULTS!$B$57),IF(H$8="(av ft^3/min)",(G105*DEFAULTS!$B$57/DEFAULTS!$B$58),0)))</f>
        <v>0</v>
      </c>
      <c r="I105" s="62">
        <f>IF(ISERROR(METHANE!$J119*DEFAULTS!$B$82*(IF('USER INPUTS'!$B$26="Total landfill gas",(1/($D$5/100)),IF('USER INPUTS'!$B$26="Methane",1,IF('USER INPUTS'!$B$26="Carbon dioxide",((1/($D$5/100))-1),(VLOOKUP('USER INPUTS'!$B$26,DEFAULTS!$E$8:$F$69,2,FALSE))/10^6*(1/($D$5/100))))))),0,METHANE!$J119*DEFAULTS!$B$82*(IF('USER INPUTS'!$B$26="Total landfill gas",(1/($D$5/100)),IF('USER INPUTS'!$B$26="Methane",1,IF('USER INPUTS'!$B$26="Carbon dioxide",((1/($D$5/100))-1),(VLOOKUP('USER INPUTS'!$B$26,DEFAULTS!$E$8:$F$69,2,FALSE))/10^6*(1/($D$5/100)))))))</f>
        <v>0</v>
      </c>
      <c r="J105" s="62">
        <f>IF(ISERROR(METHANE!$J119*(IF('USER INPUTS'!$B$26="Total landfill gas",(1/($D$5/100)),IF('USER INPUTS'!$B$26="Methane",1,IF('USER INPUTS'!$B$26="Carbon dioxide",((1/($D$5/100))-1),(VLOOKUP('USER INPUTS'!$B$26,DEFAULTS!$E$8:$F$69,2,FALSE))/10^6*(1/($D$5/100))))))),0,METHANE!$J119*(IF('USER INPUTS'!$B$26="Total landfill gas",(1/($D$5/100)),IF('USER INPUTS'!$B$26="Methane",1,IF('USER INPUTS'!$B$26="Carbon dioxide",((1/($D$5/100))-1),(VLOOKUP('USER INPUTS'!$B$26,DEFAULTS!$E$8:$F$69,2,FALSE))/10^6*(1/($D$5/100)))))))</f>
        <v>0</v>
      </c>
      <c r="K105" s="62">
        <f>IF(K$8="(short tons/year)",(I105*DEFAULTS!$B$55*DEFAULTS!$B$53/DEFAULTS!$B$54),IF(K$8="(ft^3/year)",(J105*DEFAULTS!$B$57),IF(K$8="(av ft^3/min)",(J105*DEFAULTS!$B$57/DEFAULTS!$B$58),0)))</f>
        <v>0</v>
      </c>
      <c r="L105" s="62">
        <f>IF(ISERROR(METHANE!$J119*DEFAULTS!$B$83*(IF('USER INPUTS'!$B$28="Total landfill gas",(1/($D$5/100)),IF('USER INPUTS'!$B$28="Methane",1,IF('USER INPUTS'!$B$28="Carbon dioxide",((1/($D$5/100))-1),(VLOOKUP('USER INPUTS'!$B$28,DEFAULTS!$E$8:$F$69,2,FALSE))/10^6*(1/($D$5/100))))))),0,METHANE!$J119*DEFAULTS!$B$83*(IF('USER INPUTS'!$B$28="Total landfill gas",(1/($D$5/100)),IF('USER INPUTS'!$B$28="Methane",1,IF('USER INPUTS'!$B$28="Carbon dioxide",((1/($D$5/100))-1),(VLOOKUP('USER INPUTS'!$B$28,DEFAULTS!$E$8:$F$69,2,FALSE))/10^6*(1/($D$5/100)))))))</f>
        <v>3073.0701805698341</v>
      </c>
      <c r="M105" s="62">
        <f>IF(ISERROR(METHANE!$J119*(IF('USER INPUTS'!$B$28="Total landfill gas",(1/($D$5/100)),IF('USER INPUTS'!$B$28="Methane",1,IF('USER INPUTS'!$B$28="Carbon dioxide",((1/($D$5/100))-1),(VLOOKUP('USER INPUTS'!$B$28,DEFAULTS!$E$8:$F$69,2,FALSE))/10^6*(1/($D$5/100))))))),0,METHANE!$J119*(IF('USER INPUTS'!$B$28="Total landfill gas",(1/($D$5/100)),IF('USER INPUTS'!$B$28="Methane",1,IF('USER INPUTS'!$B$28="Carbon dioxide",((1/($D$5/100))-1),(VLOOKUP('USER INPUTS'!$B$28,DEFAULTS!$E$8:$F$69,2,FALSE))/10^6*(1/($D$5/100)))))))</f>
        <v>1678815.7391350872</v>
      </c>
      <c r="N105" s="62">
        <f>IF(N$8="(short tons/year)",(L105*DEFAULTS!$B$55*DEFAULTS!$B$53/DEFAULTS!$B$54),IF(N$8="(ft^3/year)",(M105*DEFAULTS!$B$57),IF(N$8="(av ft^3/min)",(M105*DEFAULTS!$B$57/DEFAULTS!$B$58),0)))</f>
        <v>112.79942509047869</v>
      </c>
      <c r="O105" s="62">
        <f>IF(ISERROR(METHANE!$J119*DEFAULTS!$B$84*(IF('USER INPUTS'!$B$30="Total landfill gas",(1/($D$5/100)),IF('USER INPUTS'!$B$30="Methane",1,IF('USER INPUTS'!$B$30="Carbon dioxide",((1/($D$5/100))-1),(VLOOKUP('USER INPUTS'!$B$30,DEFAULTS!$E$8:$F$69,2,FALSE))/10^6*(1/($D$5/100))))))),0,METHANE!$J119*DEFAULTS!$B$84*(IF('USER INPUTS'!$B$30="Total landfill gas",(1/($D$5/100)),IF('USER INPUTS'!$B$30="Methane",1,IF('USER INPUTS'!$B$30="Carbon dioxide",((1/($D$5/100))-1),(VLOOKUP('USER INPUTS'!$B$30,DEFAULTS!$E$8:$F$69,2,FALSE))/10^6*(1/($D$5/100)))))))</f>
        <v>0</v>
      </c>
      <c r="P105" s="62">
        <f>IF(ISERROR(METHANE!$J119*(IF('USER INPUTS'!$B$30="Total landfill gas",(1/($D$5/100)),IF('USER INPUTS'!$B$30="Methane",1,IF('USER INPUTS'!$B$30="Carbon dioxide",((1/($D$5/100))-1),(VLOOKUP('USER INPUTS'!$B$30,DEFAULTS!$E$8:$F$69,2,FALSE))/10^6*(1/($D$5/100))))))),0,METHANE!$J119*(IF('USER INPUTS'!$B$30="Total landfill gas",(1/($D$5/100)),IF('USER INPUTS'!$B$30="Methane",1,IF('USER INPUTS'!$B$30="Carbon dioxide",((1/($D$5/100))-1),(VLOOKUP('USER INPUTS'!$B$30,DEFAULTS!$E$8:$F$69,2,FALSE))/10^6*(1/($D$5/100)))))))</f>
        <v>0</v>
      </c>
      <c r="Q105" s="162">
        <f>IF(Q$8="(short tons/year)",(O105*DEFAULTS!$B$55*DEFAULTS!$B$53/DEFAULTS!$B$54),IF(Q$8="(ft^3/year)",(P105*DEFAULTS!$B$57),IF(Q$8="(av ft^3/min)",(P105*DEFAULTS!$B$57/DEFAULTS!$B$58),0)))</f>
        <v>0</v>
      </c>
    </row>
    <row r="106" spans="1:17">
      <c r="A106" s="68">
        <f>METHANE!I120</f>
        <v>2115</v>
      </c>
      <c r="B106" s="361">
        <v>0</v>
      </c>
      <c r="C106" s="361">
        <v>0</v>
      </c>
      <c r="D106" s="364">
        <f t="shared" si="2"/>
        <v>12946986</v>
      </c>
      <c r="E106" s="364">
        <f t="shared" si="3"/>
        <v>14241684.6</v>
      </c>
      <c r="F106" s="62">
        <f>IF(ISERROR(METHANE!$J120*DEFAULTS!$B$81*(IF('USER INPUTS'!$B$24="Total landfill gas",(1/($D$5/100)),IF('USER INPUTS'!$B$24="Methane",1,IF('USER INPUTS'!$B$24="Carbon dioxide",((1/($D$5/100))-1),(VLOOKUP('USER INPUTS'!$B$24,DEFAULTS!$E$8:$F$69,2,FALSE))/10^6*(1/($D$5/100))))))),0,METHANE!$J120*DEFAULTS!$B$81*(IF('USER INPUTS'!$B$24="Total landfill gas",(1/($D$5/100)),IF('USER INPUTS'!$B$24="Methane",1,IF('USER INPUTS'!$B$24="Carbon dioxide",((1/($D$5/100))-1),(VLOOKUP('USER INPUTS'!$B$24,DEFAULTS!$E$8:$F$69,2,FALSE))/10^6*(1/($D$5/100)))))))</f>
        <v>0</v>
      </c>
      <c r="G106" s="62">
        <f>IF(ISERROR(METHANE!$J120*(IF('USER INPUTS'!$B$24="Total landfill gas",(1/($D$5/100)),IF('USER INPUTS'!$B$24="Methane",1,IF('USER INPUTS'!$B$24="Carbon dioxide",((1/($D$5/100))-1),(VLOOKUP('USER INPUTS'!$B$24,DEFAULTS!$E$8:$F$69,2,FALSE))/10^6*(1/($D$5/100))))))),0,METHANE!$J120*(IF('USER INPUTS'!$B$24="Total landfill gas",(1/($D$5/100)),IF('USER INPUTS'!$B$24="Methane",1,IF('USER INPUTS'!$B$24="Carbon dioxide",((1/($D$5/100))-1),(VLOOKUP('USER INPUTS'!$B$24,DEFAULTS!$E$8:$F$69,2,FALSE))/10^6*(1/($D$5/100)))))))</f>
        <v>0</v>
      </c>
      <c r="H106" s="62">
        <f>IF(H$8="(short tons/year)",(F106*DEFAULTS!$B$55*DEFAULTS!$B$53/DEFAULTS!$B$54),IF(H$8="(ft^3/year)",(G106*DEFAULTS!$B$57),IF(H$8="(av ft^3/min)",(G106*DEFAULTS!$B$57/DEFAULTS!$B$58),0)))</f>
        <v>0</v>
      </c>
      <c r="I106" s="62">
        <f>IF(ISERROR(METHANE!$J120*DEFAULTS!$B$82*(IF('USER INPUTS'!$B$26="Total landfill gas",(1/($D$5/100)),IF('USER INPUTS'!$B$26="Methane",1,IF('USER INPUTS'!$B$26="Carbon dioxide",((1/($D$5/100))-1),(VLOOKUP('USER INPUTS'!$B$26,DEFAULTS!$E$8:$F$69,2,FALSE))/10^6*(1/($D$5/100))))))),0,METHANE!$J120*DEFAULTS!$B$82*(IF('USER INPUTS'!$B$26="Total landfill gas",(1/($D$5/100)),IF('USER INPUTS'!$B$26="Methane",1,IF('USER INPUTS'!$B$26="Carbon dioxide",((1/($D$5/100))-1),(VLOOKUP('USER INPUTS'!$B$26,DEFAULTS!$E$8:$F$69,2,FALSE))/10^6*(1/($D$5/100)))))))</f>
        <v>0</v>
      </c>
      <c r="J106" s="62">
        <f>IF(ISERROR(METHANE!$J120*(IF('USER INPUTS'!$B$26="Total landfill gas",(1/($D$5/100)),IF('USER INPUTS'!$B$26="Methane",1,IF('USER INPUTS'!$B$26="Carbon dioxide",((1/($D$5/100))-1),(VLOOKUP('USER INPUTS'!$B$26,DEFAULTS!$E$8:$F$69,2,FALSE))/10^6*(1/($D$5/100))))))),0,METHANE!$J120*(IF('USER INPUTS'!$B$26="Total landfill gas",(1/($D$5/100)),IF('USER INPUTS'!$B$26="Methane",1,IF('USER INPUTS'!$B$26="Carbon dioxide",((1/($D$5/100))-1),(VLOOKUP('USER INPUTS'!$B$26,DEFAULTS!$E$8:$F$69,2,FALSE))/10^6*(1/($D$5/100)))))))</f>
        <v>0</v>
      </c>
      <c r="K106" s="62">
        <f>IF(K$8="(short tons/year)",(I106*DEFAULTS!$B$55*DEFAULTS!$B$53/DEFAULTS!$B$54),IF(K$8="(ft^3/year)",(J106*DEFAULTS!$B$57),IF(K$8="(av ft^3/min)",(J106*DEFAULTS!$B$57/DEFAULTS!$B$58),0)))</f>
        <v>0</v>
      </c>
      <c r="L106" s="62">
        <f>IF(ISERROR(METHANE!$J120*DEFAULTS!$B$83*(IF('USER INPUTS'!$B$28="Total landfill gas",(1/($D$5/100)),IF('USER INPUTS'!$B$28="Methane",1,IF('USER INPUTS'!$B$28="Carbon dioxide",((1/($D$5/100))-1),(VLOOKUP('USER INPUTS'!$B$28,DEFAULTS!$E$8:$F$69,2,FALSE))/10^6*(1/($D$5/100))))))),0,METHANE!$J120*DEFAULTS!$B$83*(IF('USER INPUTS'!$B$28="Total landfill gas",(1/($D$5/100)),IF('USER INPUTS'!$B$28="Methane",1,IF('USER INPUTS'!$B$28="Carbon dioxide",((1/($D$5/100))-1),(VLOOKUP('USER INPUTS'!$B$28,DEFAULTS!$E$8:$F$69,2,FALSE))/10^6*(1/($D$5/100)))))))</f>
        <v>2952.5733752654191</v>
      </c>
      <c r="M106" s="62">
        <f>IF(ISERROR(METHANE!$J120*(IF('USER INPUTS'!$B$28="Total landfill gas",(1/($D$5/100)),IF('USER INPUTS'!$B$28="Methane",1,IF('USER INPUTS'!$B$28="Carbon dioxide",((1/($D$5/100))-1),(VLOOKUP('USER INPUTS'!$B$28,DEFAULTS!$E$8:$F$69,2,FALSE))/10^6*(1/($D$5/100))))))),0,METHANE!$J120*(IF('USER INPUTS'!$B$28="Total landfill gas",(1/($D$5/100)),IF('USER INPUTS'!$B$28="Methane",1,IF('USER INPUTS'!$B$28="Carbon dioxide",((1/($D$5/100))-1),(VLOOKUP('USER INPUTS'!$B$28,DEFAULTS!$E$8:$F$69,2,FALSE))/10^6*(1/($D$5/100)))))))</f>
        <v>1612988.4324436935</v>
      </c>
      <c r="N106" s="62">
        <f>IF(N$8="(short tons/year)",(L106*DEFAULTS!$B$55*DEFAULTS!$B$53/DEFAULTS!$B$54),IF(N$8="(ft^3/year)",(M106*DEFAULTS!$B$57),IF(N$8="(av ft^3/min)",(M106*DEFAULTS!$B$57/DEFAULTS!$B$58),0)))</f>
        <v>108.37649636938552</v>
      </c>
      <c r="O106" s="62">
        <f>IF(ISERROR(METHANE!$J120*DEFAULTS!$B$84*(IF('USER INPUTS'!$B$30="Total landfill gas",(1/($D$5/100)),IF('USER INPUTS'!$B$30="Methane",1,IF('USER INPUTS'!$B$30="Carbon dioxide",((1/($D$5/100))-1),(VLOOKUP('USER INPUTS'!$B$30,DEFAULTS!$E$8:$F$69,2,FALSE))/10^6*(1/($D$5/100))))))),0,METHANE!$J120*DEFAULTS!$B$84*(IF('USER INPUTS'!$B$30="Total landfill gas",(1/($D$5/100)),IF('USER INPUTS'!$B$30="Methane",1,IF('USER INPUTS'!$B$30="Carbon dioxide",((1/($D$5/100))-1),(VLOOKUP('USER INPUTS'!$B$30,DEFAULTS!$E$8:$F$69,2,FALSE))/10^6*(1/($D$5/100)))))))</f>
        <v>0</v>
      </c>
      <c r="P106" s="62">
        <f>IF(ISERROR(METHANE!$J120*(IF('USER INPUTS'!$B$30="Total landfill gas",(1/($D$5/100)),IF('USER INPUTS'!$B$30="Methane",1,IF('USER INPUTS'!$B$30="Carbon dioxide",((1/($D$5/100))-1),(VLOOKUP('USER INPUTS'!$B$30,DEFAULTS!$E$8:$F$69,2,FALSE))/10^6*(1/($D$5/100))))))),0,METHANE!$J120*(IF('USER INPUTS'!$B$30="Total landfill gas",(1/($D$5/100)),IF('USER INPUTS'!$B$30="Methane",1,IF('USER INPUTS'!$B$30="Carbon dioxide",((1/($D$5/100))-1),(VLOOKUP('USER INPUTS'!$B$30,DEFAULTS!$E$8:$F$69,2,FALSE))/10^6*(1/($D$5/100)))))))</f>
        <v>0</v>
      </c>
      <c r="Q106" s="162">
        <f>IF(Q$8="(short tons/year)",(O106*DEFAULTS!$B$55*DEFAULTS!$B$53/DEFAULTS!$B$54),IF(Q$8="(ft^3/year)",(P106*DEFAULTS!$B$57),IF(Q$8="(av ft^3/min)",(P106*DEFAULTS!$B$57/DEFAULTS!$B$58),0)))</f>
        <v>0</v>
      </c>
    </row>
    <row r="107" spans="1:17">
      <c r="A107" s="68">
        <f>METHANE!I121</f>
        <v>2116</v>
      </c>
      <c r="B107" s="361">
        <v>0</v>
      </c>
      <c r="C107" s="361">
        <v>0</v>
      </c>
      <c r="D107" s="364">
        <f t="shared" si="2"/>
        <v>12946986</v>
      </c>
      <c r="E107" s="364">
        <f t="shared" si="3"/>
        <v>14241684.6</v>
      </c>
      <c r="F107" s="62">
        <f>IF(ISERROR(METHANE!$J121*DEFAULTS!$B$81*(IF('USER INPUTS'!$B$24="Total landfill gas",(1/($D$5/100)),IF('USER INPUTS'!$B$24="Methane",1,IF('USER INPUTS'!$B$24="Carbon dioxide",((1/($D$5/100))-1),(VLOOKUP('USER INPUTS'!$B$24,DEFAULTS!$E$8:$F$69,2,FALSE))/10^6*(1/($D$5/100))))))),0,METHANE!$J121*DEFAULTS!$B$81*(IF('USER INPUTS'!$B$24="Total landfill gas",(1/($D$5/100)),IF('USER INPUTS'!$B$24="Methane",1,IF('USER INPUTS'!$B$24="Carbon dioxide",((1/($D$5/100))-1),(VLOOKUP('USER INPUTS'!$B$24,DEFAULTS!$E$8:$F$69,2,FALSE))/10^6*(1/($D$5/100)))))))</f>
        <v>0</v>
      </c>
      <c r="G107" s="62">
        <f>IF(ISERROR(METHANE!$J121*(IF('USER INPUTS'!$B$24="Total landfill gas",(1/($D$5/100)),IF('USER INPUTS'!$B$24="Methane",1,IF('USER INPUTS'!$B$24="Carbon dioxide",((1/($D$5/100))-1),(VLOOKUP('USER INPUTS'!$B$24,DEFAULTS!$E$8:$F$69,2,FALSE))/10^6*(1/($D$5/100))))))),0,METHANE!$J121*(IF('USER INPUTS'!$B$24="Total landfill gas",(1/($D$5/100)),IF('USER INPUTS'!$B$24="Methane",1,IF('USER INPUTS'!$B$24="Carbon dioxide",((1/($D$5/100))-1),(VLOOKUP('USER INPUTS'!$B$24,DEFAULTS!$E$8:$F$69,2,FALSE))/10^6*(1/($D$5/100)))))))</f>
        <v>0</v>
      </c>
      <c r="H107" s="62">
        <f>IF(H$8="(short tons/year)",(F107*DEFAULTS!$B$55*DEFAULTS!$B$53/DEFAULTS!$B$54),IF(H$8="(ft^3/year)",(G107*DEFAULTS!$B$57),IF(H$8="(av ft^3/min)",(G107*DEFAULTS!$B$57/DEFAULTS!$B$58),0)))</f>
        <v>0</v>
      </c>
      <c r="I107" s="62">
        <f>IF(ISERROR(METHANE!$J121*DEFAULTS!$B$82*(IF('USER INPUTS'!$B$26="Total landfill gas",(1/($D$5/100)),IF('USER INPUTS'!$B$26="Methane",1,IF('USER INPUTS'!$B$26="Carbon dioxide",((1/($D$5/100))-1),(VLOOKUP('USER INPUTS'!$B$26,DEFAULTS!$E$8:$F$69,2,FALSE))/10^6*(1/($D$5/100))))))),0,METHANE!$J121*DEFAULTS!$B$82*(IF('USER INPUTS'!$B$26="Total landfill gas",(1/($D$5/100)),IF('USER INPUTS'!$B$26="Methane",1,IF('USER INPUTS'!$B$26="Carbon dioxide",((1/($D$5/100))-1),(VLOOKUP('USER INPUTS'!$B$26,DEFAULTS!$E$8:$F$69,2,FALSE))/10^6*(1/($D$5/100)))))))</f>
        <v>0</v>
      </c>
      <c r="J107" s="62">
        <f>IF(ISERROR(METHANE!$J121*(IF('USER INPUTS'!$B$26="Total landfill gas",(1/($D$5/100)),IF('USER INPUTS'!$B$26="Methane",1,IF('USER INPUTS'!$B$26="Carbon dioxide",((1/($D$5/100))-1),(VLOOKUP('USER INPUTS'!$B$26,DEFAULTS!$E$8:$F$69,2,FALSE))/10^6*(1/($D$5/100))))))),0,METHANE!$J121*(IF('USER INPUTS'!$B$26="Total landfill gas",(1/($D$5/100)),IF('USER INPUTS'!$B$26="Methane",1,IF('USER INPUTS'!$B$26="Carbon dioxide",((1/($D$5/100))-1),(VLOOKUP('USER INPUTS'!$B$26,DEFAULTS!$E$8:$F$69,2,FALSE))/10^6*(1/($D$5/100)))))))</f>
        <v>0</v>
      </c>
      <c r="K107" s="62">
        <f>IF(K$8="(short tons/year)",(I107*DEFAULTS!$B$55*DEFAULTS!$B$53/DEFAULTS!$B$54),IF(K$8="(ft^3/year)",(J107*DEFAULTS!$B$57),IF(K$8="(av ft^3/min)",(J107*DEFAULTS!$B$57/DEFAULTS!$B$58),0)))</f>
        <v>0</v>
      </c>
      <c r="L107" s="62">
        <f>IF(ISERROR(METHANE!$J121*DEFAULTS!$B$83*(IF('USER INPUTS'!$B$28="Total landfill gas",(1/($D$5/100)),IF('USER INPUTS'!$B$28="Methane",1,IF('USER INPUTS'!$B$28="Carbon dioxide",((1/($D$5/100))-1),(VLOOKUP('USER INPUTS'!$B$28,DEFAULTS!$E$8:$F$69,2,FALSE))/10^6*(1/($D$5/100))))))),0,METHANE!$J121*DEFAULTS!$B$83*(IF('USER INPUTS'!$B$28="Total landfill gas",(1/($D$5/100)),IF('USER INPUTS'!$B$28="Methane",1,IF('USER INPUTS'!$B$28="Carbon dioxide",((1/($D$5/100))-1),(VLOOKUP('USER INPUTS'!$B$28,DEFAULTS!$E$8:$F$69,2,FALSE))/10^6*(1/($D$5/100)))))))</f>
        <v>2836.801317277344</v>
      </c>
      <c r="M107" s="62">
        <f>IF(ISERROR(METHANE!$J121*(IF('USER INPUTS'!$B$28="Total landfill gas",(1/($D$5/100)),IF('USER INPUTS'!$B$28="Methane",1,IF('USER INPUTS'!$B$28="Carbon dioxide",((1/($D$5/100))-1),(VLOOKUP('USER INPUTS'!$B$28,DEFAULTS!$E$8:$F$69,2,FALSE))/10^6*(1/($D$5/100))))))),0,METHANE!$J121*(IF('USER INPUTS'!$B$28="Total landfill gas",(1/($D$5/100)),IF('USER INPUTS'!$B$28="Methane",1,IF('USER INPUTS'!$B$28="Carbon dioxide",((1/($D$5/100))-1),(VLOOKUP('USER INPUTS'!$B$28,DEFAULTS!$E$8:$F$69,2,FALSE))/10^6*(1/($D$5/100)))))))</f>
        <v>1549742.251366761</v>
      </c>
      <c r="N107" s="62">
        <f>IF(N$8="(short tons/year)",(L107*DEFAULTS!$B$55*DEFAULTS!$B$53/DEFAULTS!$B$54),IF(N$8="(ft^3/year)",(M107*DEFAULTS!$B$57),IF(N$8="(av ft^3/min)",(M107*DEFAULTS!$B$57/DEFAULTS!$B$58),0)))</f>
        <v>104.1269931640357</v>
      </c>
      <c r="O107" s="62">
        <f>IF(ISERROR(METHANE!$J121*DEFAULTS!$B$84*(IF('USER INPUTS'!$B$30="Total landfill gas",(1/($D$5/100)),IF('USER INPUTS'!$B$30="Methane",1,IF('USER INPUTS'!$B$30="Carbon dioxide",((1/($D$5/100))-1),(VLOOKUP('USER INPUTS'!$B$30,DEFAULTS!$E$8:$F$69,2,FALSE))/10^6*(1/($D$5/100))))))),0,METHANE!$J121*DEFAULTS!$B$84*(IF('USER INPUTS'!$B$30="Total landfill gas",(1/($D$5/100)),IF('USER INPUTS'!$B$30="Methane",1,IF('USER INPUTS'!$B$30="Carbon dioxide",((1/($D$5/100))-1),(VLOOKUP('USER INPUTS'!$B$30,DEFAULTS!$E$8:$F$69,2,FALSE))/10^6*(1/($D$5/100)))))))</f>
        <v>0</v>
      </c>
      <c r="P107" s="62">
        <f>IF(ISERROR(METHANE!$J121*(IF('USER INPUTS'!$B$30="Total landfill gas",(1/($D$5/100)),IF('USER INPUTS'!$B$30="Methane",1,IF('USER INPUTS'!$B$30="Carbon dioxide",((1/($D$5/100))-1),(VLOOKUP('USER INPUTS'!$B$30,DEFAULTS!$E$8:$F$69,2,FALSE))/10^6*(1/($D$5/100))))))),0,METHANE!$J121*(IF('USER INPUTS'!$B$30="Total landfill gas",(1/($D$5/100)),IF('USER INPUTS'!$B$30="Methane",1,IF('USER INPUTS'!$B$30="Carbon dioxide",((1/($D$5/100))-1),(VLOOKUP('USER INPUTS'!$B$30,DEFAULTS!$E$8:$F$69,2,FALSE))/10^6*(1/($D$5/100)))))))</f>
        <v>0</v>
      </c>
      <c r="Q107" s="162">
        <f>IF(Q$8="(short tons/year)",(O107*DEFAULTS!$B$55*DEFAULTS!$B$53/DEFAULTS!$B$54),IF(Q$8="(ft^3/year)",(P107*DEFAULTS!$B$57),IF(Q$8="(av ft^3/min)",(P107*DEFAULTS!$B$57/DEFAULTS!$B$58),0)))</f>
        <v>0</v>
      </c>
    </row>
    <row r="108" spans="1:17">
      <c r="A108" s="68">
        <f>METHANE!I122</f>
        <v>2117</v>
      </c>
      <c r="B108" s="361">
        <v>0</v>
      </c>
      <c r="C108" s="361">
        <v>0</v>
      </c>
      <c r="D108" s="364">
        <f t="shared" si="2"/>
        <v>12946986</v>
      </c>
      <c r="E108" s="364">
        <f t="shared" si="3"/>
        <v>14241684.6</v>
      </c>
      <c r="F108" s="62">
        <f>IF(ISERROR(METHANE!$J122*DEFAULTS!$B$81*(IF('USER INPUTS'!$B$24="Total landfill gas",(1/($D$5/100)),IF('USER INPUTS'!$B$24="Methane",1,IF('USER INPUTS'!$B$24="Carbon dioxide",((1/($D$5/100))-1),(VLOOKUP('USER INPUTS'!$B$24,DEFAULTS!$E$8:$F$69,2,FALSE))/10^6*(1/($D$5/100))))))),0,METHANE!$J122*DEFAULTS!$B$81*(IF('USER INPUTS'!$B$24="Total landfill gas",(1/($D$5/100)),IF('USER INPUTS'!$B$24="Methane",1,IF('USER INPUTS'!$B$24="Carbon dioxide",((1/($D$5/100))-1),(VLOOKUP('USER INPUTS'!$B$24,DEFAULTS!$E$8:$F$69,2,FALSE))/10^6*(1/($D$5/100)))))))</f>
        <v>0</v>
      </c>
      <c r="G108" s="62">
        <f>IF(ISERROR(METHANE!$J122*(IF('USER INPUTS'!$B$24="Total landfill gas",(1/($D$5/100)),IF('USER INPUTS'!$B$24="Methane",1,IF('USER INPUTS'!$B$24="Carbon dioxide",((1/($D$5/100))-1),(VLOOKUP('USER INPUTS'!$B$24,DEFAULTS!$E$8:$F$69,2,FALSE))/10^6*(1/($D$5/100))))))),0,METHANE!$J122*(IF('USER INPUTS'!$B$24="Total landfill gas",(1/($D$5/100)),IF('USER INPUTS'!$B$24="Methane",1,IF('USER INPUTS'!$B$24="Carbon dioxide",((1/($D$5/100))-1),(VLOOKUP('USER INPUTS'!$B$24,DEFAULTS!$E$8:$F$69,2,FALSE))/10^6*(1/($D$5/100)))))))</f>
        <v>0</v>
      </c>
      <c r="H108" s="62">
        <f>IF(H$8="(short tons/year)",(F108*DEFAULTS!$B$55*DEFAULTS!$B$53/DEFAULTS!$B$54),IF(H$8="(ft^3/year)",(G108*DEFAULTS!$B$57),IF(H$8="(av ft^3/min)",(G108*DEFAULTS!$B$57/DEFAULTS!$B$58),0)))</f>
        <v>0</v>
      </c>
      <c r="I108" s="62">
        <f>IF(ISERROR(METHANE!$J122*DEFAULTS!$B$82*(IF('USER INPUTS'!$B$26="Total landfill gas",(1/($D$5/100)),IF('USER INPUTS'!$B$26="Methane",1,IF('USER INPUTS'!$B$26="Carbon dioxide",((1/($D$5/100))-1),(VLOOKUP('USER INPUTS'!$B$26,DEFAULTS!$E$8:$F$69,2,FALSE))/10^6*(1/($D$5/100))))))),0,METHANE!$J122*DEFAULTS!$B$82*(IF('USER INPUTS'!$B$26="Total landfill gas",(1/($D$5/100)),IF('USER INPUTS'!$B$26="Methane",1,IF('USER INPUTS'!$B$26="Carbon dioxide",((1/($D$5/100))-1),(VLOOKUP('USER INPUTS'!$B$26,DEFAULTS!$E$8:$F$69,2,FALSE))/10^6*(1/($D$5/100)))))))</f>
        <v>0</v>
      </c>
      <c r="J108" s="62">
        <f>IF(ISERROR(METHANE!$J122*(IF('USER INPUTS'!$B$26="Total landfill gas",(1/($D$5/100)),IF('USER INPUTS'!$B$26="Methane",1,IF('USER INPUTS'!$B$26="Carbon dioxide",((1/($D$5/100))-1),(VLOOKUP('USER INPUTS'!$B$26,DEFAULTS!$E$8:$F$69,2,FALSE))/10^6*(1/($D$5/100))))))),0,METHANE!$J122*(IF('USER INPUTS'!$B$26="Total landfill gas",(1/($D$5/100)),IF('USER INPUTS'!$B$26="Methane",1,IF('USER INPUTS'!$B$26="Carbon dioxide",((1/($D$5/100))-1),(VLOOKUP('USER INPUTS'!$B$26,DEFAULTS!$E$8:$F$69,2,FALSE))/10^6*(1/($D$5/100)))))))</f>
        <v>0</v>
      </c>
      <c r="K108" s="62">
        <f>IF(K$8="(short tons/year)",(I108*DEFAULTS!$B$55*DEFAULTS!$B$53/DEFAULTS!$B$54),IF(K$8="(ft^3/year)",(J108*DEFAULTS!$B$57),IF(K$8="(av ft^3/min)",(J108*DEFAULTS!$B$57/DEFAULTS!$B$58),0)))</f>
        <v>0</v>
      </c>
      <c r="L108" s="62">
        <f>IF(ISERROR(METHANE!$J122*DEFAULTS!$B$83*(IF('USER INPUTS'!$B$28="Total landfill gas",(1/($D$5/100)),IF('USER INPUTS'!$B$28="Methane",1,IF('USER INPUTS'!$B$28="Carbon dioxide",((1/($D$5/100))-1),(VLOOKUP('USER INPUTS'!$B$28,DEFAULTS!$E$8:$F$69,2,FALSE))/10^6*(1/($D$5/100))))))),0,METHANE!$J122*DEFAULTS!$B$83*(IF('USER INPUTS'!$B$28="Total landfill gas",(1/($D$5/100)),IF('USER INPUTS'!$B$28="Methane",1,IF('USER INPUTS'!$B$28="Carbon dioxide",((1/($D$5/100))-1),(VLOOKUP('USER INPUTS'!$B$28,DEFAULTS!$E$8:$F$69,2,FALSE))/10^6*(1/($D$5/100)))))))</f>
        <v>2725.5687466134705</v>
      </c>
      <c r="M108" s="62">
        <f>IF(ISERROR(METHANE!$J122*(IF('USER INPUTS'!$B$28="Total landfill gas",(1/($D$5/100)),IF('USER INPUTS'!$B$28="Methane",1,IF('USER INPUTS'!$B$28="Carbon dioxide",((1/($D$5/100))-1),(VLOOKUP('USER INPUTS'!$B$28,DEFAULTS!$E$8:$F$69,2,FALSE))/10^6*(1/($D$5/100))))))),0,METHANE!$J122*(IF('USER INPUTS'!$B$28="Total landfill gas",(1/($D$5/100)),IF('USER INPUTS'!$B$28="Methane",1,IF('USER INPUTS'!$B$28="Carbon dioxide",((1/($D$5/100))-1),(VLOOKUP('USER INPUTS'!$B$28,DEFAULTS!$E$8:$F$69,2,FALSE))/10^6*(1/($D$5/100)))))))</f>
        <v>1488975.9885213287</v>
      </c>
      <c r="N108" s="62">
        <f>IF(N$8="(short tons/year)",(L108*DEFAULTS!$B$55*DEFAULTS!$B$53/DEFAULTS!$B$54),IF(N$8="(ft^3/year)",(M108*DEFAULTS!$B$57),IF(N$8="(av ft^3/min)",(M108*DEFAULTS!$B$57/DEFAULTS!$B$58),0)))</f>
        <v>100.04411536269163</v>
      </c>
      <c r="O108" s="62">
        <f>IF(ISERROR(METHANE!$J122*DEFAULTS!$B$84*(IF('USER INPUTS'!$B$30="Total landfill gas",(1/($D$5/100)),IF('USER INPUTS'!$B$30="Methane",1,IF('USER INPUTS'!$B$30="Carbon dioxide",((1/($D$5/100))-1),(VLOOKUP('USER INPUTS'!$B$30,DEFAULTS!$E$8:$F$69,2,FALSE))/10^6*(1/($D$5/100))))))),0,METHANE!$J122*DEFAULTS!$B$84*(IF('USER INPUTS'!$B$30="Total landfill gas",(1/($D$5/100)),IF('USER INPUTS'!$B$30="Methane",1,IF('USER INPUTS'!$B$30="Carbon dioxide",((1/($D$5/100))-1),(VLOOKUP('USER INPUTS'!$B$30,DEFAULTS!$E$8:$F$69,2,FALSE))/10^6*(1/($D$5/100)))))))</f>
        <v>0</v>
      </c>
      <c r="P108" s="62">
        <f>IF(ISERROR(METHANE!$J122*(IF('USER INPUTS'!$B$30="Total landfill gas",(1/($D$5/100)),IF('USER INPUTS'!$B$30="Methane",1,IF('USER INPUTS'!$B$30="Carbon dioxide",((1/($D$5/100))-1),(VLOOKUP('USER INPUTS'!$B$30,DEFAULTS!$E$8:$F$69,2,FALSE))/10^6*(1/($D$5/100))))))),0,METHANE!$J122*(IF('USER INPUTS'!$B$30="Total landfill gas",(1/($D$5/100)),IF('USER INPUTS'!$B$30="Methane",1,IF('USER INPUTS'!$B$30="Carbon dioxide",((1/($D$5/100))-1),(VLOOKUP('USER INPUTS'!$B$30,DEFAULTS!$E$8:$F$69,2,FALSE))/10^6*(1/($D$5/100)))))))</f>
        <v>0</v>
      </c>
      <c r="Q108" s="162">
        <f>IF(Q$8="(short tons/year)",(O108*DEFAULTS!$B$55*DEFAULTS!$B$53/DEFAULTS!$B$54),IF(Q$8="(ft^3/year)",(P108*DEFAULTS!$B$57),IF(Q$8="(av ft^3/min)",(P108*DEFAULTS!$B$57/DEFAULTS!$B$58),0)))</f>
        <v>0</v>
      </c>
    </row>
    <row r="109" spans="1:17">
      <c r="A109" s="68">
        <f>METHANE!I123</f>
        <v>2118</v>
      </c>
      <c r="B109" s="361">
        <v>0</v>
      </c>
      <c r="C109" s="361">
        <v>0</v>
      </c>
      <c r="D109" s="364">
        <f t="shared" si="2"/>
        <v>12946986</v>
      </c>
      <c r="E109" s="364">
        <f t="shared" si="3"/>
        <v>14241684.6</v>
      </c>
      <c r="F109" s="62">
        <f>IF(ISERROR(METHANE!$J123*DEFAULTS!$B$81*(IF('USER INPUTS'!$B$24="Total landfill gas",(1/($D$5/100)),IF('USER INPUTS'!$B$24="Methane",1,IF('USER INPUTS'!$B$24="Carbon dioxide",((1/($D$5/100))-1),(VLOOKUP('USER INPUTS'!$B$24,DEFAULTS!$E$8:$F$69,2,FALSE))/10^6*(1/($D$5/100))))))),0,METHANE!$J123*DEFAULTS!$B$81*(IF('USER INPUTS'!$B$24="Total landfill gas",(1/($D$5/100)),IF('USER INPUTS'!$B$24="Methane",1,IF('USER INPUTS'!$B$24="Carbon dioxide",((1/($D$5/100))-1),(VLOOKUP('USER INPUTS'!$B$24,DEFAULTS!$E$8:$F$69,2,FALSE))/10^6*(1/($D$5/100)))))))</f>
        <v>0</v>
      </c>
      <c r="G109" s="62">
        <f>IF(ISERROR(METHANE!$J123*(IF('USER INPUTS'!$B$24="Total landfill gas",(1/($D$5/100)),IF('USER INPUTS'!$B$24="Methane",1,IF('USER INPUTS'!$B$24="Carbon dioxide",((1/($D$5/100))-1),(VLOOKUP('USER INPUTS'!$B$24,DEFAULTS!$E$8:$F$69,2,FALSE))/10^6*(1/($D$5/100))))))),0,METHANE!$J123*(IF('USER INPUTS'!$B$24="Total landfill gas",(1/($D$5/100)),IF('USER INPUTS'!$B$24="Methane",1,IF('USER INPUTS'!$B$24="Carbon dioxide",((1/($D$5/100))-1),(VLOOKUP('USER INPUTS'!$B$24,DEFAULTS!$E$8:$F$69,2,FALSE))/10^6*(1/($D$5/100)))))))</f>
        <v>0</v>
      </c>
      <c r="H109" s="62">
        <f>IF(H$8="(short tons/year)",(F109*DEFAULTS!$B$55*DEFAULTS!$B$53/DEFAULTS!$B$54),IF(H$8="(ft^3/year)",(G109*DEFAULTS!$B$57),IF(H$8="(av ft^3/min)",(G109*DEFAULTS!$B$57/DEFAULTS!$B$58),0)))</f>
        <v>0</v>
      </c>
      <c r="I109" s="62">
        <f>IF(ISERROR(METHANE!$J123*DEFAULTS!$B$82*(IF('USER INPUTS'!$B$26="Total landfill gas",(1/($D$5/100)),IF('USER INPUTS'!$B$26="Methane",1,IF('USER INPUTS'!$B$26="Carbon dioxide",((1/($D$5/100))-1),(VLOOKUP('USER INPUTS'!$B$26,DEFAULTS!$E$8:$F$69,2,FALSE))/10^6*(1/($D$5/100))))))),0,METHANE!$J123*DEFAULTS!$B$82*(IF('USER INPUTS'!$B$26="Total landfill gas",(1/($D$5/100)),IF('USER INPUTS'!$B$26="Methane",1,IF('USER INPUTS'!$B$26="Carbon dioxide",((1/($D$5/100))-1),(VLOOKUP('USER INPUTS'!$B$26,DEFAULTS!$E$8:$F$69,2,FALSE))/10^6*(1/($D$5/100)))))))</f>
        <v>0</v>
      </c>
      <c r="J109" s="62">
        <f>IF(ISERROR(METHANE!$J123*(IF('USER INPUTS'!$B$26="Total landfill gas",(1/($D$5/100)),IF('USER INPUTS'!$B$26="Methane",1,IF('USER INPUTS'!$B$26="Carbon dioxide",((1/($D$5/100))-1),(VLOOKUP('USER INPUTS'!$B$26,DEFAULTS!$E$8:$F$69,2,FALSE))/10^6*(1/($D$5/100))))))),0,METHANE!$J123*(IF('USER INPUTS'!$B$26="Total landfill gas",(1/($D$5/100)),IF('USER INPUTS'!$B$26="Methane",1,IF('USER INPUTS'!$B$26="Carbon dioxide",((1/($D$5/100))-1),(VLOOKUP('USER INPUTS'!$B$26,DEFAULTS!$E$8:$F$69,2,FALSE))/10^6*(1/($D$5/100)))))))</f>
        <v>0</v>
      </c>
      <c r="K109" s="62">
        <f>IF(K$8="(short tons/year)",(I109*DEFAULTS!$B$55*DEFAULTS!$B$53/DEFAULTS!$B$54),IF(K$8="(ft^3/year)",(J109*DEFAULTS!$B$57),IF(K$8="(av ft^3/min)",(J109*DEFAULTS!$B$57/DEFAULTS!$B$58),0)))</f>
        <v>0</v>
      </c>
      <c r="L109" s="62">
        <f>IF(ISERROR(METHANE!$J123*DEFAULTS!$B$83*(IF('USER INPUTS'!$B$28="Total landfill gas",(1/($D$5/100)),IF('USER INPUTS'!$B$28="Methane",1,IF('USER INPUTS'!$B$28="Carbon dioxide",((1/($D$5/100))-1),(VLOOKUP('USER INPUTS'!$B$28,DEFAULTS!$E$8:$F$69,2,FALSE))/10^6*(1/($D$5/100))))))),0,METHANE!$J123*DEFAULTS!$B$83*(IF('USER INPUTS'!$B$28="Total landfill gas",(1/($D$5/100)),IF('USER INPUTS'!$B$28="Methane",1,IF('USER INPUTS'!$B$28="Carbon dioxide",((1/($D$5/100))-1),(VLOOKUP('USER INPUTS'!$B$28,DEFAULTS!$E$8:$F$69,2,FALSE))/10^6*(1/($D$5/100)))))))</f>
        <v>2618.6976674298571</v>
      </c>
      <c r="M109" s="62">
        <f>IF(ISERROR(METHANE!$J123*(IF('USER INPUTS'!$B$28="Total landfill gas",(1/($D$5/100)),IF('USER INPUTS'!$B$28="Methane",1,IF('USER INPUTS'!$B$28="Carbon dioxide",((1/($D$5/100))-1),(VLOOKUP('USER INPUTS'!$B$28,DEFAULTS!$E$8:$F$69,2,FALSE))/10^6*(1/($D$5/100))))))),0,METHANE!$J123*(IF('USER INPUTS'!$B$28="Total landfill gas",(1/($D$5/100)),IF('USER INPUTS'!$B$28="Methane",1,IF('USER INPUTS'!$B$28="Carbon dioxide",((1/($D$5/100))-1),(VLOOKUP('USER INPUTS'!$B$28,DEFAULTS!$E$8:$F$69,2,FALSE))/10^6*(1/($D$5/100)))))))</f>
        <v>1430592.4049226835</v>
      </c>
      <c r="N109" s="62">
        <f>IF(N$8="(short tons/year)",(L109*DEFAULTS!$B$55*DEFAULTS!$B$53/DEFAULTS!$B$54),IF(N$8="(ft^3/year)",(M109*DEFAULTS!$B$57),IF(N$8="(av ft^3/min)",(M109*DEFAULTS!$B$57/DEFAULTS!$B$58),0)))</f>
        <v>96.121329489810819</v>
      </c>
      <c r="O109" s="62">
        <f>IF(ISERROR(METHANE!$J123*DEFAULTS!$B$84*(IF('USER INPUTS'!$B$30="Total landfill gas",(1/($D$5/100)),IF('USER INPUTS'!$B$30="Methane",1,IF('USER INPUTS'!$B$30="Carbon dioxide",((1/($D$5/100))-1),(VLOOKUP('USER INPUTS'!$B$30,DEFAULTS!$E$8:$F$69,2,FALSE))/10^6*(1/($D$5/100))))))),0,METHANE!$J123*DEFAULTS!$B$84*(IF('USER INPUTS'!$B$30="Total landfill gas",(1/($D$5/100)),IF('USER INPUTS'!$B$30="Methane",1,IF('USER INPUTS'!$B$30="Carbon dioxide",((1/($D$5/100))-1),(VLOOKUP('USER INPUTS'!$B$30,DEFAULTS!$E$8:$F$69,2,FALSE))/10^6*(1/($D$5/100)))))))</f>
        <v>0</v>
      </c>
      <c r="P109" s="62">
        <f>IF(ISERROR(METHANE!$J123*(IF('USER INPUTS'!$B$30="Total landfill gas",(1/($D$5/100)),IF('USER INPUTS'!$B$30="Methane",1,IF('USER INPUTS'!$B$30="Carbon dioxide",((1/($D$5/100))-1),(VLOOKUP('USER INPUTS'!$B$30,DEFAULTS!$E$8:$F$69,2,FALSE))/10^6*(1/($D$5/100))))))),0,METHANE!$J123*(IF('USER INPUTS'!$B$30="Total landfill gas",(1/($D$5/100)),IF('USER INPUTS'!$B$30="Methane",1,IF('USER INPUTS'!$B$30="Carbon dioxide",((1/($D$5/100))-1),(VLOOKUP('USER INPUTS'!$B$30,DEFAULTS!$E$8:$F$69,2,FALSE))/10^6*(1/($D$5/100)))))))</f>
        <v>0</v>
      </c>
      <c r="Q109" s="162">
        <f>IF(Q$8="(short tons/year)",(O109*DEFAULTS!$B$55*DEFAULTS!$B$53/DEFAULTS!$B$54),IF(Q$8="(ft^3/year)",(P109*DEFAULTS!$B$57),IF(Q$8="(av ft^3/min)",(P109*DEFAULTS!$B$57/DEFAULTS!$B$58),0)))</f>
        <v>0</v>
      </c>
    </row>
    <row r="110" spans="1:17">
      <c r="A110" s="68">
        <f>METHANE!I124</f>
        <v>2119</v>
      </c>
      <c r="B110" s="361">
        <v>0</v>
      </c>
      <c r="C110" s="361">
        <v>0</v>
      </c>
      <c r="D110" s="364">
        <f t="shared" si="2"/>
        <v>12946986</v>
      </c>
      <c r="E110" s="364">
        <f t="shared" si="3"/>
        <v>14241684.6</v>
      </c>
      <c r="F110" s="62">
        <f>IF(ISERROR(METHANE!$J124*DEFAULTS!$B$81*(IF('USER INPUTS'!$B$24="Total landfill gas",(1/($D$5/100)),IF('USER INPUTS'!$B$24="Methane",1,IF('USER INPUTS'!$B$24="Carbon dioxide",((1/($D$5/100))-1),(VLOOKUP('USER INPUTS'!$B$24,DEFAULTS!$E$8:$F$69,2,FALSE))/10^6*(1/($D$5/100))))))),0,METHANE!$J124*DEFAULTS!$B$81*(IF('USER INPUTS'!$B$24="Total landfill gas",(1/($D$5/100)),IF('USER INPUTS'!$B$24="Methane",1,IF('USER INPUTS'!$B$24="Carbon dioxide",((1/($D$5/100))-1),(VLOOKUP('USER INPUTS'!$B$24,DEFAULTS!$E$8:$F$69,2,FALSE))/10^6*(1/($D$5/100)))))))</f>
        <v>0</v>
      </c>
      <c r="G110" s="62">
        <f>IF(ISERROR(METHANE!$J124*(IF('USER INPUTS'!$B$24="Total landfill gas",(1/($D$5/100)),IF('USER INPUTS'!$B$24="Methane",1,IF('USER INPUTS'!$B$24="Carbon dioxide",((1/($D$5/100))-1),(VLOOKUP('USER INPUTS'!$B$24,DEFAULTS!$E$8:$F$69,2,FALSE))/10^6*(1/($D$5/100))))))),0,METHANE!$J124*(IF('USER INPUTS'!$B$24="Total landfill gas",(1/($D$5/100)),IF('USER INPUTS'!$B$24="Methane",1,IF('USER INPUTS'!$B$24="Carbon dioxide",((1/($D$5/100))-1),(VLOOKUP('USER INPUTS'!$B$24,DEFAULTS!$E$8:$F$69,2,FALSE))/10^6*(1/($D$5/100)))))))</f>
        <v>0</v>
      </c>
      <c r="H110" s="62">
        <f>IF(H$8="(short tons/year)",(F110*DEFAULTS!$B$55*DEFAULTS!$B$53/DEFAULTS!$B$54),IF(H$8="(ft^3/year)",(G110*DEFAULTS!$B$57),IF(H$8="(av ft^3/min)",(G110*DEFAULTS!$B$57/DEFAULTS!$B$58),0)))</f>
        <v>0</v>
      </c>
      <c r="I110" s="62">
        <f>IF(ISERROR(METHANE!$J124*DEFAULTS!$B$82*(IF('USER INPUTS'!$B$26="Total landfill gas",(1/($D$5/100)),IF('USER INPUTS'!$B$26="Methane",1,IF('USER INPUTS'!$B$26="Carbon dioxide",((1/($D$5/100))-1),(VLOOKUP('USER INPUTS'!$B$26,DEFAULTS!$E$8:$F$69,2,FALSE))/10^6*(1/($D$5/100))))))),0,METHANE!$J124*DEFAULTS!$B$82*(IF('USER INPUTS'!$B$26="Total landfill gas",(1/($D$5/100)),IF('USER INPUTS'!$B$26="Methane",1,IF('USER INPUTS'!$B$26="Carbon dioxide",((1/($D$5/100))-1),(VLOOKUP('USER INPUTS'!$B$26,DEFAULTS!$E$8:$F$69,2,FALSE))/10^6*(1/($D$5/100)))))))</f>
        <v>0</v>
      </c>
      <c r="J110" s="62">
        <f>IF(ISERROR(METHANE!$J124*(IF('USER INPUTS'!$B$26="Total landfill gas",(1/($D$5/100)),IF('USER INPUTS'!$B$26="Methane",1,IF('USER INPUTS'!$B$26="Carbon dioxide",((1/($D$5/100))-1),(VLOOKUP('USER INPUTS'!$B$26,DEFAULTS!$E$8:$F$69,2,FALSE))/10^6*(1/($D$5/100))))))),0,METHANE!$J124*(IF('USER INPUTS'!$B$26="Total landfill gas",(1/($D$5/100)),IF('USER INPUTS'!$B$26="Methane",1,IF('USER INPUTS'!$B$26="Carbon dioxide",((1/($D$5/100))-1),(VLOOKUP('USER INPUTS'!$B$26,DEFAULTS!$E$8:$F$69,2,FALSE))/10^6*(1/($D$5/100)))))))</f>
        <v>0</v>
      </c>
      <c r="K110" s="62">
        <f>IF(K$8="(short tons/year)",(I110*DEFAULTS!$B$55*DEFAULTS!$B$53/DEFAULTS!$B$54),IF(K$8="(ft^3/year)",(J110*DEFAULTS!$B$57),IF(K$8="(av ft^3/min)",(J110*DEFAULTS!$B$57/DEFAULTS!$B$58),0)))</f>
        <v>0</v>
      </c>
      <c r="L110" s="62">
        <f>IF(ISERROR(METHANE!$J124*DEFAULTS!$B$83*(IF('USER INPUTS'!$B$28="Total landfill gas",(1/($D$5/100)),IF('USER INPUTS'!$B$28="Methane",1,IF('USER INPUTS'!$B$28="Carbon dioxide",((1/($D$5/100))-1),(VLOOKUP('USER INPUTS'!$B$28,DEFAULTS!$E$8:$F$69,2,FALSE))/10^6*(1/($D$5/100))))))),0,METHANE!$J124*DEFAULTS!$B$83*(IF('USER INPUTS'!$B$28="Total landfill gas",(1/($D$5/100)),IF('USER INPUTS'!$B$28="Methane",1,IF('USER INPUTS'!$B$28="Carbon dioxide",((1/($D$5/100))-1),(VLOOKUP('USER INPUTS'!$B$28,DEFAULTS!$E$8:$F$69,2,FALSE))/10^6*(1/($D$5/100)))))))</f>
        <v>2516.0170631994297</v>
      </c>
      <c r="M110" s="62">
        <f>IF(ISERROR(METHANE!$J124*(IF('USER INPUTS'!$B$28="Total landfill gas",(1/($D$5/100)),IF('USER INPUTS'!$B$28="Methane",1,IF('USER INPUTS'!$B$28="Carbon dioxide",((1/($D$5/100))-1),(VLOOKUP('USER INPUTS'!$B$28,DEFAULTS!$E$8:$F$69,2,FALSE))/10^6*(1/($D$5/100))))))),0,METHANE!$J124*(IF('USER INPUTS'!$B$28="Total landfill gas",(1/($D$5/100)),IF('USER INPUTS'!$B$28="Methane",1,IF('USER INPUTS'!$B$28="Carbon dioxide",((1/($D$5/100))-1),(VLOOKUP('USER INPUTS'!$B$28,DEFAULTS!$E$8:$F$69,2,FALSE))/10^6*(1/($D$5/100)))))))</f>
        <v>1374498.0743812385</v>
      </c>
      <c r="N110" s="62">
        <f>IF(N$8="(short tons/year)",(L110*DEFAULTS!$B$55*DEFAULTS!$B$53/DEFAULTS!$B$54),IF(N$8="(ft^3/year)",(M110*DEFAULTS!$B$57),IF(N$8="(av ft^3/min)",(M110*DEFAULTS!$B$57/DEFAULTS!$B$58),0)))</f>
        <v>92.352358251091019</v>
      </c>
      <c r="O110" s="62">
        <f>IF(ISERROR(METHANE!$J124*DEFAULTS!$B$84*(IF('USER INPUTS'!$B$30="Total landfill gas",(1/($D$5/100)),IF('USER INPUTS'!$B$30="Methane",1,IF('USER INPUTS'!$B$30="Carbon dioxide",((1/($D$5/100))-1),(VLOOKUP('USER INPUTS'!$B$30,DEFAULTS!$E$8:$F$69,2,FALSE))/10^6*(1/($D$5/100))))))),0,METHANE!$J124*DEFAULTS!$B$84*(IF('USER INPUTS'!$B$30="Total landfill gas",(1/($D$5/100)),IF('USER INPUTS'!$B$30="Methane",1,IF('USER INPUTS'!$B$30="Carbon dioxide",((1/($D$5/100))-1),(VLOOKUP('USER INPUTS'!$B$30,DEFAULTS!$E$8:$F$69,2,FALSE))/10^6*(1/($D$5/100)))))))</f>
        <v>0</v>
      </c>
      <c r="P110" s="62">
        <f>IF(ISERROR(METHANE!$J124*(IF('USER INPUTS'!$B$30="Total landfill gas",(1/($D$5/100)),IF('USER INPUTS'!$B$30="Methane",1,IF('USER INPUTS'!$B$30="Carbon dioxide",((1/($D$5/100))-1),(VLOOKUP('USER INPUTS'!$B$30,DEFAULTS!$E$8:$F$69,2,FALSE))/10^6*(1/($D$5/100))))))),0,METHANE!$J124*(IF('USER INPUTS'!$B$30="Total landfill gas",(1/($D$5/100)),IF('USER INPUTS'!$B$30="Methane",1,IF('USER INPUTS'!$B$30="Carbon dioxide",((1/($D$5/100))-1),(VLOOKUP('USER INPUTS'!$B$30,DEFAULTS!$E$8:$F$69,2,FALSE))/10^6*(1/($D$5/100)))))))</f>
        <v>0</v>
      </c>
      <c r="Q110" s="162">
        <f>IF(Q$8="(short tons/year)",(O110*DEFAULTS!$B$55*DEFAULTS!$B$53/DEFAULTS!$B$54),IF(Q$8="(ft^3/year)",(P110*DEFAULTS!$B$57),IF(Q$8="(av ft^3/min)",(P110*DEFAULTS!$B$57/DEFAULTS!$B$58),0)))</f>
        <v>0</v>
      </c>
    </row>
    <row r="111" spans="1:17">
      <c r="A111" s="68">
        <f>METHANE!I125</f>
        <v>2120</v>
      </c>
      <c r="B111" s="361">
        <v>0</v>
      </c>
      <c r="C111" s="361">
        <v>0</v>
      </c>
      <c r="D111" s="364">
        <f t="shared" si="2"/>
        <v>12946986</v>
      </c>
      <c r="E111" s="364">
        <f t="shared" si="3"/>
        <v>14241684.6</v>
      </c>
      <c r="F111" s="62">
        <f>IF(ISERROR(METHANE!$J125*DEFAULTS!$B$81*(IF('USER INPUTS'!$B$24="Total landfill gas",(1/($D$5/100)),IF('USER INPUTS'!$B$24="Methane",1,IF('USER INPUTS'!$B$24="Carbon dioxide",((1/($D$5/100))-1),(VLOOKUP('USER INPUTS'!$B$24,DEFAULTS!$E$8:$F$69,2,FALSE))/10^6*(1/($D$5/100))))))),0,METHANE!$J125*DEFAULTS!$B$81*(IF('USER INPUTS'!$B$24="Total landfill gas",(1/($D$5/100)),IF('USER INPUTS'!$B$24="Methane",1,IF('USER INPUTS'!$B$24="Carbon dioxide",((1/($D$5/100))-1),(VLOOKUP('USER INPUTS'!$B$24,DEFAULTS!$E$8:$F$69,2,FALSE))/10^6*(1/($D$5/100)))))))</f>
        <v>0</v>
      </c>
      <c r="G111" s="62">
        <f>IF(ISERROR(METHANE!$J125*(IF('USER INPUTS'!$B$24="Total landfill gas",(1/($D$5/100)),IF('USER INPUTS'!$B$24="Methane",1,IF('USER INPUTS'!$B$24="Carbon dioxide",((1/($D$5/100))-1),(VLOOKUP('USER INPUTS'!$B$24,DEFAULTS!$E$8:$F$69,2,FALSE))/10^6*(1/($D$5/100))))))),0,METHANE!$J125*(IF('USER INPUTS'!$B$24="Total landfill gas",(1/($D$5/100)),IF('USER INPUTS'!$B$24="Methane",1,IF('USER INPUTS'!$B$24="Carbon dioxide",((1/($D$5/100))-1),(VLOOKUP('USER INPUTS'!$B$24,DEFAULTS!$E$8:$F$69,2,FALSE))/10^6*(1/($D$5/100)))))))</f>
        <v>0</v>
      </c>
      <c r="H111" s="62">
        <f>IF(H$8="(short tons/year)",(F111*DEFAULTS!$B$55*DEFAULTS!$B$53/DEFAULTS!$B$54),IF(H$8="(ft^3/year)",(G111*DEFAULTS!$B$57),IF(H$8="(av ft^3/min)",(G111*DEFAULTS!$B$57/DEFAULTS!$B$58),0)))</f>
        <v>0</v>
      </c>
      <c r="I111" s="62">
        <f>IF(ISERROR(METHANE!$J125*DEFAULTS!$B$82*(IF('USER INPUTS'!$B$26="Total landfill gas",(1/($D$5/100)),IF('USER INPUTS'!$B$26="Methane",1,IF('USER INPUTS'!$B$26="Carbon dioxide",((1/($D$5/100))-1),(VLOOKUP('USER INPUTS'!$B$26,DEFAULTS!$E$8:$F$69,2,FALSE))/10^6*(1/($D$5/100))))))),0,METHANE!$J125*DEFAULTS!$B$82*(IF('USER INPUTS'!$B$26="Total landfill gas",(1/($D$5/100)),IF('USER INPUTS'!$B$26="Methane",1,IF('USER INPUTS'!$B$26="Carbon dioxide",((1/($D$5/100))-1),(VLOOKUP('USER INPUTS'!$B$26,DEFAULTS!$E$8:$F$69,2,FALSE))/10^6*(1/($D$5/100)))))))</f>
        <v>0</v>
      </c>
      <c r="J111" s="62">
        <f>IF(ISERROR(METHANE!$J125*(IF('USER INPUTS'!$B$26="Total landfill gas",(1/($D$5/100)),IF('USER INPUTS'!$B$26="Methane",1,IF('USER INPUTS'!$B$26="Carbon dioxide",((1/($D$5/100))-1),(VLOOKUP('USER INPUTS'!$B$26,DEFAULTS!$E$8:$F$69,2,FALSE))/10^6*(1/($D$5/100))))))),0,METHANE!$J125*(IF('USER INPUTS'!$B$26="Total landfill gas",(1/($D$5/100)),IF('USER INPUTS'!$B$26="Methane",1,IF('USER INPUTS'!$B$26="Carbon dioxide",((1/($D$5/100))-1),(VLOOKUP('USER INPUTS'!$B$26,DEFAULTS!$E$8:$F$69,2,FALSE))/10^6*(1/($D$5/100)))))))</f>
        <v>0</v>
      </c>
      <c r="K111" s="62">
        <f>IF(K$8="(short tons/year)",(I111*DEFAULTS!$B$55*DEFAULTS!$B$53/DEFAULTS!$B$54),IF(K$8="(ft^3/year)",(J111*DEFAULTS!$B$57),IF(K$8="(av ft^3/min)",(J111*DEFAULTS!$B$57/DEFAULTS!$B$58),0)))</f>
        <v>0</v>
      </c>
      <c r="L111" s="62">
        <f>IF(ISERROR(METHANE!$J125*DEFAULTS!$B$83*(IF('USER INPUTS'!$B$28="Total landfill gas",(1/($D$5/100)),IF('USER INPUTS'!$B$28="Methane",1,IF('USER INPUTS'!$B$28="Carbon dioxide",((1/($D$5/100))-1),(VLOOKUP('USER INPUTS'!$B$28,DEFAULTS!$E$8:$F$69,2,FALSE))/10^6*(1/($D$5/100))))))),0,METHANE!$J125*DEFAULTS!$B$83*(IF('USER INPUTS'!$B$28="Total landfill gas",(1/($D$5/100)),IF('USER INPUTS'!$B$28="Methane",1,IF('USER INPUTS'!$B$28="Carbon dioxide",((1/($D$5/100))-1),(VLOOKUP('USER INPUTS'!$B$28,DEFAULTS!$E$8:$F$69,2,FALSE))/10^6*(1/($D$5/100)))))))</f>
        <v>2417.3626230490549</v>
      </c>
      <c r="M111" s="62">
        <f>IF(ISERROR(METHANE!$J125*(IF('USER INPUTS'!$B$28="Total landfill gas",(1/($D$5/100)),IF('USER INPUTS'!$B$28="Methane",1,IF('USER INPUTS'!$B$28="Carbon dioxide",((1/($D$5/100))-1),(VLOOKUP('USER INPUTS'!$B$28,DEFAULTS!$E$8:$F$69,2,FALSE))/10^6*(1/($D$5/100))))))),0,METHANE!$J125*(IF('USER INPUTS'!$B$28="Total landfill gas",(1/($D$5/100)),IF('USER INPUTS'!$B$28="Methane",1,IF('USER INPUTS'!$B$28="Carbon dioxide",((1/($D$5/100))-1),(VLOOKUP('USER INPUTS'!$B$28,DEFAULTS!$E$8:$F$69,2,FALSE))/10^6*(1/($D$5/100)))))))</f>
        <v>1320603.2340006984</v>
      </c>
      <c r="N111" s="62">
        <f>IF(N$8="(short tons/year)",(L111*DEFAULTS!$B$55*DEFAULTS!$B$53/DEFAULTS!$B$54),IF(N$8="(ft^3/year)",(M111*DEFAULTS!$B$57),IF(N$8="(av ft^3/min)",(M111*DEFAULTS!$B$57/DEFAULTS!$B$58),0)))</f>
        <v>88.731170488460165</v>
      </c>
      <c r="O111" s="62">
        <f>IF(ISERROR(METHANE!$J125*DEFAULTS!$B$84*(IF('USER INPUTS'!$B$30="Total landfill gas",(1/($D$5/100)),IF('USER INPUTS'!$B$30="Methane",1,IF('USER INPUTS'!$B$30="Carbon dioxide",((1/($D$5/100))-1),(VLOOKUP('USER INPUTS'!$B$30,DEFAULTS!$E$8:$F$69,2,FALSE))/10^6*(1/($D$5/100))))))),0,METHANE!$J125*DEFAULTS!$B$84*(IF('USER INPUTS'!$B$30="Total landfill gas",(1/($D$5/100)),IF('USER INPUTS'!$B$30="Methane",1,IF('USER INPUTS'!$B$30="Carbon dioxide",((1/($D$5/100))-1),(VLOOKUP('USER INPUTS'!$B$30,DEFAULTS!$E$8:$F$69,2,FALSE))/10^6*(1/($D$5/100)))))))</f>
        <v>0</v>
      </c>
      <c r="P111" s="62">
        <f>IF(ISERROR(METHANE!$J125*(IF('USER INPUTS'!$B$30="Total landfill gas",(1/($D$5/100)),IF('USER INPUTS'!$B$30="Methane",1,IF('USER INPUTS'!$B$30="Carbon dioxide",((1/($D$5/100))-1),(VLOOKUP('USER INPUTS'!$B$30,DEFAULTS!$E$8:$F$69,2,FALSE))/10^6*(1/($D$5/100))))))),0,METHANE!$J125*(IF('USER INPUTS'!$B$30="Total landfill gas",(1/($D$5/100)),IF('USER INPUTS'!$B$30="Methane",1,IF('USER INPUTS'!$B$30="Carbon dioxide",((1/($D$5/100))-1),(VLOOKUP('USER INPUTS'!$B$30,DEFAULTS!$E$8:$F$69,2,FALSE))/10^6*(1/($D$5/100)))))))</f>
        <v>0</v>
      </c>
      <c r="Q111" s="162">
        <f>IF(Q$8="(short tons/year)",(O111*DEFAULTS!$B$55*DEFAULTS!$B$53/DEFAULTS!$B$54),IF(Q$8="(ft^3/year)",(P111*DEFAULTS!$B$57),IF(Q$8="(av ft^3/min)",(P111*DEFAULTS!$B$57/DEFAULTS!$B$58),0)))</f>
        <v>0</v>
      </c>
    </row>
    <row r="112" spans="1:17">
      <c r="A112" s="68">
        <f>METHANE!I126</f>
        <v>2121</v>
      </c>
      <c r="B112" s="361">
        <v>0</v>
      </c>
      <c r="C112" s="361">
        <v>0</v>
      </c>
      <c r="D112" s="364">
        <f t="shared" si="2"/>
        <v>12946986</v>
      </c>
      <c r="E112" s="364">
        <f t="shared" si="3"/>
        <v>14241684.6</v>
      </c>
      <c r="F112" s="62">
        <f>IF(ISERROR(METHANE!$J126*DEFAULTS!$B$81*(IF('USER INPUTS'!$B$24="Total landfill gas",(1/($D$5/100)),IF('USER INPUTS'!$B$24="Methane",1,IF('USER INPUTS'!$B$24="Carbon dioxide",((1/($D$5/100))-1),(VLOOKUP('USER INPUTS'!$B$24,DEFAULTS!$E$8:$F$69,2,FALSE))/10^6*(1/($D$5/100))))))),0,METHANE!$J126*DEFAULTS!$B$81*(IF('USER INPUTS'!$B$24="Total landfill gas",(1/($D$5/100)),IF('USER INPUTS'!$B$24="Methane",1,IF('USER INPUTS'!$B$24="Carbon dioxide",((1/($D$5/100))-1),(VLOOKUP('USER INPUTS'!$B$24,DEFAULTS!$E$8:$F$69,2,FALSE))/10^6*(1/($D$5/100)))))))</f>
        <v>0</v>
      </c>
      <c r="G112" s="62">
        <f>IF(ISERROR(METHANE!$J126*(IF('USER INPUTS'!$B$24="Total landfill gas",(1/($D$5/100)),IF('USER INPUTS'!$B$24="Methane",1,IF('USER INPUTS'!$B$24="Carbon dioxide",((1/($D$5/100))-1),(VLOOKUP('USER INPUTS'!$B$24,DEFAULTS!$E$8:$F$69,2,FALSE))/10^6*(1/($D$5/100))))))),0,METHANE!$J126*(IF('USER INPUTS'!$B$24="Total landfill gas",(1/($D$5/100)),IF('USER INPUTS'!$B$24="Methane",1,IF('USER INPUTS'!$B$24="Carbon dioxide",((1/($D$5/100))-1),(VLOOKUP('USER INPUTS'!$B$24,DEFAULTS!$E$8:$F$69,2,FALSE))/10^6*(1/($D$5/100)))))))</f>
        <v>0</v>
      </c>
      <c r="H112" s="62">
        <f>IF(H$8="(short tons/year)",(F112*DEFAULTS!$B$55*DEFAULTS!$B$53/DEFAULTS!$B$54),IF(H$8="(ft^3/year)",(G112*DEFAULTS!$B$57),IF(H$8="(av ft^3/min)",(G112*DEFAULTS!$B$57/DEFAULTS!$B$58),0)))</f>
        <v>0</v>
      </c>
      <c r="I112" s="62">
        <f>IF(ISERROR(METHANE!$J126*DEFAULTS!$B$82*(IF('USER INPUTS'!$B$26="Total landfill gas",(1/($D$5/100)),IF('USER INPUTS'!$B$26="Methane",1,IF('USER INPUTS'!$B$26="Carbon dioxide",((1/($D$5/100))-1),(VLOOKUP('USER INPUTS'!$B$26,DEFAULTS!$E$8:$F$69,2,FALSE))/10^6*(1/($D$5/100))))))),0,METHANE!$J126*DEFAULTS!$B$82*(IF('USER INPUTS'!$B$26="Total landfill gas",(1/($D$5/100)),IF('USER INPUTS'!$B$26="Methane",1,IF('USER INPUTS'!$B$26="Carbon dioxide",((1/($D$5/100))-1),(VLOOKUP('USER INPUTS'!$B$26,DEFAULTS!$E$8:$F$69,2,FALSE))/10^6*(1/($D$5/100)))))))</f>
        <v>0</v>
      </c>
      <c r="J112" s="62">
        <f>IF(ISERROR(METHANE!$J126*(IF('USER INPUTS'!$B$26="Total landfill gas",(1/($D$5/100)),IF('USER INPUTS'!$B$26="Methane",1,IF('USER INPUTS'!$B$26="Carbon dioxide",((1/($D$5/100))-1),(VLOOKUP('USER INPUTS'!$B$26,DEFAULTS!$E$8:$F$69,2,FALSE))/10^6*(1/($D$5/100))))))),0,METHANE!$J126*(IF('USER INPUTS'!$B$26="Total landfill gas",(1/($D$5/100)),IF('USER INPUTS'!$B$26="Methane",1,IF('USER INPUTS'!$B$26="Carbon dioxide",((1/($D$5/100))-1),(VLOOKUP('USER INPUTS'!$B$26,DEFAULTS!$E$8:$F$69,2,FALSE))/10^6*(1/($D$5/100)))))))</f>
        <v>0</v>
      </c>
      <c r="K112" s="62">
        <f>IF(K$8="(short tons/year)",(I112*DEFAULTS!$B$55*DEFAULTS!$B$53/DEFAULTS!$B$54),IF(K$8="(ft^3/year)",(J112*DEFAULTS!$B$57),IF(K$8="(av ft^3/min)",(J112*DEFAULTS!$B$57/DEFAULTS!$B$58),0)))</f>
        <v>0</v>
      </c>
      <c r="L112" s="62">
        <f>IF(ISERROR(METHANE!$J126*DEFAULTS!$B$83*(IF('USER INPUTS'!$B$28="Total landfill gas",(1/($D$5/100)),IF('USER INPUTS'!$B$28="Methane",1,IF('USER INPUTS'!$B$28="Carbon dioxide",((1/($D$5/100))-1),(VLOOKUP('USER INPUTS'!$B$28,DEFAULTS!$E$8:$F$69,2,FALSE))/10^6*(1/($D$5/100))))))),0,METHANE!$J126*DEFAULTS!$B$83*(IF('USER INPUTS'!$B$28="Total landfill gas",(1/($D$5/100)),IF('USER INPUTS'!$B$28="Methane",1,IF('USER INPUTS'!$B$28="Carbon dioxide",((1/($D$5/100))-1),(VLOOKUP('USER INPUTS'!$B$28,DEFAULTS!$E$8:$F$69,2,FALSE))/10^6*(1/($D$5/100)))))))</f>
        <v>2322.5764788270908</v>
      </c>
      <c r="M112" s="62">
        <f>IF(ISERROR(METHANE!$J126*(IF('USER INPUTS'!$B$28="Total landfill gas",(1/($D$5/100)),IF('USER INPUTS'!$B$28="Methane",1,IF('USER INPUTS'!$B$28="Carbon dioxide",((1/($D$5/100))-1),(VLOOKUP('USER INPUTS'!$B$28,DEFAULTS!$E$8:$F$69,2,FALSE))/10^6*(1/($D$5/100))))))),0,METHANE!$J126*(IF('USER INPUTS'!$B$28="Total landfill gas",(1/($D$5/100)),IF('USER INPUTS'!$B$28="Methane",1,IF('USER INPUTS'!$B$28="Carbon dioxide",((1/($D$5/100))-1),(VLOOKUP('USER INPUTS'!$B$28,DEFAULTS!$E$8:$F$69,2,FALSE))/10^6*(1/($D$5/100)))))))</f>
        <v>1268821.6405382755</v>
      </c>
      <c r="N112" s="62">
        <f>IF(N$8="(short tons/year)",(L112*DEFAULTS!$B$55*DEFAULTS!$B$53/DEFAULTS!$B$54),IF(N$8="(ft^3/year)",(M112*DEFAULTS!$B$57),IF(N$8="(av ft^3/min)",(M112*DEFAULTS!$B$57/DEFAULTS!$B$58),0)))</f>
        <v>85.251971528936821</v>
      </c>
      <c r="O112" s="62">
        <f>IF(ISERROR(METHANE!$J126*DEFAULTS!$B$84*(IF('USER INPUTS'!$B$30="Total landfill gas",(1/($D$5/100)),IF('USER INPUTS'!$B$30="Methane",1,IF('USER INPUTS'!$B$30="Carbon dioxide",((1/($D$5/100))-1),(VLOOKUP('USER INPUTS'!$B$30,DEFAULTS!$E$8:$F$69,2,FALSE))/10^6*(1/($D$5/100))))))),0,METHANE!$J126*DEFAULTS!$B$84*(IF('USER INPUTS'!$B$30="Total landfill gas",(1/($D$5/100)),IF('USER INPUTS'!$B$30="Methane",1,IF('USER INPUTS'!$B$30="Carbon dioxide",((1/($D$5/100))-1),(VLOOKUP('USER INPUTS'!$B$30,DEFAULTS!$E$8:$F$69,2,FALSE))/10^6*(1/($D$5/100)))))))</f>
        <v>0</v>
      </c>
      <c r="P112" s="62">
        <f>IF(ISERROR(METHANE!$J126*(IF('USER INPUTS'!$B$30="Total landfill gas",(1/($D$5/100)),IF('USER INPUTS'!$B$30="Methane",1,IF('USER INPUTS'!$B$30="Carbon dioxide",((1/($D$5/100))-1),(VLOOKUP('USER INPUTS'!$B$30,DEFAULTS!$E$8:$F$69,2,FALSE))/10^6*(1/($D$5/100))))))),0,METHANE!$J126*(IF('USER INPUTS'!$B$30="Total landfill gas",(1/($D$5/100)),IF('USER INPUTS'!$B$30="Methane",1,IF('USER INPUTS'!$B$30="Carbon dioxide",((1/($D$5/100))-1),(VLOOKUP('USER INPUTS'!$B$30,DEFAULTS!$E$8:$F$69,2,FALSE))/10^6*(1/($D$5/100)))))))</f>
        <v>0</v>
      </c>
      <c r="Q112" s="162">
        <f>IF(Q$8="(short tons/year)",(O112*DEFAULTS!$B$55*DEFAULTS!$B$53/DEFAULTS!$B$54),IF(Q$8="(ft^3/year)",(P112*DEFAULTS!$B$57),IF(Q$8="(av ft^3/min)",(P112*DEFAULTS!$B$57/DEFAULTS!$B$58),0)))</f>
        <v>0</v>
      </c>
    </row>
    <row r="113" spans="1:17">
      <c r="A113" s="68">
        <f>METHANE!I127</f>
        <v>2122</v>
      </c>
      <c r="B113" s="361">
        <v>0</v>
      </c>
      <c r="C113" s="361">
        <v>0</v>
      </c>
      <c r="D113" s="364">
        <f t="shared" si="2"/>
        <v>12946986</v>
      </c>
      <c r="E113" s="364">
        <f t="shared" si="3"/>
        <v>14241684.6</v>
      </c>
      <c r="F113" s="62">
        <f>IF(ISERROR(METHANE!$J127*DEFAULTS!$B$81*(IF('USER INPUTS'!$B$24="Total landfill gas",(1/($D$5/100)),IF('USER INPUTS'!$B$24="Methane",1,IF('USER INPUTS'!$B$24="Carbon dioxide",((1/($D$5/100))-1),(VLOOKUP('USER INPUTS'!$B$24,DEFAULTS!$E$8:$F$69,2,FALSE))/10^6*(1/($D$5/100))))))),0,METHANE!$J127*DEFAULTS!$B$81*(IF('USER INPUTS'!$B$24="Total landfill gas",(1/($D$5/100)),IF('USER INPUTS'!$B$24="Methane",1,IF('USER INPUTS'!$B$24="Carbon dioxide",((1/($D$5/100))-1),(VLOOKUP('USER INPUTS'!$B$24,DEFAULTS!$E$8:$F$69,2,FALSE))/10^6*(1/($D$5/100)))))))</f>
        <v>0</v>
      </c>
      <c r="G113" s="62">
        <f>IF(ISERROR(METHANE!$J127*(IF('USER INPUTS'!$B$24="Total landfill gas",(1/($D$5/100)),IF('USER INPUTS'!$B$24="Methane",1,IF('USER INPUTS'!$B$24="Carbon dioxide",((1/($D$5/100))-1),(VLOOKUP('USER INPUTS'!$B$24,DEFAULTS!$E$8:$F$69,2,FALSE))/10^6*(1/($D$5/100))))))),0,METHANE!$J127*(IF('USER INPUTS'!$B$24="Total landfill gas",(1/($D$5/100)),IF('USER INPUTS'!$B$24="Methane",1,IF('USER INPUTS'!$B$24="Carbon dioxide",((1/($D$5/100))-1),(VLOOKUP('USER INPUTS'!$B$24,DEFAULTS!$E$8:$F$69,2,FALSE))/10^6*(1/($D$5/100)))))))</f>
        <v>0</v>
      </c>
      <c r="H113" s="62">
        <f>IF(H$8="(short tons/year)",(F113*DEFAULTS!$B$55*DEFAULTS!$B$53/DEFAULTS!$B$54),IF(H$8="(ft^3/year)",(G113*DEFAULTS!$B$57),IF(H$8="(av ft^3/min)",(G113*DEFAULTS!$B$57/DEFAULTS!$B$58),0)))</f>
        <v>0</v>
      </c>
      <c r="I113" s="62">
        <f>IF(ISERROR(METHANE!$J127*DEFAULTS!$B$82*(IF('USER INPUTS'!$B$26="Total landfill gas",(1/($D$5/100)),IF('USER INPUTS'!$B$26="Methane",1,IF('USER INPUTS'!$B$26="Carbon dioxide",((1/($D$5/100))-1),(VLOOKUP('USER INPUTS'!$B$26,DEFAULTS!$E$8:$F$69,2,FALSE))/10^6*(1/($D$5/100))))))),0,METHANE!$J127*DEFAULTS!$B$82*(IF('USER INPUTS'!$B$26="Total landfill gas",(1/($D$5/100)),IF('USER INPUTS'!$B$26="Methane",1,IF('USER INPUTS'!$B$26="Carbon dioxide",((1/($D$5/100))-1),(VLOOKUP('USER INPUTS'!$B$26,DEFAULTS!$E$8:$F$69,2,FALSE))/10^6*(1/($D$5/100)))))))</f>
        <v>0</v>
      </c>
      <c r="J113" s="62">
        <f>IF(ISERROR(METHANE!$J127*(IF('USER INPUTS'!$B$26="Total landfill gas",(1/($D$5/100)),IF('USER INPUTS'!$B$26="Methane",1,IF('USER INPUTS'!$B$26="Carbon dioxide",((1/($D$5/100))-1),(VLOOKUP('USER INPUTS'!$B$26,DEFAULTS!$E$8:$F$69,2,FALSE))/10^6*(1/($D$5/100))))))),0,METHANE!$J127*(IF('USER INPUTS'!$B$26="Total landfill gas",(1/($D$5/100)),IF('USER INPUTS'!$B$26="Methane",1,IF('USER INPUTS'!$B$26="Carbon dioxide",((1/($D$5/100))-1),(VLOOKUP('USER INPUTS'!$B$26,DEFAULTS!$E$8:$F$69,2,FALSE))/10^6*(1/($D$5/100)))))))</f>
        <v>0</v>
      </c>
      <c r="K113" s="62">
        <f>IF(K$8="(short tons/year)",(I113*DEFAULTS!$B$55*DEFAULTS!$B$53/DEFAULTS!$B$54),IF(K$8="(ft^3/year)",(J113*DEFAULTS!$B$57),IF(K$8="(av ft^3/min)",(J113*DEFAULTS!$B$57/DEFAULTS!$B$58),0)))</f>
        <v>0</v>
      </c>
      <c r="L113" s="62">
        <f>IF(ISERROR(METHANE!$J127*DEFAULTS!$B$83*(IF('USER INPUTS'!$B$28="Total landfill gas",(1/($D$5/100)),IF('USER INPUTS'!$B$28="Methane",1,IF('USER INPUTS'!$B$28="Carbon dioxide",((1/($D$5/100))-1),(VLOOKUP('USER INPUTS'!$B$28,DEFAULTS!$E$8:$F$69,2,FALSE))/10^6*(1/($D$5/100))))))),0,METHANE!$J127*DEFAULTS!$B$83*(IF('USER INPUTS'!$B$28="Total landfill gas",(1/($D$5/100)),IF('USER INPUTS'!$B$28="Methane",1,IF('USER INPUTS'!$B$28="Carbon dioxide",((1/($D$5/100))-1),(VLOOKUP('USER INPUTS'!$B$28,DEFAULTS!$E$8:$F$69,2,FALSE))/10^6*(1/($D$5/100)))))))</f>
        <v>2231.5069524806581</v>
      </c>
      <c r="M113" s="62">
        <f>IF(ISERROR(METHANE!$J127*(IF('USER INPUTS'!$B$28="Total landfill gas",(1/($D$5/100)),IF('USER INPUTS'!$B$28="Methane",1,IF('USER INPUTS'!$B$28="Carbon dioxide",((1/($D$5/100))-1),(VLOOKUP('USER INPUTS'!$B$28,DEFAULTS!$E$8:$F$69,2,FALSE))/10^6*(1/($D$5/100))))))),0,METHANE!$J127*(IF('USER INPUTS'!$B$28="Total landfill gas",(1/($D$5/100)),IF('USER INPUTS'!$B$28="Methane",1,IF('USER INPUTS'!$B$28="Carbon dioxide",((1/($D$5/100))-1),(VLOOKUP('USER INPUTS'!$B$28,DEFAULTS!$E$8:$F$69,2,FALSE))/10^6*(1/($D$5/100)))))))</f>
        <v>1219070.4323971004</v>
      </c>
      <c r="N113" s="62">
        <f>IF(N$8="(short tons/year)",(L113*DEFAULTS!$B$55*DEFAULTS!$B$53/DEFAULTS!$B$54),IF(N$8="(ft^3/year)",(M113*DEFAULTS!$B$57),IF(N$8="(av ft^3/min)",(M113*DEFAULTS!$B$57/DEFAULTS!$B$58),0)))</f>
        <v>81.909193911917043</v>
      </c>
      <c r="O113" s="62">
        <f>IF(ISERROR(METHANE!$J127*DEFAULTS!$B$84*(IF('USER INPUTS'!$B$30="Total landfill gas",(1/($D$5/100)),IF('USER INPUTS'!$B$30="Methane",1,IF('USER INPUTS'!$B$30="Carbon dioxide",((1/($D$5/100))-1),(VLOOKUP('USER INPUTS'!$B$30,DEFAULTS!$E$8:$F$69,2,FALSE))/10^6*(1/($D$5/100))))))),0,METHANE!$J127*DEFAULTS!$B$84*(IF('USER INPUTS'!$B$30="Total landfill gas",(1/($D$5/100)),IF('USER INPUTS'!$B$30="Methane",1,IF('USER INPUTS'!$B$30="Carbon dioxide",((1/($D$5/100))-1),(VLOOKUP('USER INPUTS'!$B$30,DEFAULTS!$E$8:$F$69,2,FALSE))/10^6*(1/($D$5/100)))))))</f>
        <v>0</v>
      </c>
      <c r="P113" s="62">
        <f>IF(ISERROR(METHANE!$J127*(IF('USER INPUTS'!$B$30="Total landfill gas",(1/($D$5/100)),IF('USER INPUTS'!$B$30="Methane",1,IF('USER INPUTS'!$B$30="Carbon dioxide",((1/($D$5/100))-1),(VLOOKUP('USER INPUTS'!$B$30,DEFAULTS!$E$8:$F$69,2,FALSE))/10^6*(1/($D$5/100))))))),0,METHANE!$J127*(IF('USER INPUTS'!$B$30="Total landfill gas",(1/($D$5/100)),IF('USER INPUTS'!$B$30="Methane",1,IF('USER INPUTS'!$B$30="Carbon dioxide",((1/($D$5/100))-1),(VLOOKUP('USER INPUTS'!$B$30,DEFAULTS!$E$8:$F$69,2,FALSE))/10^6*(1/($D$5/100)))))))</f>
        <v>0</v>
      </c>
      <c r="Q113" s="162">
        <f>IF(Q$8="(short tons/year)",(O113*DEFAULTS!$B$55*DEFAULTS!$B$53/DEFAULTS!$B$54),IF(Q$8="(ft^3/year)",(P113*DEFAULTS!$B$57),IF(Q$8="(av ft^3/min)",(P113*DEFAULTS!$B$57/DEFAULTS!$B$58),0)))</f>
        <v>0</v>
      </c>
    </row>
    <row r="114" spans="1:17">
      <c r="A114" s="68">
        <f>METHANE!I128</f>
        <v>2123</v>
      </c>
      <c r="B114" s="361">
        <v>0</v>
      </c>
      <c r="C114" s="361">
        <v>0</v>
      </c>
      <c r="D114" s="364">
        <f t="shared" si="2"/>
        <v>12946986</v>
      </c>
      <c r="E114" s="364">
        <f t="shared" si="3"/>
        <v>14241684.6</v>
      </c>
      <c r="F114" s="62">
        <f>IF(ISERROR(METHANE!$J128*DEFAULTS!$B$81*(IF('USER INPUTS'!$B$24="Total landfill gas",(1/($D$5/100)),IF('USER INPUTS'!$B$24="Methane",1,IF('USER INPUTS'!$B$24="Carbon dioxide",((1/($D$5/100))-1),(VLOOKUP('USER INPUTS'!$B$24,DEFAULTS!$E$8:$F$69,2,FALSE))/10^6*(1/($D$5/100))))))),0,METHANE!$J128*DEFAULTS!$B$81*(IF('USER INPUTS'!$B$24="Total landfill gas",(1/($D$5/100)),IF('USER INPUTS'!$B$24="Methane",1,IF('USER INPUTS'!$B$24="Carbon dioxide",((1/($D$5/100))-1),(VLOOKUP('USER INPUTS'!$B$24,DEFAULTS!$E$8:$F$69,2,FALSE))/10^6*(1/($D$5/100)))))))</f>
        <v>0</v>
      </c>
      <c r="G114" s="62">
        <f>IF(ISERROR(METHANE!$J128*(IF('USER INPUTS'!$B$24="Total landfill gas",(1/($D$5/100)),IF('USER INPUTS'!$B$24="Methane",1,IF('USER INPUTS'!$B$24="Carbon dioxide",((1/($D$5/100))-1),(VLOOKUP('USER INPUTS'!$B$24,DEFAULTS!$E$8:$F$69,2,FALSE))/10^6*(1/($D$5/100))))))),0,METHANE!$J128*(IF('USER INPUTS'!$B$24="Total landfill gas",(1/($D$5/100)),IF('USER INPUTS'!$B$24="Methane",1,IF('USER INPUTS'!$B$24="Carbon dioxide",((1/($D$5/100))-1),(VLOOKUP('USER INPUTS'!$B$24,DEFAULTS!$E$8:$F$69,2,FALSE))/10^6*(1/($D$5/100)))))))</f>
        <v>0</v>
      </c>
      <c r="H114" s="62">
        <f>IF(H$8="(short tons/year)",(F114*DEFAULTS!$B$55*DEFAULTS!$B$53/DEFAULTS!$B$54),IF(H$8="(ft^3/year)",(G114*DEFAULTS!$B$57),IF(H$8="(av ft^3/min)",(G114*DEFAULTS!$B$57/DEFAULTS!$B$58),0)))</f>
        <v>0</v>
      </c>
      <c r="I114" s="62">
        <f>IF(ISERROR(METHANE!$J128*DEFAULTS!$B$82*(IF('USER INPUTS'!$B$26="Total landfill gas",(1/($D$5/100)),IF('USER INPUTS'!$B$26="Methane",1,IF('USER INPUTS'!$B$26="Carbon dioxide",((1/($D$5/100))-1),(VLOOKUP('USER INPUTS'!$B$26,DEFAULTS!$E$8:$F$69,2,FALSE))/10^6*(1/($D$5/100))))))),0,METHANE!$J128*DEFAULTS!$B$82*(IF('USER INPUTS'!$B$26="Total landfill gas",(1/($D$5/100)),IF('USER INPUTS'!$B$26="Methane",1,IF('USER INPUTS'!$B$26="Carbon dioxide",((1/($D$5/100))-1),(VLOOKUP('USER INPUTS'!$B$26,DEFAULTS!$E$8:$F$69,2,FALSE))/10^6*(1/($D$5/100)))))))</f>
        <v>0</v>
      </c>
      <c r="J114" s="62">
        <f>IF(ISERROR(METHANE!$J128*(IF('USER INPUTS'!$B$26="Total landfill gas",(1/($D$5/100)),IF('USER INPUTS'!$B$26="Methane",1,IF('USER INPUTS'!$B$26="Carbon dioxide",((1/($D$5/100))-1),(VLOOKUP('USER INPUTS'!$B$26,DEFAULTS!$E$8:$F$69,2,FALSE))/10^6*(1/($D$5/100))))))),0,METHANE!$J128*(IF('USER INPUTS'!$B$26="Total landfill gas",(1/($D$5/100)),IF('USER INPUTS'!$B$26="Methane",1,IF('USER INPUTS'!$B$26="Carbon dioxide",((1/($D$5/100))-1),(VLOOKUP('USER INPUTS'!$B$26,DEFAULTS!$E$8:$F$69,2,FALSE))/10^6*(1/($D$5/100)))))))</f>
        <v>0</v>
      </c>
      <c r="K114" s="62">
        <f>IF(K$8="(short tons/year)",(I114*DEFAULTS!$B$55*DEFAULTS!$B$53/DEFAULTS!$B$54),IF(K$8="(ft^3/year)",(J114*DEFAULTS!$B$57),IF(K$8="(av ft^3/min)",(J114*DEFAULTS!$B$57/DEFAULTS!$B$58),0)))</f>
        <v>0</v>
      </c>
      <c r="L114" s="62">
        <f>IF(ISERROR(METHANE!$J128*DEFAULTS!$B$83*(IF('USER INPUTS'!$B$28="Total landfill gas",(1/($D$5/100)),IF('USER INPUTS'!$B$28="Methane",1,IF('USER INPUTS'!$B$28="Carbon dioxide",((1/($D$5/100))-1),(VLOOKUP('USER INPUTS'!$B$28,DEFAULTS!$E$8:$F$69,2,FALSE))/10^6*(1/($D$5/100))))))),0,METHANE!$J128*DEFAULTS!$B$83*(IF('USER INPUTS'!$B$28="Total landfill gas",(1/($D$5/100)),IF('USER INPUTS'!$B$28="Methane",1,IF('USER INPUTS'!$B$28="Carbon dioxide",((1/($D$5/100))-1),(VLOOKUP('USER INPUTS'!$B$28,DEFAULTS!$E$8:$F$69,2,FALSE))/10^6*(1/($D$5/100)))))))</f>
        <v>2144.0083133384019</v>
      </c>
      <c r="M114" s="62">
        <f>IF(ISERROR(METHANE!$J128*(IF('USER INPUTS'!$B$28="Total landfill gas",(1/($D$5/100)),IF('USER INPUTS'!$B$28="Methane",1,IF('USER INPUTS'!$B$28="Carbon dioxide",((1/($D$5/100))-1),(VLOOKUP('USER INPUTS'!$B$28,DEFAULTS!$E$8:$F$69,2,FALSE))/10^6*(1/($D$5/100))))))),0,METHANE!$J128*(IF('USER INPUTS'!$B$28="Total landfill gas",(1/($D$5/100)),IF('USER INPUTS'!$B$28="Methane",1,IF('USER INPUTS'!$B$28="Carbon dioxide",((1/($D$5/100))-1),(VLOOKUP('USER INPUTS'!$B$28,DEFAULTS!$E$8:$F$69,2,FALSE))/10^6*(1/($D$5/100)))))))</f>
        <v>1171269.9970299902</v>
      </c>
      <c r="N114" s="62">
        <f>IF(N$8="(short tons/year)",(L114*DEFAULTS!$B$55*DEFAULTS!$B$53/DEFAULTS!$B$54),IF(N$8="(ft^3/year)",(M114*DEFAULTS!$B$57),IF(N$8="(av ft^3/min)",(M114*DEFAULTS!$B$57/DEFAULTS!$B$58),0)))</f>
        <v>78.697488480049657</v>
      </c>
      <c r="O114" s="62">
        <f>IF(ISERROR(METHANE!$J128*DEFAULTS!$B$84*(IF('USER INPUTS'!$B$30="Total landfill gas",(1/($D$5/100)),IF('USER INPUTS'!$B$30="Methane",1,IF('USER INPUTS'!$B$30="Carbon dioxide",((1/($D$5/100))-1),(VLOOKUP('USER INPUTS'!$B$30,DEFAULTS!$E$8:$F$69,2,FALSE))/10^6*(1/($D$5/100))))))),0,METHANE!$J128*DEFAULTS!$B$84*(IF('USER INPUTS'!$B$30="Total landfill gas",(1/($D$5/100)),IF('USER INPUTS'!$B$30="Methane",1,IF('USER INPUTS'!$B$30="Carbon dioxide",((1/($D$5/100))-1),(VLOOKUP('USER INPUTS'!$B$30,DEFAULTS!$E$8:$F$69,2,FALSE))/10^6*(1/($D$5/100)))))))</f>
        <v>0</v>
      </c>
      <c r="P114" s="62">
        <f>IF(ISERROR(METHANE!$J128*(IF('USER INPUTS'!$B$30="Total landfill gas",(1/($D$5/100)),IF('USER INPUTS'!$B$30="Methane",1,IF('USER INPUTS'!$B$30="Carbon dioxide",((1/($D$5/100))-1),(VLOOKUP('USER INPUTS'!$B$30,DEFAULTS!$E$8:$F$69,2,FALSE))/10^6*(1/($D$5/100))))))),0,METHANE!$J128*(IF('USER INPUTS'!$B$30="Total landfill gas",(1/($D$5/100)),IF('USER INPUTS'!$B$30="Methane",1,IF('USER INPUTS'!$B$30="Carbon dioxide",((1/($D$5/100))-1),(VLOOKUP('USER INPUTS'!$B$30,DEFAULTS!$E$8:$F$69,2,FALSE))/10^6*(1/($D$5/100)))))))</f>
        <v>0</v>
      </c>
      <c r="Q114" s="162">
        <f>IF(Q$8="(short tons/year)",(O114*DEFAULTS!$B$55*DEFAULTS!$B$53/DEFAULTS!$B$54),IF(Q$8="(ft^3/year)",(P114*DEFAULTS!$B$57),IF(Q$8="(av ft^3/min)",(P114*DEFAULTS!$B$57/DEFAULTS!$B$58),0)))</f>
        <v>0</v>
      </c>
    </row>
    <row r="115" spans="1:17">
      <c r="A115" s="68">
        <f>METHANE!I129</f>
        <v>2124</v>
      </c>
      <c r="B115" s="361">
        <v>0</v>
      </c>
      <c r="C115" s="361">
        <v>0</v>
      </c>
      <c r="D115" s="364">
        <f t="shared" si="2"/>
        <v>12946986</v>
      </c>
      <c r="E115" s="364">
        <f t="shared" si="3"/>
        <v>14241684.6</v>
      </c>
      <c r="F115" s="62">
        <f>IF(ISERROR(METHANE!$J129*DEFAULTS!$B$81*(IF('USER INPUTS'!$B$24="Total landfill gas",(1/($D$5/100)),IF('USER INPUTS'!$B$24="Methane",1,IF('USER INPUTS'!$B$24="Carbon dioxide",((1/($D$5/100))-1),(VLOOKUP('USER INPUTS'!$B$24,DEFAULTS!$E$8:$F$69,2,FALSE))/10^6*(1/($D$5/100))))))),0,METHANE!$J129*DEFAULTS!$B$81*(IF('USER INPUTS'!$B$24="Total landfill gas",(1/($D$5/100)),IF('USER INPUTS'!$B$24="Methane",1,IF('USER INPUTS'!$B$24="Carbon dioxide",((1/($D$5/100))-1),(VLOOKUP('USER INPUTS'!$B$24,DEFAULTS!$E$8:$F$69,2,FALSE))/10^6*(1/($D$5/100)))))))</f>
        <v>0</v>
      </c>
      <c r="G115" s="62">
        <f>IF(ISERROR(METHANE!$J129*(IF('USER INPUTS'!$B$24="Total landfill gas",(1/($D$5/100)),IF('USER INPUTS'!$B$24="Methane",1,IF('USER INPUTS'!$B$24="Carbon dioxide",((1/($D$5/100))-1),(VLOOKUP('USER INPUTS'!$B$24,DEFAULTS!$E$8:$F$69,2,FALSE))/10^6*(1/($D$5/100))))))),0,METHANE!$J129*(IF('USER INPUTS'!$B$24="Total landfill gas",(1/($D$5/100)),IF('USER INPUTS'!$B$24="Methane",1,IF('USER INPUTS'!$B$24="Carbon dioxide",((1/($D$5/100))-1),(VLOOKUP('USER INPUTS'!$B$24,DEFAULTS!$E$8:$F$69,2,FALSE))/10^6*(1/($D$5/100)))))))</f>
        <v>0</v>
      </c>
      <c r="H115" s="62">
        <f>IF(H$8="(short tons/year)",(F115*DEFAULTS!$B$55*DEFAULTS!$B$53/DEFAULTS!$B$54),IF(H$8="(ft^3/year)",(G115*DEFAULTS!$B$57),IF(H$8="(av ft^3/min)",(G115*DEFAULTS!$B$57/DEFAULTS!$B$58),0)))</f>
        <v>0</v>
      </c>
      <c r="I115" s="62">
        <f>IF(ISERROR(METHANE!$J129*DEFAULTS!$B$82*(IF('USER INPUTS'!$B$26="Total landfill gas",(1/($D$5/100)),IF('USER INPUTS'!$B$26="Methane",1,IF('USER INPUTS'!$B$26="Carbon dioxide",((1/($D$5/100))-1),(VLOOKUP('USER INPUTS'!$B$26,DEFAULTS!$E$8:$F$69,2,FALSE))/10^6*(1/($D$5/100))))))),0,METHANE!$J129*DEFAULTS!$B$82*(IF('USER INPUTS'!$B$26="Total landfill gas",(1/($D$5/100)),IF('USER INPUTS'!$B$26="Methane",1,IF('USER INPUTS'!$B$26="Carbon dioxide",((1/($D$5/100))-1),(VLOOKUP('USER INPUTS'!$B$26,DEFAULTS!$E$8:$F$69,2,FALSE))/10^6*(1/($D$5/100)))))))</f>
        <v>0</v>
      </c>
      <c r="J115" s="62">
        <f>IF(ISERROR(METHANE!$J129*(IF('USER INPUTS'!$B$26="Total landfill gas",(1/($D$5/100)),IF('USER INPUTS'!$B$26="Methane",1,IF('USER INPUTS'!$B$26="Carbon dioxide",((1/($D$5/100))-1),(VLOOKUP('USER INPUTS'!$B$26,DEFAULTS!$E$8:$F$69,2,FALSE))/10^6*(1/($D$5/100))))))),0,METHANE!$J129*(IF('USER INPUTS'!$B$26="Total landfill gas",(1/($D$5/100)),IF('USER INPUTS'!$B$26="Methane",1,IF('USER INPUTS'!$B$26="Carbon dioxide",((1/($D$5/100))-1),(VLOOKUP('USER INPUTS'!$B$26,DEFAULTS!$E$8:$F$69,2,FALSE))/10^6*(1/($D$5/100)))))))</f>
        <v>0</v>
      </c>
      <c r="K115" s="62">
        <f>IF(K$8="(short tons/year)",(I115*DEFAULTS!$B$55*DEFAULTS!$B$53/DEFAULTS!$B$54),IF(K$8="(ft^3/year)",(J115*DEFAULTS!$B$57),IF(K$8="(av ft^3/min)",(J115*DEFAULTS!$B$57/DEFAULTS!$B$58),0)))</f>
        <v>0</v>
      </c>
      <c r="L115" s="62">
        <f>IF(ISERROR(METHANE!$J129*DEFAULTS!$B$83*(IF('USER INPUTS'!$B$28="Total landfill gas",(1/($D$5/100)),IF('USER INPUTS'!$B$28="Methane",1,IF('USER INPUTS'!$B$28="Carbon dioxide",((1/($D$5/100))-1),(VLOOKUP('USER INPUTS'!$B$28,DEFAULTS!$E$8:$F$69,2,FALSE))/10^6*(1/($D$5/100))))))),0,METHANE!$J129*DEFAULTS!$B$83*(IF('USER INPUTS'!$B$28="Total landfill gas",(1/($D$5/100)),IF('USER INPUTS'!$B$28="Methane",1,IF('USER INPUTS'!$B$28="Carbon dioxide",((1/($D$5/100))-1),(VLOOKUP('USER INPUTS'!$B$28,DEFAULTS!$E$8:$F$69,2,FALSE))/10^6*(1/($D$5/100)))))))</f>
        <v>2059.9405449103215</v>
      </c>
      <c r="M115" s="62">
        <f>IF(ISERROR(METHANE!$J129*(IF('USER INPUTS'!$B$28="Total landfill gas",(1/($D$5/100)),IF('USER INPUTS'!$B$28="Methane",1,IF('USER INPUTS'!$B$28="Carbon dioxide",((1/($D$5/100))-1),(VLOOKUP('USER INPUTS'!$B$28,DEFAULTS!$E$8:$F$69,2,FALSE))/10^6*(1/($D$5/100))))))),0,METHANE!$J129*(IF('USER INPUTS'!$B$28="Total landfill gas",(1/($D$5/100)),IF('USER INPUTS'!$B$28="Methane",1,IF('USER INPUTS'!$B$28="Carbon dioxide",((1/($D$5/100))-1),(VLOOKUP('USER INPUTS'!$B$28,DEFAULTS!$E$8:$F$69,2,FALSE))/10^6*(1/($D$5/100)))))))</f>
        <v>1125343.8435423875</v>
      </c>
      <c r="N115" s="62">
        <f>IF(N$8="(short tons/year)",(L115*DEFAULTS!$B$55*DEFAULTS!$B$53/DEFAULTS!$B$54),IF(N$8="(ft^3/year)",(M115*DEFAULTS!$B$57),IF(N$8="(av ft^3/min)",(M115*DEFAULTS!$B$57/DEFAULTS!$B$58),0)))</f>
        <v>75.611715819443333</v>
      </c>
      <c r="O115" s="62">
        <f>IF(ISERROR(METHANE!$J129*DEFAULTS!$B$84*(IF('USER INPUTS'!$B$30="Total landfill gas",(1/($D$5/100)),IF('USER INPUTS'!$B$30="Methane",1,IF('USER INPUTS'!$B$30="Carbon dioxide",((1/($D$5/100))-1),(VLOOKUP('USER INPUTS'!$B$30,DEFAULTS!$E$8:$F$69,2,FALSE))/10^6*(1/($D$5/100))))))),0,METHANE!$J129*DEFAULTS!$B$84*(IF('USER INPUTS'!$B$30="Total landfill gas",(1/($D$5/100)),IF('USER INPUTS'!$B$30="Methane",1,IF('USER INPUTS'!$B$30="Carbon dioxide",((1/($D$5/100))-1),(VLOOKUP('USER INPUTS'!$B$30,DEFAULTS!$E$8:$F$69,2,FALSE))/10^6*(1/($D$5/100)))))))</f>
        <v>0</v>
      </c>
      <c r="P115" s="62">
        <f>IF(ISERROR(METHANE!$J129*(IF('USER INPUTS'!$B$30="Total landfill gas",(1/($D$5/100)),IF('USER INPUTS'!$B$30="Methane",1,IF('USER INPUTS'!$B$30="Carbon dioxide",((1/($D$5/100))-1),(VLOOKUP('USER INPUTS'!$B$30,DEFAULTS!$E$8:$F$69,2,FALSE))/10^6*(1/($D$5/100))))))),0,METHANE!$J129*(IF('USER INPUTS'!$B$30="Total landfill gas",(1/($D$5/100)),IF('USER INPUTS'!$B$30="Methane",1,IF('USER INPUTS'!$B$30="Carbon dioxide",((1/($D$5/100))-1),(VLOOKUP('USER INPUTS'!$B$30,DEFAULTS!$E$8:$F$69,2,FALSE))/10^6*(1/($D$5/100)))))))</f>
        <v>0</v>
      </c>
      <c r="Q115" s="162">
        <f>IF(Q$8="(short tons/year)",(O115*DEFAULTS!$B$55*DEFAULTS!$B$53/DEFAULTS!$B$54),IF(Q$8="(ft^3/year)",(P115*DEFAULTS!$B$57),IF(Q$8="(av ft^3/min)",(P115*DEFAULTS!$B$57/DEFAULTS!$B$58),0)))</f>
        <v>0</v>
      </c>
    </row>
    <row r="116" spans="1:17">
      <c r="A116" s="68">
        <f>METHANE!I130</f>
        <v>2125</v>
      </c>
      <c r="B116" s="361">
        <v>0</v>
      </c>
      <c r="C116" s="361">
        <v>0</v>
      </c>
      <c r="D116" s="364">
        <f t="shared" si="2"/>
        <v>12946986</v>
      </c>
      <c r="E116" s="364">
        <f t="shared" si="3"/>
        <v>14241684.6</v>
      </c>
      <c r="F116" s="62">
        <f>IF(ISERROR(METHANE!$J130*DEFAULTS!$B$81*(IF('USER INPUTS'!$B$24="Total landfill gas",(1/($D$5/100)),IF('USER INPUTS'!$B$24="Methane",1,IF('USER INPUTS'!$B$24="Carbon dioxide",((1/($D$5/100))-1),(VLOOKUP('USER INPUTS'!$B$24,DEFAULTS!$E$8:$F$69,2,FALSE))/10^6*(1/($D$5/100))))))),0,METHANE!$J130*DEFAULTS!$B$81*(IF('USER INPUTS'!$B$24="Total landfill gas",(1/($D$5/100)),IF('USER INPUTS'!$B$24="Methane",1,IF('USER INPUTS'!$B$24="Carbon dioxide",((1/($D$5/100))-1),(VLOOKUP('USER INPUTS'!$B$24,DEFAULTS!$E$8:$F$69,2,FALSE))/10^6*(1/($D$5/100)))))))</f>
        <v>0</v>
      </c>
      <c r="G116" s="62">
        <f>IF(ISERROR(METHANE!$J130*(IF('USER INPUTS'!$B$24="Total landfill gas",(1/($D$5/100)),IF('USER INPUTS'!$B$24="Methane",1,IF('USER INPUTS'!$B$24="Carbon dioxide",((1/($D$5/100))-1),(VLOOKUP('USER INPUTS'!$B$24,DEFAULTS!$E$8:$F$69,2,FALSE))/10^6*(1/($D$5/100))))))),0,METHANE!$J130*(IF('USER INPUTS'!$B$24="Total landfill gas",(1/($D$5/100)),IF('USER INPUTS'!$B$24="Methane",1,IF('USER INPUTS'!$B$24="Carbon dioxide",((1/($D$5/100))-1),(VLOOKUP('USER INPUTS'!$B$24,DEFAULTS!$E$8:$F$69,2,FALSE))/10^6*(1/($D$5/100)))))))</f>
        <v>0</v>
      </c>
      <c r="H116" s="62">
        <f>IF(H$8="(short tons/year)",(F116*DEFAULTS!$B$55*DEFAULTS!$B$53/DEFAULTS!$B$54),IF(H$8="(ft^3/year)",(G116*DEFAULTS!$B$57),IF(H$8="(av ft^3/min)",(G116*DEFAULTS!$B$57/DEFAULTS!$B$58),0)))</f>
        <v>0</v>
      </c>
      <c r="I116" s="62">
        <f>IF(ISERROR(METHANE!$J130*DEFAULTS!$B$82*(IF('USER INPUTS'!$B$26="Total landfill gas",(1/($D$5/100)),IF('USER INPUTS'!$B$26="Methane",1,IF('USER INPUTS'!$B$26="Carbon dioxide",((1/($D$5/100))-1),(VLOOKUP('USER INPUTS'!$B$26,DEFAULTS!$E$8:$F$69,2,FALSE))/10^6*(1/($D$5/100))))))),0,METHANE!$J130*DEFAULTS!$B$82*(IF('USER INPUTS'!$B$26="Total landfill gas",(1/($D$5/100)),IF('USER INPUTS'!$B$26="Methane",1,IF('USER INPUTS'!$B$26="Carbon dioxide",((1/($D$5/100))-1),(VLOOKUP('USER INPUTS'!$B$26,DEFAULTS!$E$8:$F$69,2,FALSE))/10^6*(1/($D$5/100)))))))</f>
        <v>0</v>
      </c>
      <c r="J116" s="62">
        <f>IF(ISERROR(METHANE!$J130*(IF('USER INPUTS'!$B$26="Total landfill gas",(1/($D$5/100)),IF('USER INPUTS'!$B$26="Methane",1,IF('USER INPUTS'!$B$26="Carbon dioxide",((1/($D$5/100))-1),(VLOOKUP('USER INPUTS'!$B$26,DEFAULTS!$E$8:$F$69,2,FALSE))/10^6*(1/($D$5/100))))))),0,METHANE!$J130*(IF('USER INPUTS'!$B$26="Total landfill gas",(1/($D$5/100)),IF('USER INPUTS'!$B$26="Methane",1,IF('USER INPUTS'!$B$26="Carbon dioxide",((1/($D$5/100))-1),(VLOOKUP('USER INPUTS'!$B$26,DEFAULTS!$E$8:$F$69,2,FALSE))/10^6*(1/($D$5/100)))))))</f>
        <v>0</v>
      </c>
      <c r="K116" s="62">
        <f>IF(K$8="(short tons/year)",(I116*DEFAULTS!$B$55*DEFAULTS!$B$53/DEFAULTS!$B$54),IF(K$8="(ft^3/year)",(J116*DEFAULTS!$B$57),IF(K$8="(av ft^3/min)",(J116*DEFAULTS!$B$57/DEFAULTS!$B$58),0)))</f>
        <v>0</v>
      </c>
      <c r="L116" s="62">
        <f>IF(ISERROR(METHANE!$J130*DEFAULTS!$B$83*(IF('USER INPUTS'!$B$28="Total landfill gas",(1/($D$5/100)),IF('USER INPUTS'!$B$28="Methane",1,IF('USER INPUTS'!$B$28="Carbon dioxide",((1/($D$5/100))-1),(VLOOKUP('USER INPUTS'!$B$28,DEFAULTS!$E$8:$F$69,2,FALSE))/10^6*(1/($D$5/100))))))),0,METHANE!$J130*DEFAULTS!$B$83*(IF('USER INPUTS'!$B$28="Total landfill gas",(1/($D$5/100)),IF('USER INPUTS'!$B$28="Methane",1,IF('USER INPUTS'!$B$28="Carbon dioxide",((1/($D$5/100))-1),(VLOOKUP('USER INPUTS'!$B$28,DEFAULTS!$E$8:$F$69,2,FALSE))/10^6*(1/($D$5/100)))))))</f>
        <v>1979.169120831519</v>
      </c>
      <c r="M116" s="62">
        <f>IF(ISERROR(METHANE!$J130*(IF('USER INPUTS'!$B$28="Total landfill gas",(1/($D$5/100)),IF('USER INPUTS'!$B$28="Methane",1,IF('USER INPUTS'!$B$28="Carbon dioxide",((1/($D$5/100))-1),(VLOOKUP('USER INPUTS'!$B$28,DEFAULTS!$E$8:$F$69,2,FALSE))/10^6*(1/($D$5/100))))))),0,METHANE!$J130*(IF('USER INPUTS'!$B$28="Total landfill gas",(1/($D$5/100)),IF('USER INPUTS'!$B$28="Methane",1,IF('USER INPUTS'!$B$28="Carbon dioxide",((1/($D$5/100))-1),(VLOOKUP('USER INPUTS'!$B$28,DEFAULTS!$E$8:$F$69,2,FALSE))/10^6*(1/($D$5/100)))))))</f>
        <v>1081218.4802906103</v>
      </c>
      <c r="N116" s="62">
        <f>IF(N$8="(short tons/year)",(L116*DEFAULTS!$B$55*DEFAULTS!$B$53/DEFAULTS!$B$54),IF(N$8="(ft^3/year)",(M116*DEFAULTS!$B$57),IF(N$8="(av ft^3/min)",(M116*DEFAULTS!$B$57/DEFAULTS!$B$58),0)))</f>
        <v>72.646938035507802</v>
      </c>
      <c r="O116" s="62">
        <f>IF(ISERROR(METHANE!$J130*DEFAULTS!$B$84*(IF('USER INPUTS'!$B$30="Total landfill gas",(1/($D$5/100)),IF('USER INPUTS'!$B$30="Methane",1,IF('USER INPUTS'!$B$30="Carbon dioxide",((1/($D$5/100))-1),(VLOOKUP('USER INPUTS'!$B$30,DEFAULTS!$E$8:$F$69,2,FALSE))/10^6*(1/($D$5/100))))))),0,METHANE!$J130*DEFAULTS!$B$84*(IF('USER INPUTS'!$B$30="Total landfill gas",(1/($D$5/100)),IF('USER INPUTS'!$B$30="Methane",1,IF('USER INPUTS'!$B$30="Carbon dioxide",((1/($D$5/100))-1),(VLOOKUP('USER INPUTS'!$B$30,DEFAULTS!$E$8:$F$69,2,FALSE))/10^6*(1/($D$5/100)))))))</f>
        <v>0</v>
      </c>
      <c r="P116" s="62">
        <f>IF(ISERROR(METHANE!$J130*(IF('USER INPUTS'!$B$30="Total landfill gas",(1/($D$5/100)),IF('USER INPUTS'!$B$30="Methane",1,IF('USER INPUTS'!$B$30="Carbon dioxide",((1/($D$5/100))-1),(VLOOKUP('USER INPUTS'!$B$30,DEFAULTS!$E$8:$F$69,2,FALSE))/10^6*(1/($D$5/100))))))),0,METHANE!$J130*(IF('USER INPUTS'!$B$30="Total landfill gas",(1/($D$5/100)),IF('USER INPUTS'!$B$30="Methane",1,IF('USER INPUTS'!$B$30="Carbon dioxide",((1/($D$5/100))-1),(VLOOKUP('USER INPUTS'!$B$30,DEFAULTS!$E$8:$F$69,2,FALSE))/10^6*(1/($D$5/100)))))))</f>
        <v>0</v>
      </c>
      <c r="Q116" s="162">
        <f>IF(Q$8="(short tons/year)",(O116*DEFAULTS!$B$55*DEFAULTS!$B$53/DEFAULTS!$B$54),IF(Q$8="(ft^3/year)",(P116*DEFAULTS!$B$57),IF(Q$8="(av ft^3/min)",(P116*DEFAULTS!$B$57/DEFAULTS!$B$58),0)))</f>
        <v>0</v>
      </c>
    </row>
    <row r="117" spans="1:17">
      <c r="A117" s="68">
        <f>METHANE!I131</f>
        <v>2126</v>
      </c>
      <c r="B117" s="361">
        <v>0</v>
      </c>
      <c r="C117" s="361">
        <v>0</v>
      </c>
      <c r="D117" s="364">
        <f t="shared" si="2"/>
        <v>12946986</v>
      </c>
      <c r="E117" s="364">
        <f t="shared" si="3"/>
        <v>14241684.6</v>
      </c>
      <c r="F117" s="62">
        <f>IF(ISERROR(METHANE!$J131*DEFAULTS!$B$81*(IF('USER INPUTS'!$B$24="Total landfill gas",(1/($D$5/100)),IF('USER INPUTS'!$B$24="Methane",1,IF('USER INPUTS'!$B$24="Carbon dioxide",((1/($D$5/100))-1),(VLOOKUP('USER INPUTS'!$B$24,DEFAULTS!$E$8:$F$69,2,FALSE))/10^6*(1/($D$5/100))))))),0,METHANE!$J131*DEFAULTS!$B$81*(IF('USER INPUTS'!$B$24="Total landfill gas",(1/($D$5/100)),IF('USER INPUTS'!$B$24="Methane",1,IF('USER INPUTS'!$B$24="Carbon dioxide",((1/($D$5/100))-1),(VLOOKUP('USER INPUTS'!$B$24,DEFAULTS!$E$8:$F$69,2,FALSE))/10^6*(1/($D$5/100)))))))</f>
        <v>0</v>
      </c>
      <c r="G117" s="62">
        <f>IF(ISERROR(METHANE!$J131*(IF('USER INPUTS'!$B$24="Total landfill gas",(1/($D$5/100)),IF('USER INPUTS'!$B$24="Methane",1,IF('USER INPUTS'!$B$24="Carbon dioxide",((1/($D$5/100))-1),(VLOOKUP('USER INPUTS'!$B$24,DEFAULTS!$E$8:$F$69,2,FALSE))/10^6*(1/($D$5/100))))))),0,METHANE!$J131*(IF('USER INPUTS'!$B$24="Total landfill gas",(1/($D$5/100)),IF('USER INPUTS'!$B$24="Methane",1,IF('USER INPUTS'!$B$24="Carbon dioxide",((1/($D$5/100))-1),(VLOOKUP('USER INPUTS'!$B$24,DEFAULTS!$E$8:$F$69,2,FALSE))/10^6*(1/($D$5/100)))))))</f>
        <v>0</v>
      </c>
      <c r="H117" s="62">
        <f>IF(H$8="(short tons/year)",(F117*DEFAULTS!$B$55*DEFAULTS!$B$53/DEFAULTS!$B$54),IF(H$8="(ft^3/year)",(G117*DEFAULTS!$B$57),IF(H$8="(av ft^3/min)",(G117*DEFAULTS!$B$57/DEFAULTS!$B$58),0)))</f>
        <v>0</v>
      </c>
      <c r="I117" s="62">
        <f>IF(ISERROR(METHANE!$J131*DEFAULTS!$B$82*(IF('USER INPUTS'!$B$26="Total landfill gas",(1/($D$5/100)),IF('USER INPUTS'!$B$26="Methane",1,IF('USER INPUTS'!$B$26="Carbon dioxide",((1/($D$5/100))-1),(VLOOKUP('USER INPUTS'!$B$26,DEFAULTS!$E$8:$F$69,2,FALSE))/10^6*(1/($D$5/100))))))),0,METHANE!$J131*DEFAULTS!$B$82*(IF('USER INPUTS'!$B$26="Total landfill gas",(1/($D$5/100)),IF('USER INPUTS'!$B$26="Methane",1,IF('USER INPUTS'!$B$26="Carbon dioxide",((1/($D$5/100))-1),(VLOOKUP('USER INPUTS'!$B$26,DEFAULTS!$E$8:$F$69,2,FALSE))/10^6*(1/($D$5/100)))))))</f>
        <v>0</v>
      </c>
      <c r="J117" s="62">
        <f>IF(ISERROR(METHANE!$J131*(IF('USER INPUTS'!$B$26="Total landfill gas",(1/($D$5/100)),IF('USER INPUTS'!$B$26="Methane",1,IF('USER INPUTS'!$B$26="Carbon dioxide",((1/($D$5/100))-1),(VLOOKUP('USER INPUTS'!$B$26,DEFAULTS!$E$8:$F$69,2,FALSE))/10^6*(1/($D$5/100))))))),0,METHANE!$J131*(IF('USER INPUTS'!$B$26="Total landfill gas",(1/($D$5/100)),IF('USER INPUTS'!$B$26="Methane",1,IF('USER INPUTS'!$B$26="Carbon dioxide",((1/($D$5/100))-1),(VLOOKUP('USER INPUTS'!$B$26,DEFAULTS!$E$8:$F$69,2,FALSE))/10^6*(1/($D$5/100)))))))</f>
        <v>0</v>
      </c>
      <c r="K117" s="62">
        <f>IF(K$8="(short tons/year)",(I117*DEFAULTS!$B$55*DEFAULTS!$B$53/DEFAULTS!$B$54),IF(K$8="(ft^3/year)",(J117*DEFAULTS!$B$57),IF(K$8="(av ft^3/min)",(J117*DEFAULTS!$B$57/DEFAULTS!$B$58),0)))</f>
        <v>0</v>
      </c>
      <c r="L117" s="62">
        <f>IF(ISERROR(METHANE!$J131*DEFAULTS!$B$83*(IF('USER INPUTS'!$B$28="Total landfill gas",(1/($D$5/100)),IF('USER INPUTS'!$B$28="Methane",1,IF('USER INPUTS'!$B$28="Carbon dioxide",((1/($D$5/100))-1),(VLOOKUP('USER INPUTS'!$B$28,DEFAULTS!$E$8:$F$69,2,FALSE))/10^6*(1/($D$5/100))))))),0,METHANE!$J131*DEFAULTS!$B$83*(IF('USER INPUTS'!$B$28="Total landfill gas",(1/($D$5/100)),IF('USER INPUTS'!$B$28="Methane",1,IF('USER INPUTS'!$B$28="Carbon dioxide",((1/($D$5/100))-1),(VLOOKUP('USER INPUTS'!$B$28,DEFAULTS!$E$8:$F$69,2,FALSE))/10^6*(1/($D$5/100)))))))</f>
        <v>1901.5647895913121</v>
      </c>
      <c r="M117" s="62">
        <f>IF(ISERROR(METHANE!$J131*(IF('USER INPUTS'!$B$28="Total landfill gas",(1/($D$5/100)),IF('USER INPUTS'!$B$28="Methane",1,IF('USER INPUTS'!$B$28="Carbon dioxide",((1/($D$5/100))-1),(VLOOKUP('USER INPUTS'!$B$28,DEFAULTS!$E$8:$F$69,2,FALSE))/10^6*(1/($D$5/100))))))),0,METHANE!$J131*(IF('USER INPUTS'!$B$28="Total landfill gas",(1/($D$5/100)),IF('USER INPUTS'!$B$28="Methane",1,IF('USER INPUTS'!$B$28="Carbon dioxide",((1/($D$5/100))-1),(VLOOKUP('USER INPUTS'!$B$28,DEFAULTS!$E$8:$F$69,2,FALSE))/10^6*(1/($D$5/100)))))))</f>
        <v>1038823.2972795429</v>
      </c>
      <c r="N117" s="62">
        <f>IF(N$8="(short tons/year)",(L117*DEFAULTS!$B$55*DEFAULTS!$B$53/DEFAULTS!$B$54),IF(N$8="(ft^3/year)",(M117*DEFAULTS!$B$57),IF(N$8="(av ft^3/min)",(M117*DEFAULTS!$B$57/DEFAULTS!$B$58),0)))</f>
        <v>69.798410851269125</v>
      </c>
      <c r="O117" s="62">
        <f>IF(ISERROR(METHANE!$J131*DEFAULTS!$B$84*(IF('USER INPUTS'!$B$30="Total landfill gas",(1/($D$5/100)),IF('USER INPUTS'!$B$30="Methane",1,IF('USER INPUTS'!$B$30="Carbon dioxide",((1/($D$5/100))-1),(VLOOKUP('USER INPUTS'!$B$30,DEFAULTS!$E$8:$F$69,2,FALSE))/10^6*(1/($D$5/100))))))),0,METHANE!$J131*DEFAULTS!$B$84*(IF('USER INPUTS'!$B$30="Total landfill gas",(1/($D$5/100)),IF('USER INPUTS'!$B$30="Methane",1,IF('USER INPUTS'!$B$30="Carbon dioxide",((1/($D$5/100))-1),(VLOOKUP('USER INPUTS'!$B$30,DEFAULTS!$E$8:$F$69,2,FALSE))/10^6*(1/($D$5/100)))))))</f>
        <v>0</v>
      </c>
      <c r="P117" s="62">
        <f>IF(ISERROR(METHANE!$J131*(IF('USER INPUTS'!$B$30="Total landfill gas",(1/($D$5/100)),IF('USER INPUTS'!$B$30="Methane",1,IF('USER INPUTS'!$B$30="Carbon dioxide",((1/($D$5/100))-1),(VLOOKUP('USER INPUTS'!$B$30,DEFAULTS!$E$8:$F$69,2,FALSE))/10^6*(1/($D$5/100))))))),0,METHANE!$J131*(IF('USER INPUTS'!$B$30="Total landfill gas",(1/($D$5/100)),IF('USER INPUTS'!$B$30="Methane",1,IF('USER INPUTS'!$B$30="Carbon dioxide",((1/($D$5/100))-1),(VLOOKUP('USER INPUTS'!$B$30,DEFAULTS!$E$8:$F$69,2,FALSE))/10^6*(1/($D$5/100)))))))</f>
        <v>0</v>
      </c>
      <c r="Q117" s="162">
        <f>IF(Q$8="(short tons/year)",(O117*DEFAULTS!$B$55*DEFAULTS!$B$53/DEFAULTS!$B$54),IF(Q$8="(ft^3/year)",(P117*DEFAULTS!$B$57),IF(Q$8="(av ft^3/min)",(P117*DEFAULTS!$B$57/DEFAULTS!$B$58),0)))</f>
        <v>0</v>
      </c>
    </row>
    <row r="118" spans="1:17">
      <c r="A118" s="68">
        <f>METHANE!I132</f>
        <v>2127</v>
      </c>
      <c r="B118" s="361">
        <v>0</v>
      </c>
      <c r="C118" s="361">
        <v>0</v>
      </c>
      <c r="D118" s="364">
        <f t="shared" si="2"/>
        <v>12946986</v>
      </c>
      <c r="E118" s="364">
        <f t="shared" si="3"/>
        <v>14241684.6</v>
      </c>
      <c r="F118" s="62">
        <f>IF(ISERROR(METHANE!$J132*DEFAULTS!$B$81*(IF('USER INPUTS'!$B$24="Total landfill gas",(1/($D$5/100)),IF('USER INPUTS'!$B$24="Methane",1,IF('USER INPUTS'!$B$24="Carbon dioxide",((1/($D$5/100))-1),(VLOOKUP('USER INPUTS'!$B$24,DEFAULTS!$E$8:$F$69,2,FALSE))/10^6*(1/($D$5/100))))))),0,METHANE!$J132*DEFAULTS!$B$81*(IF('USER INPUTS'!$B$24="Total landfill gas",(1/($D$5/100)),IF('USER INPUTS'!$B$24="Methane",1,IF('USER INPUTS'!$B$24="Carbon dioxide",((1/($D$5/100))-1),(VLOOKUP('USER INPUTS'!$B$24,DEFAULTS!$E$8:$F$69,2,FALSE))/10^6*(1/($D$5/100)))))))</f>
        <v>0</v>
      </c>
      <c r="G118" s="62">
        <f>IF(ISERROR(METHANE!$J132*(IF('USER INPUTS'!$B$24="Total landfill gas",(1/($D$5/100)),IF('USER INPUTS'!$B$24="Methane",1,IF('USER INPUTS'!$B$24="Carbon dioxide",((1/($D$5/100))-1),(VLOOKUP('USER INPUTS'!$B$24,DEFAULTS!$E$8:$F$69,2,FALSE))/10^6*(1/($D$5/100))))))),0,METHANE!$J132*(IF('USER INPUTS'!$B$24="Total landfill gas",(1/($D$5/100)),IF('USER INPUTS'!$B$24="Methane",1,IF('USER INPUTS'!$B$24="Carbon dioxide",((1/($D$5/100))-1),(VLOOKUP('USER INPUTS'!$B$24,DEFAULTS!$E$8:$F$69,2,FALSE))/10^6*(1/($D$5/100)))))))</f>
        <v>0</v>
      </c>
      <c r="H118" s="62">
        <f>IF(H$8="(short tons/year)",(F118*DEFAULTS!$B$55*DEFAULTS!$B$53/DEFAULTS!$B$54),IF(H$8="(ft^3/year)",(G118*DEFAULTS!$B$57),IF(H$8="(av ft^3/min)",(G118*DEFAULTS!$B$57/DEFAULTS!$B$58),0)))</f>
        <v>0</v>
      </c>
      <c r="I118" s="62">
        <f>IF(ISERROR(METHANE!$J132*DEFAULTS!$B$82*(IF('USER INPUTS'!$B$26="Total landfill gas",(1/($D$5/100)),IF('USER INPUTS'!$B$26="Methane",1,IF('USER INPUTS'!$B$26="Carbon dioxide",((1/($D$5/100))-1),(VLOOKUP('USER INPUTS'!$B$26,DEFAULTS!$E$8:$F$69,2,FALSE))/10^6*(1/($D$5/100))))))),0,METHANE!$J132*DEFAULTS!$B$82*(IF('USER INPUTS'!$B$26="Total landfill gas",(1/($D$5/100)),IF('USER INPUTS'!$B$26="Methane",1,IF('USER INPUTS'!$B$26="Carbon dioxide",((1/($D$5/100))-1),(VLOOKUP('USER INPUTS'!$B$26,DEFAULTS!$E$8:$F$69,2,FALSE))/10^6*(1/($D$5/100)))))))</f>
        <v>0</v>
      </c>
      <c r="J118" s="62">
        <f>IF(ISERROR(METHANE!$J132*(IF('USER INPUTS'!$B$26="Total landfill gas",(1/($D$5/100)),IF('USER INPUTS'!$B$26="Methane",1,IF('USER INPUTS'!$B$26="Carbon dioxide",((1/($D$5/100))-1),(VLOOKUP('USER INPUTS'!$B$26,DEFAULTS!$E$8:$F$69,2,FALSE))/10^6*(1/($D$5/100))))))),0,METHANE!$J132*(IF('USER INPUTS'!$B$26="Total landfill gas",(1/($D$5/100)),IF('USER INPUTS'!$B$26="Methane",1,IF('USER INPUTS'!$B$26="Carbon dioxide",((1/($D$5/100))-1),(VLOOKUP('USER INPUTS'!$B$26,DEFAULTS!$E$8:$F$69,2,FALSE))/10^6*(1/($D$5/100)))))))</f>
        <v>0</v>
      </c>
      <c r="K118" s="62">
        <f>IF(K$8="(short tons/year)",(I118*DEFAULTS!$B$55*DEFAULTS!$B$53/DEFAULTS!$B$54),IF(K$8="(ft^3/year)",(J118*DEFAULTS!$B$57),IF(K$8="(av ft^3/min)",(J118*DEFAULTS!$B$57/DEFAULTS!$B$58),0)))</f>
        <v>0</v>
      </c>
      <c r="L118" s="62">
        <f>IF(ISERROR(METHANE!$J132*DEFAULTS!$B$83*(IF('USER INPUTS'!$B$28="Total landfill gas",(1/($D$5/100)),IF('USER INPUTS'!$B$28="Methane",1,IF('USER INPUTS'!$B$28="Carbon dioxide",((1/($D$5/100))-1),(VLOOKUP('USER INPUTS'!$B$28,DEFAULTS!$E$8:$F$69,2,FALSE))/10^6*(1/($D$5/100))))))),0,METHANE!$J132*DEFAULTS!$B$83*(IF('USER INPUTS'!$B$28="Total landfill gas",(1/($D$5/100)),IF('USER INPUTS'!$B$28="Methane",1,IF('USER INPUTS'!$B$28="Carbon dioxide",((1/($D$5/100))-1),(VLOOKUP('USER INPUTS'!$B$28,DEFAULTS!$E$8:$F$69,2,FALSE))/10^6*(1/($D$5/100)))))))</f>
        <v>1827.003367703242</v>
      </c>
      <c r="M118" s="62">
        <f>IF(ISERROR(METHANE!$J132*(IF('USER INPUTS'!$B$28="Total landfill gas",(1/($D$5/100)),IF('USER INPUTS'!$B$28="Methane",1,IF('USER INPUTS'!$B$28="Carbon dioxide",((1/($D$5/100))-1),(VLOOKUP('USER INPUTS'!$B$28,DEFAULTS!$E$8:$F$69,2,FALSE))/10^6*(1/($D$5/100))))))),0,METHANE!$J132*(IF('USER INPUTS'!$B$28="Total landfill gas",(1/($D$5/100)),IF('USER INPUTS'!$B$28="Methane",1,IF('USER INPUTS'!$B$28="Carbon dioxide",((1/($D$5/100))-1),(VLOOKUP('USER INPUTS'!$B$28,DEFAULTS!$E$8:$F$69,2,FALSE))/10^6*(1/($D$5/100)))))))</f>
        <v>998090.45317157917</v>
      </c>
      <c r="N118" s="62">
        <f>IF(N$8="(short tons/year)",(L118*DEFAULTS!$B$55*DEFAULTS!$B$53/DEFAULTS!$B$54),IF(N$8="(ft^3/year)",(M118*DEFAULTS!$B$57),IF(N$8="(av ft^3/min)",(M118*DEFAULTS!$B$57/DEFAULTS!$B$58),0)))</f>
        <v>67.061576015514305</v>
      </c>
      <c r="O118" s="62">
        <f>IF(ISERROR(METHANE!$J132*DEFAULTS!$B$84*(IF('USER INPUTS'!$B$30="Total landfill gas",(1/($D$5/100)),IF('USER INPUTS'!$B$30="Methane",1,IF('USER INPUTS'!$B$30="Carbon dioxide",((1/($D$5/100))-1),(VLOOKUP('USER INPUTS'!$B$30,DEFAULTS!$E$8:$F$69,2,FALSE))/10^6*(1/($D$5/100))))))),0,METHANE!$J132*DEFAULTS!$B$84*(IF('USER INPUTS'!$B$30="Total landfill gas",(1/($D$5/100)),IF('USER INPUTS'!$B$30="Methane",1,IF('USER INPUTS'!$B$30="Carbon dioxide",((1/($D$5/100))-1),(VLOOKUP('USER INPUTS'!$B$30,DEFAULTS!$E$8:$F$69,2,FALSE))/10^6*(1/($D$5/100)))))))</f>
        <v>0</v>
      </c>
      <c r="P118" s="62">
        <f>IF(ISERROR(METHANE!$J132*(IF('USER INPUTS'!$B$30="Total landfill gas",(1/($D$5/100)),IF('USER INPUTS'!$B$30="Methane",1,IF('USER INPUTS'!$B$30="Carbon dioxide",((1/($D$5/100))-1),(VLOOKUP('USER INPUTS'!$B$30,DEFAULTS!$E$8:$F$69,2,FALSE))/10^6*(1/($D$5/100))))))),0,METHANE!$J132*(IF('USER INPUTS'!$B$30="Total landfill gas",(1/($D$5/100)),IF('USER INPUTS'!$B$30="Methane",1,IF('USER INPUTS'!$B$30="Carbon dioxide",((1/($D$5/100))-1),(VLOOKUP('USER INPUTS'!$B$30,DEFAULTS!$E$8:$F$69,2,FALSE))/10^6*(1/($D$5/100)))))))</f>
        <v>0</v>
      </c>
      <c r="Q118" s="162">
        <f>IF(Q$8="(short tons/year)",(O118*DEFAULTS!$B$55*DEFAULTS!$B$53/DEFAULTS!$B$54),IF(Q$8="(ft^3/year)",(P118*DEFAULTS!$B$57),IF(Q$8="(av ft^3/min)",(P118*DEFAULTS!$B$57/DEFAULTS!$B$58),0)))</f>
        <v>0</v>
      </c>
    </row>
    <row r="119" spans="1:17">
      <c r="A119" s="68">
        <f>METHANE!I133</f>
        <v>2128</v>
      </c>
      <c r="B119" s="361">
        <v>0</v>
      </c>
      <c r="C119" s="361">
        <v>0</v>
      </c>
      <c r="D119" s="364">
        <f t="shared" si="2"/>
        <v>12946986</v>
      </c>
      <c r="E119" s="364">
        <f t="shared" si="3"/>
        <v>14241684.6</v>
      </c>
      <c r="F119" s="62">
        <f>IF(ISERROR(METHANE!$J133*DEFAULTS!$B$81*(IF('USER INPUTS'!$B$24="Total landfill gas",(1/($D$5/100)),IF('USER INPUTS'!$B$24="Methane",1,IF('USER INPUTS'!$B$24="Carbon dioxide",((1/($D$5/100))-1),(VLOOKUP('USER INPUTS'!$B$24,DEFAULTS!$E$8:$F$69,2,FALSE))/10^6*(1/($D$5/100))))))),0,METHANE!$J133*DEFAULTS!$B$81*(IF('USER INPUTS'!$B$24="Total landfill gas",(1/($D$5/100)),IF('USER INPUTS'!$B$24="Methane",1,IF('USER INPUTS'!$B$24="Carbon dioxide",((1/($D$5/100))-1),(VLOOKUP('USER INPUTS'!$B$24,DEFAULTS!$E$8:$F$69,2,FALSE))/10^6*(1/($D$5/100)))))))</f>
        <v>0</v>
      </c>
      <c r="G119" s="62">
        <f>IF(ISERROR(METHANE!$J133*(IF('USER INPUTS'!$B$24="Total landfill gas",(1/($D$5/100)),IF('USER INPUTS'!$B$24="Methane",1,IF('USER INPUTS'!$B$24="Carbon dioxide",((1/($D$5/100))-1),(VLOOKUP('USER INPUTS'!$B$24,DEFAULTS!$E$8:$F$69,2,FALSE))/10^6*(1/($D$5/100))))))),0,METHANE!$J133*(IF('USER INPUTS'!$B$24="Total landfill gas",(1/($D$5/100)),IF('USER INPUTS'!$B$24="Methane",1,IF('USER INPUTS'!$B$24="Carbon dioxide",((1/($D$5/100))-1),(VLOOKUP('USER INPUTS'!$B$24,DEFAULTS!$E$8:$F$69,2,FALSE))/10^6*(1/($D$5/100)))))))</f>
        <v>0</v>
      </c>
      <c r="H119" s="62">
        <f>IF(H$8="(short tons/year)",(F119*DEFAULTS!$B$55*DEFAULTS!$B$53/DEFAULTS!$B$54),IF(H$8="(ft^3/year)",(G119*DEFAULTS!$B$57),IF(H$8="(av ft^3/min)",(G119*DEFAULTS!$B$57/DEFAULTS!$B$58),0)))</f>
        <v>0</v>
      </c>
      <c r="I119" s="62">
        <f>IF(ISERROR(METHANE!$J133*DEFAULTS!$B$82*(IF('USER INPUTS'!$B$26="Total landfill gas",(1/($D$5/100)),IF('USER INPUTS'!$B$26="Methane",1,IF('USER INPUTS'!$B$26="Carbon dioxide",((1/($D$5/100))-1),(VLOOKUP('USER INPUTS'!$B$26,DEFAULTS!$E$8:$F$69,2,FALSE))/10^6*(1/($D$5/100))))))),0,METHANE!$J133*DEFAULTS!$B$82*(IF('USER INPUTS'!$B$26="Total landfill gas",(1/($D$5/100)),IF('USER INPUTS'!$B$26="Methane",1,IF('USER INPUTS'!$B$26="Carbon dioxide",((1/($D$5/100))-1),(VLOOKUP('USER INPUTS'!$B$26,DEFAULTS!$E$8:$F$69,2,FALSE))/10^6*(1/($D$5/100)))))))</f>
        <v>0</v>
      </c>
      <c r="J119" s="62">
        <f>IF(ISERROR(METHANE!$J133*(IF('USER INPUTS'!$B$26="Total landfill gas",(1/($D$5/100)),IF('USER INPUTS'!$B$26="Methane",1,IF('USER INPUTS'!$B$26="Carbon dioxide",((1/($D$5/100))-1),(VLOOKUP('USER INPUTS'!$B$26,DEFAULTS!$E$8:$F$69,2,FALSE))/10^6*(1/($D$5/100))))))),0,METHANE!$J133*(IF('USER INPUTS'!$B$26="Total landfill gas",(1/($D$5/100)),IF('USER INPUTS'!$B$26="Methane",1,IF('USER INPUTS'!$B$26="Carbon dioxide",((1/($D$5/100))-1),(VLOOKUP('USER INPUTS'!$B$26,DEFAULTS!$E$8:$F$69,2,FALSE))/10^6*(1/($D$5/100)))))))</f>
        <v>0</v>
      </c>
      <c r="K119" s="62">
        <f>IF(K$8="(short tons/year)",(I119*DEFAULTS!$B$55*DEFAULTS!$B$53/DEFAULTS!$B$54),IF(K$8="(ft^3/year)",(J119*DEFAULTS!$B$57),IF(K$8="(av ft^3/min)",(J119*DEFAULTS!$B$57/DEFAULTS!$B$58),0)))</f>
        <v>0</v>
      </c>
      <c r="L119" s="62">
        <f>IF(ISERROR(METHANE!$J133*DEFAULTS!$B$83*(IF('USER INPUTS'!$B$28="Total landfill gas",(1/($D$5/100)),IF('USER INPUTS'!$B$28="Methane",1,IF('USER INPUTS'!$B$28="Carbon dioxide",((1/($D$5/100))-1),(VLOOKUP('USER INPUTS'!$B$28,DEFAULTS!$E$8:$F$69,2,FALSE))/10^6*(1/($D$5/100))))))),0,METHANE!$J133*DEFAULTS!$B$83*(IF('USER INPUTS'!$B$28="Total landfill gas",(1/($D$5/100)),IF('USER INPUTS'!$B$28="Methane",1,IF('USER INPUTS'!$B$28="Carbon dioxide",((1/($D$5/100))-1),(VLOOKUP('USER INPUTS'!$B$28,DEFAULTS!$E$8:$F$69,2,FALSE))/10^6*(1/($D$5/100)))))))</f>
        <v>1755.3655409850035</v>
      </c>
      <c r="M119" s="62">
        <f>IF(ISERROR(METHANE!$J133*(IF('USER INPUTS'!$B$28="Total landfill gas",(1/($D$5/100)),IF('USER INPUTS'!$B$28="Methane",1,IF('USER INPUTS'!$B$28="Carbon dioxide",((1/($D$5/100))-1),(VLOOKUP('USER INPUTS'!$B$28,DEFAULTS!$E$8:$F$69,2,FALSE))/10^6*(1/($D$5/100))))))),0,METHANE!$J133*(IF('USER INPUTS'!$B$28="Total landfill gas",(1/($D$5/100)),IF('USER INPUTS'!$B$28="Methane",1,IF('USER INPUTS'!$B$28="Carbon dioxide",((1/($D$5/100))-1),(VLOOKUP('USER INPUTS'!$B$28,DEFAULTS!$E$8:$F$69,2,FALSE))/10^6*(1/($D$5/100)))))))</f>
        <v>958954.76672600931</v>
      </c>
      <c r="N119" s="62">
        <f>IF(N$8="(short tons/year)",(L119*DEFAULTS!$B$55*DEFAULTS!$B$53/DEFAULTS!$B$54),IF(N$8="(ft^3/year)",(M119*DEFAULTS!$B$57),IF(N$8="(av ft^3/min)",(M119*DEFAULTS!$B$57/DEFAULTS!$B$58),0)))</f>
        <v>64.432054008616845</v>
      </c>
      <c r="O119" s="62">
        <f>IF(ISERROR(METHANE!$J133*DEFAULTS!$B$84*(IF('USER INPUTS'!$B$30="Total landfill gas",(1/($D$5/100)),IF('USER INPUTS'!$B$30="Methane",1,IF('USER INPUTS'!$B$30="Carbon dioxide",((1/($D$5/100))-1),(VLOOKUP('USER INPUTS'!$B$30,DEFAULTS!$E$8:$F$69,2,FALSE))/10^6*(1/($D$5/100))))))),0,METHANE!$J133*DEFAULTS!$B$84*(IF('USER INPUTS'!$B$30="Total landfill gas",(1/($D$5/100)),IF('USER INPUTS'!$B$30="Methane",1,IF('USER INPUTS'!$B$30="Carbon dioxide",((1/($D$5/100))-1),(VLOOKUP('USER INPUTS'!$B$30,DEFAULTS!$E$8:$F$69,2,FALSE))/10^6*(1/($D$5/100)))))))</f>
        <v>0</v>
      </c>
      <c r="P119" s="62">
        <f>IF(ISERROR(METHANE!$J133*(IF('USER INPUTS'!$B$30="Total landfill gas",(1/($D$5/100)),IF('USER INPUTS'!$B$30="Methane",1,IF('USER INPUTS'!$B$30="Carbon dioxide",((1/($D$5/100))-1),(VLOOKUP('USER INPUTS'!$B$30,DEFAULTS!$E$8:$F$69,2,FALSE))/10^6*(1/($D$5/100))))))),0,METHANE!$J133*(IF('USER INPUTS'!$B$30="Total landfill gas",(1/($D$5/100)),IF('USER INPUTS'!$B$30="Methane",1,IF('USER INPUTS'!$B$30="Carbon dioxide",((1/($D$5/100))-1),(VLOOKUP('USER INPUTS'!$B$30,DEFAULTS!$E$8:$F$69,2,FALSE))/10^6*(1/($D$5/100)))))))</f>
        <v>0</v>
      </c>
      <c r="Q119" s="162">
        <f>IF(Q$8="(short tons/year)",(O119*DEFAULTS!$B$55*DEFAULTS!$B$53/DEFAULTS!$B$54),IF(Q$8="(ft^3/year)",(P119*DEFAULTS!$B$57),IF(Q$8="(av ft^3/min)",(P119*DEFAULTS!$B$57/DEFAULTS!$B$58),0)))</f>
        <v>0</v>
      </c>
    </row>
    <row r="120" spans="1:17">
      <c r="A120" s="68">
        <f>METHANE!I134</f>
        <v>2129</v>
      </c>
      <c r="B120" s="361">
        <v>0</v>
      </c>
      <c r="C120" s="361">
        <v>0</v>
      </c>
      <c r="D120" s="364">
        <f t="shared" si="2"/>
        <v>12946986</v>
      </c>
      <c r="E120" s="364">
        <f t="shared" si="3"/>
        <v>14241684.6</v>
      </c>
      <c r="F120" s="62">
        <f>IF(ISERROR(METHANE!$J134*DEFAULTS!$B$81*(IF('USER INPUTS'!$B$24="Total landfill gas",(1/($D$5/100)),IF('USER INPUTS'!$B$24="Methane",1,IF('USER INPUTS'!$B$24="Carbon dioxide",((1/($D$5/100))-1),(VLOOKUP('USER INPUTS'!$B$24,DEFAULTS!$E$8:$F$69,2,FALSE))/10^6*(1/($D$5/100))))))),0,METHANE!$J134*DEFAULTS!$B$81*(IF('USER INPUTS'!$B$24="Total landfill gas",(1/($D$5/100)),IF('USER INPUTS'!$B$24="Methane",1,IF('USER INPUTS'!$B$24="Carbon dioxide",((1/($D$5/100))-1),(VLOOKUP('USER INPUTS'!$B$24,DEFAULTS!$E$8:$F$69,2,FALSE))/10^6*(1/($D$5/100)))))))</f>
        <v>0</v>
      </c>
      <c r="G120" s="62">
        <f>IF(ISERROR(METHANE!$J134*(IF('USER INPUTS'!$B$24="Total landfill gas",(1/($D$5/100)),IF('USER INPUTS'!$B$24="Methane",1,IF('USER INPUTS'!$B$24="Carbon dioxide",((1/($D$5/100))-1),(VLOOKUP('USER INPUTS'!$B$24,DEFAULTS!$E$8:$F$69,2,FALSE))/10^6*(1/($D$5/100))))))),0,METHANE!$J134*(IF('USER INPUTS'!$B$24="Total landfill gas",(1/($D$5/100)),IF('USER INPUTS'!$B$24="Methane",1,IF('USER INPUTS'!$B$24="Carbon dioxide",((1/($D$5/100))-1),(VLOOKUP('USER INPUTS'!$B$24,DEFAULTS!$E$8:$F$69,2,FALSE))/10^6*(1/($D$5/100)))))))</f>
        <v>0</v>
      </c>
      <c r="H120" s="62">
        <f>IF(H$8="(short tons/year)",(F120*DEFAULTS!$B$55*DEFAULTS!$B$53/DEFAULTS!$B$54),IF(H$8="(ft^3/year)",(G120*DEFAULTS!$B$57),IF(H$8="(av ft^3/min)",(G120*DEFAULTS!$B$57/DEFAULTS!$B$58),0)))</f>
        <v>0</v>
      </c>
      <c r="I120" s="62">
        <f>IF(ISERROR(METHANE!$J134*DEFAULTS!$B$82*(IF('USER INPUTS'!$B$26="Total landfill gas",(1/($D$5/100)),IF('USER INPUTS'!$B$26="Methane",1,IF('USER INPUTS'!$B$26="Carbon dioxide",((1/($D$5/100))-1),(VLOOKUP('USER INPUTS'!$B$26,DEFAULTS!$E$8:$F$69,2,FALSE))/10^6*(1/($D$5/100))))))),0,METHANE!$J134*DEFAULTS!$B$82*(IF('USER INPUTS'!$B$26="Total landfill gas",(1/($D$5/100)),IF('USER INPUTS'!$B$26="Methane",1,IF('USER INPUTS'!$B$26="Carbon dioxide",((1/($D$5/100))-1),(VLOOKUP('USER INPUTS'!$B$26,DEFAULTS!$E$8:$F$69,2,FALSE))/10^6*(1/($D$5/100)))))))</f>
        <v>0</v>
      </c>
      <c r="J120" s="62">
        <f>IF(ISERROR(METHANE!$J134*(IF('USER INPUTS'!$B$26="Total landfill gas",(1/($D$5/100)),IF('USER INPUTS'!$B$26="Methane",1,IF('USER INPUTS'!$B$26="Carbon dioxide",((1/($D$5/100))-1),(VLOOKUP('USER INPUTS'!$B$26,DEFAULTS!$E$8:$F$69,2,FALSE))/10^6*(1/($D$5/100))))))),0,METHANE!$J134*(IF('USER INPUTS'!$B$26="Total landfill gas",(1/($D$5/100)),IF('USER INPUTS'!$B$26="Methane",1,IF('USER INPUTS'!$B$26="Carbon dioxide",((1/($D$5/100))-1),(VLOOKUP('USER INPUTS'!$B$26,DEFAULTS!$E$8:$F$69,2,FALSE))/10^6*(1/($D$5/100)))))))</f>
        <v>0</v>
      </c>
      <c r="K120" s="62">
        <f>IF(K$8="(short tons/year)",(I120*DEFAULTS!$B$55*DEFAULTS!$B$53/DEFAULTS!$B$54),IF(K$8="(ft^3/year)",(J120*DEFAULTS!$B$57),IF(K$8="(av ft^3/min)",(J120*DEFAULTS!$B$57/DEFAULTS!$B$58),0)))</f>
        <v>0</v>
      </c>
      <c r="L120" s="62">
        <f>IF(ISERROR(METHANE!$J134*DEFAULTS!$B$83*(IF('USER INPUTS'!$B$28="Total landfill gas",(1/($D$5/100)),IF('USER INPUTS'!$B$28="Methane",1,IF('USER INPUTS'!$B$28="Carbon dioxide",((1/($D$5/100))-1),(VLOOKUP('USER INPUTS'!$B$28,DEFAULTS!$E$8:$F$69,2,FALSE))/10^6*(1/($D$5/100))))))),0,METHANE!$J134*DEFAULTS!$B$83*(IF('USER INPUTS'!$B$28="Total landfill gas",(1/($D$5/100)),IF('USER INPUTS'!$B$28="Methane",1,IF('USER INPUTS'!$B$28="Carbon dioxide",((1/($D$5/100))-1),(VLOOKUP('USER INPUTS'!$B$28,DEFAULTS!$E$8:$F$69,2,FALSE))/10^6*(1/($D$5/100)))))))</f>
        <v>1686.536673630296</v>
      </c>
      <c r="M120" s="62">
        <f>IF(ISERROR(METHANE!$J134*(IF('USER INPUTS'!$B$28="Total landfill gas",(1/($D$5/100)),IF('USER INPUTS'!$B$28="Methane",1,IF('USER INPUTS'!$B$28="Carbon dioxide",((1/($D$5/100))-1),(VLOOKUP('USER INPUTS'!$B$28,DEFAULTS!$E$8:$F$69,2,FALSE))/10^6*(1/($D$5/100))))))),0,METHANE!$J134*(IF('USER INPUTS'!$B$28="Total landfill gas",(1/($D$5/100)),IF('USER INPUTS'!$B$28="Methane",1,IF('USER INPUTS'!$B$28="Carbon dioxide",((1/($D$5/100))-1),(VLOOKUP('USER INPUTS'!$B$28,DEFAULTS!$E$8:$F$69,2,FALSE))/10^6*(1/($D$5/100)))))))</f>
        <v>921353.61249512958</v>
      </c>
      <c r="N120" s="62">
        <f>IF(N$8="(short tons/year)",(L120*DEFAULTS!$B$55*DEFAULTS!$B$53/DEFAULTS!$B$54),IF(N$8="(ft^3/year)",(M120*DEFAULTS!$B$57),IF(N$8="(av ft^3/min)",(M120*DEFAULTS!$B$57/DEFAULTS!$B$58),0)))</f>
        <v>61.905637034371196</v>
      </c>
      <c r="O120" s="62">
        <f>IF(ISERROR(METHANE!$J134*DEFAULTS!$B$84*(IF('USER INPUTS'!$B$30="Total landfill gas",(1/($D$5/100)),IF('USER INPUTS'!$B$30="Methane",1,IF('USER INPUTS'!$B$30="Carbon dioxide",((1/($D$5/100))-1),(VLOOKUP('USER INPUTS'!$B$30,DEFAULTS!$E$8:$F$69,2,FALSE))/10^6*(1/($D$5/100))))))),0,METHANE!$J134*DEFAULTS!$B$84*(IF('USER INPUTS'!$B$30="Total landfill gas",(1/($D$5/100)),IF('USER INPUTS'!$B$30="Methane",1,IF('USER INPUTS'!$B$30="Carbon dioxide",((1/($D$5/100))-1),(VLOOKUP('USER INPUTS'!$B$30,DEFAULTS!$E$8:$F$69,2,FALSE))/10^6*(1/($D$5/100)))))))</f>
        <v>0</v>
      </c>
      <c r="P120" s="62">
        <f>IF(ISERROR(METHANE!$J134*(IF('USER INPUTS'!$B$30="Total landfill gas",(1/($D$5/100)),IF('USER INPUTS'!$B$30="Methane",1,IF('USER INPUTS'!$B$30="Carbon dioxide",((1/($D$5/100))-1),(VLOOKUP('USER INPUTS'!$B$30,DEFAULTS!$E$8:$F$69,2,FALSE))/10^6*(1/($D$5/100))))))),0,METHANE!$J134*(IF('USER INPUTS'!$B$30="Total landfill gas",(1/($D$5/100)),IF('USER INPUTS'!$B$30="Methane",1,IF('USER INPUTS'!$B$30="Carbon dioxide",((1/($D$5/100))-1),(VLOOKUP('USER INPUTS'!$B$30,DEFAULTS!$E$8:$F$69,2,FALSE))/10^6*(1/($D$5/100)))))))</f>
        <v>0</v>
      </c>
      <c r="Q120" s="162">
        <f>IF(Q$8="(short tons/year)",(O120*DEFAULTS!$B$55*DEFAULTS!$B$53/DEFAULTS!$B$54),IF(Q$8="(ft^3/year)",(P120*DEFAULTS!$B$57),IF(Q$8="(av ft^3/min)",(P120*DEFAULTS!$B$57/DEFAULTS!$B$58),0)))</f>
        <v>0</v>
      </c>
    </row>
    <row r="121" spans="1:17">
      <c r="A121" s="68">
        <f>METHANE!I135</f>
        <v>2130</v>
      </c>
      <c r="B121" s="361">
        <v>0</v>
      </c>
      <c r="C121" s="361">
        <v>0</v>
      </c>
      <c r="D121" s="364">
        <f t="shared" si="2"/>
        <v>12946986</v>
      </c>
      <c r="E121" s="364">
        <f t="shared" si="3"/>
        <v>14241684.6</v>
      </c>
      <c r="F121" s="62">
        <f>IF(ISERROR(METHANE!$J135*DEFAULTS!$B$81*(IF('USER INPUTS'!$B$24="Total landfill gas",(1/($D$5/100)),IF('USER INPUTS'!$B$24="Methane",1,IF('USER INPUTS'!$B$24="Carbon dioxide",((1/($D$5/100))-1),(VLOOKUP('USER INPUTS'!$B$24,DEFAULTS!$E$8:$F$69,2,FALSE))/10^6*(1/($D$5/100))))))),0,METHANE!$J135*DEFAULTS!$B$81*(IF('USER INPUTS'!$B$24="Total landfill gas",(1/($D$5/100)),IF('USER INPUTS'!$B$24="Methane",1,IF('USER INPUTS'!$B$24="Carbon dioxide",((1/($D$5/100))-1),(VLOOKUP('USER INPUTS'!$B$24,DEFAULTS!$E$8:$F$69,2,FALSE))/10^6*(1/($D$5/100)))))))</f>
        <v>0</v>
      </c>
      <c r="G121" s="62">
        <f>IF(ISERROR(METHANE!$J135*(IF('USER INPUTS'!$B$24="Total landfill gas",(1/($D$5/100)),IF('USER INPUTS'!$B$24="Methane",1,IF('USER INPUTS'!$B$24="Carbon dioxide",((1/($D$5/100))-1),(VLOOKUP('USER INPUTS'!$B$24,DEFAULTS!$E$8:$F$69,2,FALSE))/10^6*(1/($D$5/100))))))),0,METHANE!$J135*(IF('USER INPUTS'!$B$24="Total landfill gas",(1/($D$5/100)),IF('USER INPUTS'!$B$24="Methane",1,IF('USER INPUTS'!$B$24="Carbon dioxide",((1/($D$5/100))-1),(VLOOKUP('USER INPUTS'!$B$24,DEFAULTS!$E$8:$F$69,2,FALSE))/10^6*(1/($D$5/100)))))))</f>
        <v>0</v>
      </c>
      <c r="H121" s="62">
        <f>IF(H$8="(short tons/year)",(F121*DEFAULTS!$B$55*DEFAULTS!$B$53/DEFAULTS!$B$54),IF(H$8="(ft^3/year)",(G121*DEFAULTS!$B$57),IF(H$8="(av ft^3/min)",(G121*DEFAULTS!$B$57/DEFAULTS!$B$58),0)))</f>
        <v>0</v>
      </c>
      <c r="I121" s="62">
        <f>IF(ISERROR(METHANE!$J135*DEFAULTS!$B$82*(IF('USER INPUTS'!$B$26="Total landfill gas",(1/($D$5/100)),IF('USER INPUTS'!$B$26="Methane",1,IF('USER INPUTS'!$B$26="Carbon dioxide",((1/($D$5/100))-1),(VLOOKUP('USER INPUTS'!$B$26,DEFAULTS!$E$8:$F$69,2,FALSE))/10^6*(1/($D$5/100))))))),0,METHANE!$J135*DEFAULTS!$B$82*(IF('USER INPUTS'!$B$26="Total landfill gas",(1/($D$5/100)),IF('USER INPUTS'!$B$26="Methane",1,IF('USER INPUTS'!$B$26="Carbon dioxide",((1/($D$5/100))-1),(VLOOKUP('USER INPUTS'!$B$26,DEFAULTS!$E$8:$F$69,2,FALSE))/10^6*(1/($D$5/100)))))))</f>
        <v>0</v>
      </c>
      <c r="J121" s="62">
        <f>IF(ISERROR(METHANE!$J135*(IF('USER INPUTS'!$B$26="Total landfill gas",(1/($D$5/100)),IF('USER INPUTS'!$B$26="Methane",1,IF('USER INPUTS'!$B$26="Carbon dioxide",((1/($D$5/100))-1),(VLOOKUP('USER INPUTS'!$B$26,DEFAULTS!$E$8:$F$69,2,FALSE))/10^6*(1/($D$5/100))))))),0,METHANE!$J135*(IF('USER INPUTS'!$B$26="Total landfill gas",(1/($D$5/100)),IF('USER INPUTS'!$B$26="Methane",1,IF('USER INPUTS'!$B$26="Carbon dioxide",((1/($D$5/100))-1),(VLOOKUP('USER INPUTS'!$B$26,DEFAULTS!$E$8:$F$69,2,FALSE))/10^6*(1/($D$5/100)))))))</f>
        <v>0</v>
      </c>
      <c r="K121" s="62">
        <f>IF(K$8="(short tons/year)",(I121*DEFAULTS!$B$55*DEFAULTS!$B$53/DEFAULTS!$B$54),IF(K$8="(ft^3/year)",(J121*DEFAULTS!$B$57),IF(K$8="(av ft^3/min)",(J121*DEFAULTS!$B$57/DEFAULTS!$B$58),0)))</f>
        <v>0</v>
      </c>
      <c r="L121" s="62">
        <f>IF(ISERROR(METHANE!$J135*DEFAULTS!$B$83*(IF('USER INPUTS'!$B$28="Total landfill gas",(1/($D$5/100)),IF('USER INPUTS'!$B$28="Methane",1,IF('USER INPUTS'!$B$28="Carbon dioxide",((1/($D$5/100))-1),(VLOOKUP('USER INPUTS'!$B$28,DEFAULTS!$E$8:$F$69,2,FALSE))/10^6*(1/($D$5/100))))))),0,METHANE!$J135*DEFAULTS!$B$83*(IF('USER INPUTS'!$B$28="Total landfill gas",(1/($D$5/100)),IF('USER INPUTS'!$B$28="Methane",1,IF('USER INPUTS'!$B$28="Carbon dioxide",((1/($D$5/100))-1),(VLOOKUP('USER INPUTS'!$B$28,DEFAULTS!$E$8:$F$69,2,FALSE))/10^6*(1/($D$5/100)))))))</f>
        <v>1620.4066247670767</v>
      </c>
      <c r="M121" s="62">
        <f>IF(ISERROR(METHANE!$J135*(IF('USER INPUTS'!$B$28="Total landfill gas",(1/($D$5/100)),IF('USER INPUTS'!$B$28="Methane",1,IF('USER INPUTS'!$B$28="Carbon dioxide",((1/($D$5/100))-1),(VLOOKUP('USER INPUTS'!$B$28,DEFAULTS!$E$8:$F$69,2,FALSE))/10^6*(1/($D$5/100))))))),0,METHANE!$J135*(IF('USER INPUTS'!$B$28="Total landfill gas",(1/($D$5/100)),IF('USER INPUTS'!$B$28="Methane",1,IF('USER INPUTS'!$B$28="Carbon dioxide",((1/($D$5/100))-1),(VLOOKUP('USER INPUTS'!$B$28,DEFAULTS!$E$8:$F$69,2,FALSE))/10^6*(1/($D$5/100)))))))</f>
        <v>885226.82061016245</v>
      </c>
      <c r="N121" s="62">
        <f>IF(N$8="(short tons/year)",(L121*DEFAULTS!$B$55*DEFAULTS!$B$53/DEFAULTS!$B$54),IF(N$8="(ft^3/year)",(M121*DEFAULTS!$B$57),IF(N$8="(av ft^3/min)",(M121*DEFAULTS!$B$57/DEFAULTS!$B$58),0)))</f>
        <v>59.478282286620782</v>
      </c>
      <c r="O121" s="62">
        <f>IF(ISERROR(METHANE!$J135*DEFAULTS!$B$84*(IF('USER INPUTS'!$B$30="Total landfill gas",(1/($D$5/100)),IF('USER INPUTS'!$B$30="Methane",1,IF('USER INPUTS'!$B$30="Carbon dioxide",((1/($D$5/100))-1),(VLOOKUP('USER INPUTS'!$B$30,DEFAULTS!$E$8:$F$69,2,FALSE))/10^6*(1/($D$5/100))))))),0,METHANE!$J135*DEFAULTS!$B$84*(IF('USER INPUTS'!$B$30="Total landfill gas",(1/($D$5/100)),IF('USER INPUTS'!$B$30="Methane",1,IF('USER INPUTS'!$B$30="Carbon dioxide",((1/($D$5/100))-1),(VLOOKUP('USER INPUTS'!$B$30,DEFAULTS!$E$8:$F$69,2,FALSE))/10^6*(1/($D$5/100)))))))</f>
        <v>0</v>
      </c>
      <c r="P121" s="62">
        <f>IF(ISERROR(METHANE!$J135*(IF('USER INPUTS'!$B$30="Total landfill gas",(1/($D$5/100)),IF('USER INPUTS'!$B$30="Methane",1,IF('USER INPUTS'!$B$30="Carbon dioxide",((1/($D$5/100))-1),(VLOOKUP('USER INPUTS'!$B$30,DEFAULTS!$E$8:$F$69,2,FALSE))/10^6*(1/($D$5/100))))))),0,METHANE!$J135*(IF('USER INPUTS'!$B$30="Total landfill gas",(1/($D$5/100)),IF('USER INPUTS'!$B$30="Methane",1,IF('USER INPUTS'!$B$30="Carbon dioxide",((1/($D$5/100))-1),(VLOOKUP('USER INPUTS'!$B$30,DEFAULTS!$E$8:$F$69,2,FALSE))/10^6*(1/($D$5/100)))))))</f>
        <v>0</v>
      </c>
      <c r="Q121" s="162">
        <f>IF(Q$8="(short tons/year)",(O121*DEFAULTS!$B$55*DEFAULTS!$B$53/DEFAULTS!$B$54),IF(Q$8="(ft^3/year)",(P121*DEFAULTS!$B$57),IF(Q$8="(av ft^3/min)",(P121*DEFAULTS!$B$57/DEFAULTS!$B$58),0)))</f>
        <v>0</v>
      </c>
    </row>
    <row r="122" spans="1:17">
      <c r="A122" s="68">
        <f>METHANE!I136</f>
        <v>2131</v>
      </c>
      <c r="B122" s="361">
        <v>0</v>
      </c>
      <c r="C122" s="361">
        <v>0</v>
      </c>
      <c r="D122" s="364">
        <f t="shared" si="2"/>
        <v>12946986</v>
      </c>
      <c r="E122" s="364">
        <f t="shared" si="3"/>
        <v>14241684.6</v>
      </c>
      <c r="F122" s="62">
        <f>IF(ISERROR(METHANE!$J136*DEFAULTS!$B$81*(IF('USER INPUTS'!$B$24="Total landfill gas",(1/($D$5/100)),IF('USER INPUTS'!$B$24="Methane",1,IF('USER INPUTS'!$B$24="Carbon dioxide",((1/($D$5/100))-1),(VLOOKUP('USER INPUTS'!$B$24,DEFAULTS!$E$8:$F$69,2,FALSE))/10^6*(1/($D$5/100))))))),0,METHANE!$J136*DEFAULTS!$B$81*(IF('USER INPUTS'!$B$24="Total landfill gas",(1/($D$5/100)),IF('USER INPUTS'!$B$24="Methane",1,IF('USER INPUTS'!$B$24="Carbon dioxide",((1/($D$5/100))-1),(VLOOKUP('USER INPUTS'!$B$24,DEFAULTS!$E$8:$F$69,2,FALSE))/10^6*(1/($D$5/100)))))))</f>
        <v>0</v>
      </c>
      <c r="G122" s="62">
        <f>IF(ISERROR(METHANE!$J136*(IF('USER INPUTS'!$B$24="Total landfill gas",(1/($D$5/100)),IF('USER INPUTS'!$B$24="Methane",1,IF('USER INPUTS'!$B$24="Carbon dioxide",((1/($D$5/100))-1),(VLOOKUP('USER INPUTS'!$B$24,DEFAULTS!$E$8:$F$69,2,FALSE))/10^6*(1/($D$5/100))))))),0,METHANE!$J136*(IF('USER INPUTS'!$B$24="Total landfill gas",(1/($D$5/100)),IF('USER INPUTS'!$B$24="Methane",1,IF('USER INPUTS'!$B$24="Carbon dioxide",((1/($D$5/100))-1),(VLOOKUP('USER INPUTS'!$B$24,DEFAULTS!$E$8:$F$69,2,FALSE))/10^6*(1/($D$5/100)))))))</f>
        <v>0</v>
      </c>
      <c r="H122" s="62">
        <f>IF(H$8="(short tons/year)",(F122*DEFAULTS!$B$55*DEFAULTS!$B$53/DEFAULTS!$B$54),IF(H$8="(ft^3/year)",(G122*DEFAULTS!$B$57),IF(H$8="(av ft^3/min)",(G122*DEFAULTS!$B$57/DEFAULTS!$B$58),0)))</f>
        <v>0</v>
      </c>
      <c r="I122" s="62">
        <f>IF(ISERROR(METHANE!$J136*DEFAULTS!$B$82*(IF('USER INPUTS'!$B$26="Total landfill gas",(1/($D$5/100)),IF('USER INPUTS'!$B$26="Methane",1,IF('USER INPUTS'!$B$26="Carbon dioxide",((1/($D$5/100))-1),(VLOOKUP('USER INPUTS'!$B$26,DEFAULTS!$E$8:$F$69,2,FALSE))/10^6*(1/($D$5/100))))))),0,METHANE!$J136*DEFAULTS!$B$82*(IF('USER INPUTS'!$B$26="Total landfill gas",(1/($D$5/100)),IF('USER INPUTS'!$B$26="Methane",1,IF('USER INPUTS'!$B$26="Carbon dioxide",((1/($D$5/100))-1),(VLOOKUP('USER INPUTS'!$B$26,DEFAULTS!$E$8:$F$69,2,FALSE))/10^6*(1/($D$5/100)))))))</f>
        <v>0</v>
      </c>
      <c r="J122" s="62">
        <f>IF(ISERROR(METHANE!$J136*(IF('USER INPUTS'!$B$26="Total landfill gas",(1/($D$5/100)),IF('USER INPUTS'!$B$26="Methane",1,IF('USER INPUTS'!$B$26="Carbon dioxide",((1/($D$5/100))-1),(VLOOKUP('USER INPUTS'!$B$26,DEFAULTS!$E$8:$F$69,2,FALSE))/10^6*(1/($D$5/100))))))),0,METHANE!$J136*(IF('USER INPUTS'!$B$26="Total landfill gas",(1/($D$5/100)),IF('USER INPUTS'!$B$26="Methane",1,IF('USER INPUTS'!$B$26="Carbon dioxide",((1/($D$5/100))-1),(VLOOKUP('USER INPUTS'!$B$26,DEFAULTS!$E$8:$F$69,2,FALSE))/10^6*(1/($D$5/100)))))))</f>
        <v>0</v>
      </c>
      <c r="K122" s="62">
        <f>IF(K$8="(short tons/year)",(I122*DEFAULTS!$B$55*DEFAULTS!$B$53/DEFAULTS!$B$54),IF(K$8="(ft^3/year)",(J122*DEFAULTS!$B$57),IF(K$8="(av ft^3/min)",(J122*DEFAULTS!$B$57/DEFAULTS!$B$58),0)))</f>
        <v>0</v>
      </c>
      <c r="L122" s="62">
        <f>IF(ISERROR(METHANE!$J136*DEFAULTS!$B$83*(IF('USER INPUTS'!$B$28="Total landfill gas",(1/($D$5/100)),IF('USER INPUTS'!$B$28="Methane",1,IF('USER INPUTS'!$B$28="Carbon dioxide",((1/($D$5/100))-1),(VLOOKUP('USER INPUTS'!$B$28,DEFAULTS!$E$8:$F$69,2,FALSE))/10^6*(1/($D$5/100))))))),0,METHANE!$J136*DEFAULTS!$B$83*(IF('USER INPUTS'!$B$28="Total landfill gas",(1/($D$5/100)),IF('USER INPUTS'!$B$28="Methane",1,IF('USER INPUTS'!$B$28="Carbon dioxide",((1/($D$5/100))-1),(VLOOKUP('USER INPUTS'!$B$28,DEFAULTS!$E$8:$F$69,2,FALSE))/10^6*(1/($D$5/100)))))))</f>
        <v>1556.8695722086682</v>
      </c>
      <c r="M122" s="62">
        <f>IF(ISERROR(METHANE!$J136*(IF('USER INPUTS'!$B$28="Total landfill gas",(1/($D$5/100)),IF('USER INPUTS'!$B$28="Methane",1,IF('USER INPUTS'!$B$28="Carbon dioxide",((1/($D$5/100))-1),(VLOOKUP('USER INPUTS'!$B$28,DEFAULTS!$E$8:$F$69,2,FALSE))/10^6*(1/($D$5/100))))))),0,METHANE!$J136*(IF('USER INPUTS'!$B$28="Total landfill gas",(1/($D$5/100)),IF('USER INPUTS'!$B$28="Methane",1,IF('USER INPUTS'!$B$28="Carbon dioxide",((1/($D$5/100))-1),(VLOOKUP('USER INPUTS'!$B$28,DEFAULTS!$E$8:$F$69,2,FALSE))/10^6*(1/($D$5/100)))))))</f>
        <v>850516.58049663191</v>
      </c>
      <c r="N122" s="62">
        <f>IF(N$8="(short tons/year)",(L122*DEFAULTS!$B$55*DEFAULTS!$B$53/DEFAULTS!$B$54),IF(N$8="(ft^3/year)",(M122*DEFAULTS!$B$57),IF(N$8="(av ft^3/min)",(M122*DEFAULTS!$B$57/DEFAULTS!$B$58),0)))</f>
        <v>57.146105479905927</v>
      </c>
      <c r="O122" s="62">
        <f>IF(ISERROR(METHANE!$J136*DEFAULTS!$B$84*(IF('USER INPUTS'!$B$30="Total landfill gas",(1/($D$5/100)),IF('USER INPUTS'!$B$30="Methane",1,IF('USER INPUTS'!$B$30="Carbon dioxide",((1/($D$5/100))-1),(VLOOKUP('USER INPUTS'!$B$30,DEFAULTS!$E$8:$F$69,2,FALSE))/10^6*(1/($D$5/100))))))),0,METHANE!$J136*DEFAULTS!$B$84*(IF('USER INPUTS'!$B$30="Total landfill gas",(1/($D$5/100)),IF('USER INPUTS'!$B$30="Methane",1,IF('USER INPUTS'!$B$30="Carbon dioxide",((1/($D$5/100))-1),(VLOOKUP('USER INPUTS'!$B$30,DEFAULTS!$E$8:$F$69,2,FALSE))/10^6*(1/($D$5/100)))))))</f>
        <v>0</v>
      </c>
      <c r="P122" s="62">
        <f>IF(ISERROR(METHANE!$J136*(IF('USER INPUTS'!$B$30="Total landfill gas",(1/($D$5/100)),IF('USER INPUTS'!$B$30="Methane",1,IF('USER INPUTS'!$B$30="Carbon dioxide",((1/($D$5/100))-1),(VLOOKUP('USER INPUTS'!$B$30,DEFAULTS!$E$8:$F$69,2,FALSE))/10^6*(1/($D$5/100))))))),0,METHANE!$J136*(IF('USER INPUTS'!$B$30="Total landfill gas",(1/($D$5/100)),IF('USER INPUTS'!$B$30="Methane",1,IF('USER INPUTS'!$B$30="Carbon dioxide",((1/($D$5/100))-1),(VLOOKUP('USER INPUTS'!$B$30,DEFAULTS!$E$8:$F$69,2,FALSE))/10^6*(1/($D$5/100)))))))</f>
        <v>0</v>
      </c>
      <c r="Q122" s="162">
        <f>IF(Q$8="(short tons/year)",(O122*DEFAULTS!$B$55*DEFAULTS!$B$53/DEFAULTS!$B$54),IF(Q$8="(ft^3/year)",(P122*DEFAULTS!$B$57),IF(Q$8="(av ft^3/min)",(P122*DEFAULTS!$B$57/DEFAULTS!$B$58),0)))</f>
        <v>0</v>
      </c>
    </row>
    <row r="123" spans="1:17">
      <c r="A123" s="68">
        <f>METHANE!I137</f>
        <v>2132</v>
      </c>
      <c r="B123" s="361">
        <v>0</v>
      </c>
      <c r="C123" s="361">
        <v>0</v>
      </c>
      <c r="D123" s="364">
        <f t="shared" si="2"/>
        <v>12946986</v>
      </c>
      <c r="E123" s="364">
        <f t="shared" si="3"/>
        <v>14241684.6</v>
      </c>
      <c r="F123" s="62">
        <f>IF(ISERROR(METHANE!$J137*DEFAULTS!$B$81*(IF('USER INPUTS'!$B$24="Total landfill gas",(1/($D$5/100)),IF('USER INPUTS'!$B$24="Methane",1,IF('USER INPUTS'!$B$24="Carbon dioxide",((1/($D$5/100))-1),(VLOOKUP('USER INPUTS'!$B$24,DEFAULTS!$E$8:$F$69,2,FALSE))/10^6*(1/($D$5/100))))))),0,METHANE!$J137*DEFAULTS!$B$81*(IF('USER INPUTS'!$B$24="Total landfill gas",(1/($D$5/100)),IF('USER INPUTS'!$B$24="Methane",1,IF('USER INPUTS'!$B$24="Carbon dioxide",((1/($D$5/100))-1),(VLOOKUP('USER INPUTS'!$B$24,DEFAULTS!$E$8:$F$69,2,FALSE))/10^6*(1/($D$5/100)))))))</f>
        <v>0</v>
      </c>
      <c r="G123" s="62">
        <f>IF(ISERROR(METHANE!$J137*(IF('USER INPUTS'!$B$24="Total landfill gas",(1/($D$5/100)),IF('USER INPUTS'!$B$24="Methane",1,IF('USER INPUTS'!$B$24="Carbon dioxide",((1/($D$5/100))-1),(VLOOKUP('USER INPUTS'!$B$24,DEFAULTS!$E$8:$F$69,2,FALSE))/10^6*(1/($D$5/100))))))),0,METHANE!$J137*(IF('USER INPUTS'!$B$24="Total landfill gas",(1/($D$5/100)),IF('USER INPUTS'!$B$24="Methane",1,IF('USER INPUTS'!$B$24="Carbon dioxide",((1/($D$5/100))-1),(VLOOKUP('USER INPUTS'!$B$24,DEFAULTS!$E$8:$F$69,2,FALSE))/10^6*(1/($D$5/100)))))))</f>
        <v>0</v>
      </c>
      <c r="H123" s="62">
        <f>IF(H$8="(short tons/year)",(F123*DEFAULTS!$B$55*DEFAULTS!$B$53/DEFAULTS!$B$54),IF(H$8="(ft^3/year)",(G123*DEFAULTS!$B$57),IF(H$8="(av ft^3/min)",(G123*DEFAULTS!$B$57/DEFAULTS!$B$58),0)))</f>
        <v>0</v>
      </c>
      <c r="I123" s="62">
        <f>IF(ISERROR(METHANE!$J137*DEFAULTS!$B$82*(IF('USER INPUTS'!$B$26="Total landfill gas",(1/($D$5/100)),IF('USER INPUTS'!$B$26="Methane",1,IF('USER INPUTS'!$B$26="Carbon dioxide",((1/($D$5/100))-1),(VLOOKUP('USER INPUTS'!$B$26,DEFAULTS!$E$8:$F$69,2,FALSE))/10^6*(1/($D$5/100))))))),0,METHANE!$J137*DEFAULTS!$B$82*(IF('USER INPUTS'!$B$26="Total landfill gas",(1/($D$5/100)),IF('USER INPUTS'!$B$26="Methane",1,IF('USER INPUTS'!$B$26="Carbon dioxide",((1/($D$5/100))-1),(VLOOKUP('USER INPUTS'!$B$26,DEFAULTS!$E$8:$F$69,2,FALSE))/10^6*(1/($D$5/100)))))))</f>
        <v>0</v>
      </c>
      <c r="J123" s="62">
        <f>IF(ISERROR(METHANE!$J137*(IF('USER INPUTS'!$B$26="Total landfill gas",(1/($D$5/100)),IF('USER INPUTS'!$B$26="Methane",1,IF('USER INPUTS'!$B$26="Carbon dioxide",((1/($D$5/100))-1),(VLOOKUP('USER INPUTS'!$B$26,DEFAULTS!$E$8:$F$69,2,FALSE))/10^6*(1/($D$5/100))))))),0,METHANE!$J137*(IF('USER INPUTS'!$B$26="Total landfill gas",(1/($D$5/100)),IF('USER INPUTS'!$B$26="Methane",1,IF('USER INPUTS'!$B$26="Carbon dioxide",((1/($D$5/100))-1),(VLOOKUP('USER INPUTS'!$B$26,DEFAULTS!$E$8:$F$69,2,FALSE))/10^6*(1/($D$5/100)))))))</f>
        <v>0</v>
      </c>
      <c r="K123" s="62">
        <f>IF(K$8="(short tons/year)",(I123*DEFAULTS!$B$55*DEFAULTS!$B$53/DEFAULTS!$B$54),IF(K$8="(ft^3/year)",(J123*DEFAULTS!$B$57),IF(K$8="(av ft^3/min)",(J123*DEFAULTS!$B$57/DEFAULTS!$B$58),0)))</f>
        <v>0</v>
      </c>
      <c r="L123" s="62">
        <f>IF(ISERROR(METHANE!$J137*DEFAULTS!$B$83*(IF('USER INPUTS'!$B$28="Total landfill gas",(1/($D$5/100)),IF('USER INPUTS'!$B$28="Methane",1,IF('USER INPUTS'!$B$28="Carbon dioxide",((1/($D$5/100))-1),(VLOOKUP('USER INPUTS'!$B$28,DEFAULTS!$E$8:$F$69,2,FALSE))/10^6*(1/($D$5/100))))))),0,METHANE!$J137*DEFAULTS!$B$83*(IF('USER INPUTS'!$B$28="Total landfill gas",(1/($D$5/100)),IF('USER INPUTS'!$B$28="Methane",1,IF('USER INPUTS'!$B$28="Carbon dioxide",((1/($D$5/100))-1),(VLOOKUP('USER INPUTS'!$B$28,DEFAULTS!$E$8:$F$69,2,FALSE))/10^6*(1/($D$5/100)))))))</f>
        <v>1495.823843115684</v>
      </c>
      <c r="M123" s="62">
        <f>IF(ISERROR(METHANE!$J137*(IF('USER INPUTS'!$B$28="Total landfill gas",(1/($D$5/100)),IF('USER INPUTS'!$B$28="Methane",1,IF('USER INPUTS'!$B$28="Carbon dioxide",((1/($D$5/100))-1),(VLOOKUP('USER INPUTS'!$B$28,DEFAULTS!$E$8:$F$69,2,FALSE))/10^6*(1/($D$5/100))))))),0,METHANE!$J137*(IF('USER INPUTS'!$B$28="Total landfill gas",(1/($D$5/100)),IF('USER INPUTS'!$B$28="Methane",1,IF('USER INPUTS'!$B$28="Carbon dioxide",((1/($D$5/100))-1),(VLOOKUP('USER INPUTS'!$B$28,DEFAULTS!$E$8:$F$69,2,FALSE))/10^6*(1/($D$5/100)))))))</f>
        <v>817167.34836511093</v>
      </c>
      <c r="N123" s="62">
        <f>IF(N$8="(short tons/year)",(L123*DEFAULTS!$B$55*DEFAULTS!$B$53/DEFAULTS!$B$54),IF(N$8="(ft^3/year)",(M123*DEFAULTS!$B$57),IF(N$8="(av ft^3/min)",(M123*DEFAULTS!$B$57/DEFAULTS!$B$58),0)))</f>
        <v>54.905374633778329</v>
      </c>
      <c r="O123" s="62">
        <f>IF(ISERROR(METHANE!$J137*DEFAULTS!$B$84*(IF('USER INPUTS'!$B$30="Total landfill gas",(1/($D$5/100)),IF('USER INPUTS'!$B$30="Methane",1,IF('USER INPUTS'!$B$30="Carbon dioxide",((1/($D$5/100))-1),(VLOOKUP('USER INPUTS'!$B$30,DEFAULTS!$E$8:$F$69,2,FALSE))/10^6*(1/($D$5/100))))))),0,METHANE!$J137*DEFAULTS!$B$84*(IF('USER INPUTS'!$B$30="Total landfill gas",(1/($D$5/100)),IF('USER INPUTS'!$B$30="Methane",1,IF('USER INPUTS'!$B$30="Carbon dioxide",((1/($D$5/100))-1),(VLOOKUP('USER INPUTS'!$B$30,DEFAULTS!$E$8:$F$69,2,FALSE))/10^6*(1/($D$5/100)))))))</f>
        <v>0</v>
      </c>
      <c r="P123" s="62">
        <f>IF(ISERROR(METHANE!$J137*(IF('USER INPUTS'!$B$30="Total landfill gas",(1/($D$5/100)),IF('USER INPUTS'!$B$30="Methane",1,IF('USER INPUTS'!$B$30="Carbon dioxide",((1/($D$5/100))-1),(VLOOKUP('USER INPUTS'!$B$30,DEFAULTS!$E$8:$F$69,2,FALSE))/10^6*(1/($D$5/100))))))),0,METHANE!$J137*(IF('USER INPUTS'!$B$30="Total landfill gas",(1/($D$5/100)),IF('USER INPUTS'!$B$30="Methane",1,IF('USER INPUTS'!$B$30="Carbon dioxide",((1/($D$5/100))-1),(VLOOKUP('USER INPUTS'!$B$30,DEFAULTS!$E$8:$F$69,2,FALSE))/10^6*(1/($D$5/100)))))))</f>
        <v>0</v>
      </c>
      <c r="Q123" s="162">
        <f>IF(Q$8="(short tons/year)",(O123*DEFAULTS!$B$55*DEFAULTS!$B$53/DEFAULTS!$B$54),IF(Q$8="(ft^3/year)",(P123*DEFAULTS!$B$57),IF(Q$8="(av ft^3/min)",(P123*DEFAULTS!$B$57/DEFAULTS!$B$58),0)))</f>
        <v>0</v>
      </c>
    </row>
    <row r="124" spans="1:17">
      <c r="A124" s="68">
        <f>METHANE!I138</f>
        <v>2133</v>
      </c>
      <c r="B124" s="361">
        <v>0</v>
      </c>
      <c r="C124" s="361">
        <v>0</v>
      </c>
      <c r="D124" s="364">
        <f t="shared" si="2"/>
        <v>12946986</v>
      </c>
      <c r="E124" s="364">
        <f t="shared" si="3"/>
        <v>14241684.6</v>
      </c>
      <c r="F124" s="62">
        <f>IF(ISERROR(METHANE!$J138*DEFAULTS!$B$81*(IF('USER INPUTS'!$B$24="Total landfill gas",(1/($D$5/100)),IF('USER INPUTS'!$B$24="Methane",1,IF('USER INPUTS'!$B$24="Carbon dioxide",((1/($D$5/100))-1),(VLOOKUP('USER INPUTS'!$B$24,DEFAULTS!$E$8:$F$69,2,FALSE))/10^6*(1/($D$5/100))))))),0,METHANE!$J138*DEFAULTS!$B$81*(IF('USER INPUTS'!$B$24="Total landfill gas",(1/($D$5/100)),IF('USER INPUTS'!$B$24="Methane",1,IF('USER INPUTS'!$B$24="Carbon dioxide",((1/($D$5/100))-1),(VLOOKUP('USER INPUTS'!$B$24,DEFAULTS!$E$8:$F$69,2,FALSE))/10^6*(1/($D$5/100)))))))</f>
        <v>0</v>
      </c>
      <c r="G124" s="62">
        <f>IF(ISERROR(METHANE!$J138*(IF('USER INPUTS'!$B$24="Total landfill gas",(1/($D$5/100)),IF('USER INPUTS'!$B$24="Methane",1,IF('USER INPUTS'!$B$24="Carbon dioxide",((1/($D$5/100))-1),(VLOOKUP('USER INPUTS'!$B$24,DEFAULTS!$E$8:$F$69,2,FALSE))/10^6*(1/($D$5/100))))))),0,METHANE!$J138*(IF('USER INPUTS'!$B$24="Total landfill gas",(1/($D$5/100)),IF('USER INPUTS'!$B$24="Methane",1,IF('USER INPUTS'!$B$24="Carbon dioxide",((1/($D$5/100))-1),(VLOOKUP('USER INPUTS'!$B$24,DEFAULTS!$E$8:$F$69,2,FALSE))/10^6*(1/($D$5/100)))))))</f>
        <v>0</v>
      </c>
      <c r="H124" s="62">
        <f>IF(H$8="(short tons/year)",(F124*DEFAULTS!$B$55*DEFAULTS!$B$53/DEFAULTS!$B$54),IF(H$8="(ft^3/year)",(G124*DEFAULTS!$B$57),IF(H$8="(av ft^3/min)",(G124*DEFAULTS!$B$57/DEFAULTS!$B$58),0)))</f>
        <v>0</v>
      </c>
      <c r="I124" s="62">
        <f>IF(ISERROR(METHANE!$J138*DEFAULTS!$B$82*(IF('USER INPUTS'!$B$26="Total landfill gas",(1/($D$5/100)),IF('USER INPUTS'!$B$26="Methane",1,IF('USER INPUTS'!$B$26="Carbon dioxide",((1/($D$5/100))-1),(VLOOKUP('USER INPUTS'!$B$26,DEFAULTS!$E$8:$F$69,2,FALSE))/10^6*(1/($D$5/100))))))),0,METHANE!$J138*DEFAULTS!$B$82*(IF('USER INPUTS'!$B$26="Total landfill gas",(1/($D$5/100)),IF('USER INPUTS'!$B$26="Methane",1,IF('USER INPUTS'!$B$26="Carbon dioxide",((1/($D$5/100))-1),(VLOOKUP('USER INPUTS'!$B$26,DEFAULTS!$E$8:$F$69,2,FALSE))/10^6*(1/($D$5/100)))))))</f>
        <v>0</v>
      </c>
      <c r="J124" s="62">
        <f>IF(ISERROR(METHANE!$J138*(IF('USER INPUTS'!$B$26="Total landfill gas",(1/($D$5/100)),IF('USER INPUTS'!$B$26="Methane",1,IF('USER INPUTS'!$B$26="Carbon dioxide",((1/($D$5/100))-1),(VLOOKUP('USER INPUTS'!$B$26,DEFAULTS!$E$8:$F$69,2,FALSE))/10^6*(1/($D$5/100))))))),0,METHANE!$J138*(IF('USER INPUTS'!$B$26="Total landfill gas",(1/($D$5/100)),IF('USER INPUTS'!$B$26="Methane",1,IF('USER INPUTS'!$B$26="Carbon dioxide",((1/($D$5/100))-1),(VLOOKUP('USER INPUTS'!$B$26,DEFAULTS!$E$8:$F$69,2,FALSE))/10^6*(1/($D$5/100)))))))</f>
        <v>0</v>
      </c>
      <c r="K124" s="62">
        <f>IF(K$8="(short tons/year)",(I124*DEFAULTS!$B$55*DEFAULTS!$B$53/DEFAULTS!$B$54),IF(K$8="(ft^3/year)",(J124*DEFAULTS!$B$57),IF(K$8="(av ft^3/min)",(J124*DEFAULTS!$B$57/DEFAULTS!$B$58),0)))</f>
        <v>0</v>
      </c>
      <c r="L124" s="62">
        <f>IF(ISERROR(METHANE!$J138*DEFAULTS!$B$83*(IF('USER INPUTS'!$B$28="Total landfill gas",(1/($D$5/100)),IF('USER INPUTS'!$B$28="Methane",1,IF('USER INPUTS'!$B$28="Carbon dioxide",((1/($D$5/100))-1),(VLOOKUP('USER INPUTS'!$B$28,DEFAULTS!$E$8:$F$69,2,FALSE))/10^6*(1/($D$5/100))))))),0,METHANE!$J138*DEFAULTS!$B$83*(IF('USER INPUTS'!$B$28="Total landfill gas",(1/($D$5/100)),IF('USER INPUTS'!$B$28="Methane",1,IF('USER INPUTS'!$B$28="Carbon dioxide",((1/($D$5/100))-1),(VLOOKUP('USER INPUTS'!$B$28,DEFAULTS!$E$8:$F$69,2,FALSE))/10^6*(1/($D$5/100)))))))</f>
        <v>1437.1717512977909</v>
      </c>
      <c r="M124" s="62">
        <f>IF(ISERROR(METHANE!$J138*(IF('USER INPUTS'!$B$28="Total landfill gas",(1/($D$5/100)),IF('USER INPUTS'!$B$28="Methane",1,IF('USER INPUTS'!$B$28="Carbon dioxide",((1/($D$5/100))-1),(VLOOKUP('USER INPUTS'!$B$28,DEFAULTS!$E$8:$F$69,2,FALSE))/10^6*(1/($D$5/100))))))),0,METHANE!$J138*(IF('USER INPUTS'!$B$28="Total landfill gas",(1/($D$5/100)),IF('USER INPUTS'!$B$28="Methane",1,IF('USER INPUTS'!$B$28="Carbon dioxide",((1/($D$5/100))-1),(VLOOKUP('USER INPUTS'!$B$28,DEFAULTS!$E$8:$F$69,2,FALSE))/10^6*(1/($D$5/100)))))))</f>
        <v>785125.75832930615</v>
      </c>
      <c r="N124" s="62">
        <f>IF(N$8="(short tons/year)",(L124*DEFAULTS!$B$55*DEFAULTS!$B$53/DEFAULTS!$B$54),IF(N$8="(ft^3/year)",(M124*DEFAULTS!$B$57),IF(N$8="(av ft^3/min)",(M124*DEFAULTS!$B$57/DEFAULTS!$B$58),0)))</f>
        <v>52.752504100836084</v>
      </c>
      <c r="O124" s="62">
        <f>IF(ISERROR(METHANE!$J138*DEFAULTS!$B$84*(IF('USER INPUTS'!$B$30="Total landfill gas",(1/($D$5/100)),IF('USER INPUTS'!$B$30="Methane",1,IF('USER INPUTS'!$B$30="Carbon dioxide",((1/($D$5/100))-1),(VLOOKUP('USER INPUTS'!$B$30,DEFAULTS!$E$8:$F$69,2,FALSE))/10^6*(1/($D$5/100))))))),0,METHANE!$J138*DEFAULTS!$B$84*(IF('USER INPUTS'!$B$30="Total landfill gas",(1/($D$5/100)),IF('USER INPUTS'!$B$30="Methane",1,IF('USER INPUTS'!$B$30="Carbon dioxide",((1/($D$5/100))-1),(VLOOKUP('USER INPUTS'!$B$30,DEFAULTS!$E$8:$F$69,2,FALSE))/10^6*(1/($D$5/100)))))))</f>
        <v>0</v>
      </c>
      <c r="P124" s="62">
        <f>IF(ISERROR(METHANE!$J138*(IF('USER INPUTS'!$B$30="Total landfill gas",(1/($D$5/100)),IF('USER INPUTS'!$B$30="Methane",1,IF('USER INPUTS'!$B$30="Carbon dioxide",((1/($D$5/100))-1),(VLOOKUP('USER INPUTS'!$B$30,DEFAULTS!$E$8:$F$69,2,FALSE))/10^6*(1/($D$5/100))))))),0,METHANE!$J138*(IF('USER INPUTS'!$B$30="Total landfill gas",(1/($D$5/100)),IF('USER INPUTS'!$B$30="Methane",1,IF('USER INPUTS'!$B$30="Carbon dioxide",((1/($D$5/100))-1),(VLOOKUP('USER INPUTS'!$B$30,DEFAULTS!$E$8:$F$69,2,FALSE))/10^6*(1/($D$5/100)))))))</f>
        <v>0</v>
      </c>
      <c r="Q124" s="162">
        <f>IF(Q$8="(short tons/year)",(O124*DEFAULTS!$B$55*DEFAULTS!$B$53/DEFAULTS!$B$54),IF(Q$8="(ft^3/year)",(P124*DEFAULTS!$B$57),IF(Q$8="(av ft^3/min)",(P124*DEFAULTS!$B$57/DEFAULTS!$B$58),0)))</f>
        <v>0</v>
      </c>
    </row>
    <row r="125" spans="1:17">
      <c r="A125" s="68">
        <f>METHANE!I139</f>
        <v>2134</v>
      </c>
      <c r="B125" s="361">
        <v>0</v>
      </c>
      <c r="C125" s="361">
        <v>0</v>
      </c>
      <c r="D125" s="364">
        <f t="shared" si="2"/>
        <v>12946986</v>
      </c>
      <c r="E125" s="364">
        <f t="shared" si="3"/>
        <v>14241684.6</v>
      </c>
      <c r="F125" s="62">
        <f>IF(ISERROR(METHANE!$J139*DEFAULTS!$B$81*(IF('USER INPUTS'!$B$24="Total landfill gas",(1/($D$5/100)),IF('USER INPUTS'!$B$24="Methane",1,IF('USER INPUTS'!$B$24="Carbon dioxide",((1/($D$5/100))-1),(VLOOKUP('USER INPUTS'!$B$24,DEFAULTS!$E$8:$F$69,2,FALSE))/10^6*(1/($D$5/100))))))),0,METHANE!$J139*DEFAULTS!$B$81*(IF('USER INPUTS'!$B$24="Total landfill gas",(1/($D$5/100)),IF('USER INPUTS'!$B$24="Methane",1,IF('USER INPUTS'!$B$24="Carbon dioxide",((1/($D$5/100))-1),(VLOOKUP('USER INPUTS'!$B$24,DEFAULTS!$E$8:$F$69,2,FALSE))/10^6*(1/($D$5/100)))))))</f>
        <v>0</v>
      </c>
      <c r="G125" s="62">
        <f>IF(ISERROR(METHANE!$J139*(IF('USER INPUTS'!$B$24="Total landfill gas",(1/($D$5/100)),IF('USER INPUTS'!$B$24="Methane",1,IF('USER INPUTS'!$B$24="Carbon dioxide",((1/($D$5/100))-1),(VLOOKUP('USER INPUTS'!$B$24,DEFAULTS!$E$8:$F$69,2,FALSE))/10^6*(1/($D$5/100))))))),0,METHANE!$J139*(IF('USER INPUTS'!$B$24="Total landfill gas",(1/($D$5/100)),IF('USER INPUTS'!$B$24="Methane",1,IF('USER INPUTS'!$B$24="Carbon dioxide",((1/($D$5/100))-1),(VLOOKUP('USER INPUTS'!$B$24,DEFAULTS!$E$8:$F$69,2,FALSE))/10^6*(1/($D$5/100)))))))</f>
        <v>0</v>
      </c>
      <c r="H125" s="62">
        <f>IF(H$8="(short tons/year)",(F125*DEFAULTS!$B$55*DEFAULTS!$B$53/DEFAULTS!$B$54),IF(H$8="(ft^3/year)",(G125*DEFAULTS!$B$57),IF(H$8="(av ft^3/min)",(G125*DEFAULTS!$B$57/DEFAULTS!$B$58),0)))</f>
        <v>0</v>
      </c>
      <c r="I125" s="62">
        <f>IF(ISERROR(METHANE!$J139*DEFAULTS!$B$82*(IF('USER INPUTS'!$B$26="Total landfill gas",(1/($D$5/100)),IF('USER INPUTS'!$B$26="Methane",1,IF('USER INPUTS'!$B$26="Carbon dioxide",((1/($D$5/100))-1),(VLOOKUP('USER INPUTS'!$B$26,DEFAULTS!$E$8:$F$69,2,FALSE))/10^6*(1/($D$5/100))))))),0,METHANE!$J139*DEFAULTS!$B$82*(IF('USER INPUTS'!$B$26="Total landfill gas",(1/($D$5/100)),IF('USER INPUTS'!$B$26="Methane",1,IF('USER INPUTS'!$B$26="Carbon dioxide",((1/($D$5/100))-1),(VLOOKUP('USER INPUTS'!$B$26,DEFAULTS!$E$8:$F$69,2,FALSE))/10^6*(1/($D$5/100)))))))</f>
        <v>0</v>
      </c>
      <c r="J125" s="62">
        <f>IF(ISERROR(METHANE!$J139*(IF('USER INPUTS'!$B$26="Total landfill gas",(1/($D$5/100)),IF('USER INPUTS'!$B$26="Methane",1,IF('USER INPUTS'!$B$26="Carbon dioxide",((1/($D$5/100))-1),(VLOOKUP('USER INPUTS'!$B$26,DEFAULTS!$E$8:$F$69,2,FALSE))/10^6*(1/($D$5/100))))))),0,METHANE!$J139*(IF('USER INPUTS'!$B$26="Total landfill gas",(1/($D$5/100)),IF('USER INPUTS'!$B$26="Methane",1,IF('USER INPUTS'!$B$26="Carbon dioxide",((1/($D$5/100))-1),(VLOOKUP('USER INPUTS'!$B$26,DEFAULTS!$E$8:$F$69,2,FALSE))/10^6*(1/($D$5/100)))))))</f>
        <v>0</v>
      </c>
      <c r="K125" s="62">
        <f>IF(K$8="(short tons/year)",(I125*DEFAULTS!$B$55*DEFAULTS!$B$53/DEFAULTS!$B$54),IF(K$8="(ft^3/year)",(J125*DEFAULTS!$B$57),IF(K$8="(av ft^3/min)",(J125*DEFAULTS!$B$57/DEFAULTS!$B$58),0)))</f>
        <v>0</v>
      </c>
      <c r="L125" s="62">
        <f>IF(ISERROR(METHANE!$J139*DEFAULTS!$B$83*(IF('USER INPUTS'!$B$28="Total landfill gas",(1/($D$5/100)),IF('USER INPUTS'!$B$28="Methane",1,IF('USER INPUTS'!$B$28="Carbon dioxide",((1/($D$5/100))-1),(VLOOKUP('USER INPUTS'!$B$28,DEFAULTS!$E$8:$F$69,2,FALSE))/10^6*(1/($D$5/100))))))),0,METHANE!$J139*DEFAULTS!$B$83*(IF('USER INPUTS'!$B$28="Total landfill gas",(1/($D$5/100)),IF('USER INPUTS'!$B$28="Methane",1,IF('USER INPUTS'!$B$28="Carbon dioxide",((1/($D$5/100))-1),(VLOOKUP('USER INPUTS'!$B$28,DEFAULTS!$E$8:$F$69,2,FALSE))/10^6*(1/($D$5/100)))))))</f>
        <v>1380.8194408949664</v>
      </c>
      <c r="M125" s="62">
        <f>IF(ISERROR(METHANE!$J139*(IF('USER INPUTS'!$B$28="Total landfill gas",(1/($D$5/100)),IF('USER INPUTS'!$B$28="Methane",1,IF('USER INPUTS'!$B$28="Carbon dioxide",((1/($D$5/100))-1),(VLOOKUP('USER INPUTS'!$B$28,DEFAULTS!$E$8:$F$69,2,FALSE))/10^6*(1/($D$5/100))))))),0,METHANE!$J139*(IF('USER INPUTS'!$B$28="Total landfill gas",(1/($D$5/100)),IF('USER INPUTS'!$B$28="Methane",1,IF('USER INPUTS'!$B$28="Carbon dioxide",((1/($D$5/100))-1),(VLOOKUP('USER INPUTS'!$B$28,DEFAULTS!$E$8:$F$69,2,FALSE))/10^6*(1/($D$5/100)))))))</f>
        <v>754340.53700925631</v>
      </c>
      <c r="N125" s="62">
        <f>IF(N$8="(short tons/year)",(L125*DEFAULTS!$B$55*DEFAULTS!$B$53/DEFAULTS!$B$54),IF(N$8="(ft^3/year)",(M125*DEFAULTS!$B$57),IF(N$8="(av ft^3/min)",(M125*DEFAULTS!$B$57/DEFAULTS!$B$58),0)))</f>
        <v>50.684048828922919</v>
      </c>
      <c r="O125" s="62">
        <f>IF(ISERROR(METHANE!$J139*DEFAULTS!$B$84*(IF('USER INPUTS'!$B$30="Total landfill gas",(1/($D$5/100)),IF('USER INPUTS'!$B$30="Methane",1,IF('USER INPUTS'!$B$30="Carbon dioxide",((1/($D$5/100))-1),(VLOOKUP('USER INPUTS'!$B$30,DEFAULTS!$E$8:$F$69,2,FALSE))/10^6*(1/($D$5/100))))))),0,METHANE!$J139*DEFAULTS!$B$84*(IF('USER INPUTS'!$B$30="Total landfill gas",(1/($D$5/100)),IF('USER INPUTS'!$B$30="Methane",1,IF('USER INPUTS'!$B$30="Carbon dioxide",((1/($D$5/100))-1),(VLOOKUP('USER INPUTS'!$B$30,DEFAULTS!$E$8:$F$69,2,FALSE))/10^6*(1/($D$5/100)))))))</f>
        <v>0</v>
      </c>
      <c r="P125" s="62">
        <f>IF(ISERROR(METHANE!$J139*(IF('USER INPUTS'!$B$30="Total landfill gas",(1/($D$5/100)),IF('USER INPUTS'!$B$30="Methane",1,IF('USER INPUTS'!$B$30="Carbon dioxide",((1/($D$5/100))-1),(VLOOKUP('USER INPUTS'!$B$30,DEFAULTS!$E$8:$F$69,2,FALSE))/10^6*(1/($D$5/100))))))),0,METHANE!$J139*(IF('USER INPUTS'!$B$30="Total landfill gas",(1/($D$5/100)),IF('USER INPUTS'!$B$30="Methane",1,IF('USER INPUTS'!$B$30="Carbon dioxide",((1/($D$5/100))-1),(VLOOKUP('USER INPUTS'!$B$30,DEFAULTS!$E$8:$F$69,2,FALSE))/10^6*(1/($D$5/100)))))))</f>
        <v>0</v>
      </c>
      <c r="Q125" s="162">
        <f>IF(Q$8="(short tons/year)",(O125*DEFAULTS!$B$55*DEFAULTS!$B$53/DEFAULTS!$B$54),IF(Q$8="(ft^3/year)",(P125*DEFAULTS!$B$57),IF(Q$8="(av ft^3/min)",(P125*DEFAULTS!$B$57/DEFAULTS!$B$58),0)))</f>
        <v>0</v>
      </c>
    </row>
    <row r="126" spans="1:17">
      <c r="A126" s="68">
        <f>METHANE!I140</f>
        <v>2135</v>
      </c>
      <c r="B126" s="361">
        <v>0</v>
      </c>
      <c r="C126" s="361">
        <v>0</v>
      </c>
      <c r="D126" s="364">
        <f t="shared" si="2"/>
        <v>12946986</v>
      </c>
      <c r="E126" s="364">
        <f t="shared" si="3"/>
        <v>14241684.6</v>
      </c>
      <c r="F126" s="62">
        <f>IF(ISERROR(METHANE!$J140*DEFAULTS!$B$81*(IF('USER INPUTS'!$B$24="Total landfill gas",(1/($D$5/100)),IF('USER INPUTS'!$B$24="Methane",1,IF('USER INPUTS'!$B$24="Carbon dioxide",((1/($D$5/100))-1),(VLOOKUP('USER INPUTS'!$B$24,DEFAULTS!$E$8:$F$69,2,FALSE))/10^6*(1/($D$5/100))))))),0,METHANE!$J140*DEFAULTS!$B$81*(IF('USER INPUTS'!$B$24="Total landfill gas",(1/($D$5/100)),IF('USER INPUTS'!$B$24="Methane",1,IF('USER INPUTS'!$B$24="Carbon dioxide",((1/($D$5/100))-1),(VLOOKUP('USER INPUTS'!$B$24,DEFAULTS!$E$8:$F$69,2,FALSE))/10^6*(1/($D$5/100)))))))</f>
        <v>0</v>
      </c>
      <c r="G126" s="62">
        <f>IF(ISERROR(METHANE!$J140*(IF('USER INPUTS'!$B$24="Total landfill gas",(1/($D$5/100)),IF('USER INPUTS'!$B$24="Methane",1,IF('USER INPUTS'!$B$24="Carbon dioxide",((1/($D$5/100))-1),(VLOOKUP('USER INPUTS'!$B$24,DEFAULTS!$E$8:$F$69,2,FALSE))/10^6*(1/($D$5/100))))))),0,METHANE!$J140*(IF('USER INPUTS'!$B$24="Total landfill gas",(1/($D$5/100)),IF('USER INPUTS'!$B$24="Methane",1,IF('USER INPUTS'!$B$24="Carbon dioxide",((1/($D$5/100))-1),(VLOOKUP('USER INPUTS'!$B$24,DEFAULTS!$E$8:$F$69,2,FALSE))/10^6*(1/($D$5/100)))))))</f>
        <v>0</v>
      </c>
      <c r="H126" s="62">
        <f>IF(H$8="(short tons/year)",(F126*DEFAULTS!$B$55*DEFAULTS!$B$53/DEFAULTS!$B$54),IF(H$8="(ft^3/year)",(G126*DEFAULTS!$B$57),IF(H$8="(av ft^3/min)",(G126*DEFAULTS!$B$57/DEFAULTS!$B$58),0)))</f>
        <v>0</v>
      </c>
      <c r="I126" s="62">
        <f>IF(ISERROR(METHANE!$J140*DEFAULTS!$B$82*(IF('USER INPUTS'!$B$26="Total landfill gas",(1/($D$5/100)),IF('USER INPUTS'!$B$26="Methane",1,IF('USER INPUTS'!$B$26="Carbon dioxide",((1/($D$5/100))-1),(VLOOKUP('USER INPUTS'!$B$26,DEFAULTS!$E$8:$F$69,2,FALSE))/10^6*(1/($D$5/100))))))),0,METHANE!$J140*DEFAULTS!$B$82*(IF('USER INPUTS'!$B$26="Total landfill gas",(1/($D$5/100)),IF('USER INPUTS'!$B$26="Methane",1,IF('USER INPUTS'!$B$26="Carbon dioxide",((1/($D$5/100))-1),(VLOOKUP('USER INPUTS'!$B$26,DEFAULTS!$E$8:$F$69,2,FALSE))/10^6*(1/($D$5/100)))))))</f>
        <v>0</v>
      </c>
      <c r="J126" s="62">
        <f>IF(ISERROR(METHANE!$J140*(IF('USER INPUTS'!$B$26="Total landfill gas",(1/($D$5/100)),IF('USER INPUTS'!$B$26="Methane",1,IF('USER INPUTS'!$B$26="Carbon dioxide",((1/($D$5/100))-1),(VLOOKUP('USER INPUTS'!$B$26,DEFAULTS!$E$8:$F$69,2,FALSE))/10^6*(1/($D$5/100))))))),0,METHANE!$J140*(IF('USER INPUTS'!$B$26="Total landfill gas",(1/($D$5/100)),IF('USER INPUTS'!$B$26="Methane",1,IF('USER INPUTS'!$B$26="Carbon dioxide",((1/($D$5/100))-1),(VLOOKUP('USER INPUTS'!$B$26,DEFAULTS!$E$8:$F$69,2,FALSE))/10^6*(1/($D$5/100)))))))</f>
        <v>0</v>
      </c>
      <c r="K126" s="62">
        <f>IF(K$8="(short tons/year)",(I126*DEFAULTS!$B$55*DEFAULTS!$B$53/DEFAULTS!$B$54),IF(K$8="(ft^3/year)",(J126*DEFAULTS!$B$57),IF(K$8="(av ft^3/min)",(J126*DEFAULTS!$B$57/DEFAULTS!$B$58),0)))</f>
        <v>0</v>
      </c>
      <c r="L126" s="62">
        <f>IF(ISERROR(METHANE!$J140*DEFAULTS!$B$83*(IF('USER INPUTS'!$B$28="Total landfill gas",(1/($D$5/100)),IF('USER INPUTS'!$B$28="Methane",1,IF('USER INPUTS'!$B$28="Carbon dioxide",((1/($D$5/100))-1),(VLOOKUP('USER INPUTS'!$B$28,DEFAULTS!$E$8:$F$69,2,FALSE))/10^6*(1/($D$5/100))))))),0,METHANE!$J140*DEFAULTS!$B$83*(IF('USER INPUTS'!$B$28="Total landfill gas",(1/($D$5/100)),IF('USER INPUTS'!$B$28="Methane",1,IF('USER INPUTS'!$B$28="Carbon dioxide",((1/($D$5/100))-1),(VLOOKUP('USER INPUTS'!$B$28,DEFAULTS!$E$8:$F$69,2,FALSE))/10^6*(1/($D$5/100)))))))</f>
        <v>1326.6767361880993</v>
      </c>
      <c r="M126" s="62">
        <f>IF(ISERROR(METHANE!$J140*(IF('USER INPUTS'!$B$28="Total landfill gas",(1/($D$5/100)),IF('USER INPUTS'!$B$28="Methane",1,IF('USER INPUTS'!$B$28="Carbon dioxide",((1/($D$5/100))-1),(VLOOKUP('USER INPUTS'!$B$28,DEFAULTS!$E$8:$F$69,2,FALSE))/10^6*(1/($D$5/100))))))),0,METHANE!$J140*(IF('USER INPUTS'!$B$28="Total landfill gas",(1/($D$5/100)),IF('USER INPUTS'!$B$28="Methane",1,IF('USER INPUTS'!$B$28="Carbon dioxide",((1/($D$5/100))-1),(VLOOKUP('USER INPUTS'!$B$28,DEFAULTS!$E$8:$F$69,2,FALSE))/10^6*(1/($D$5/100)))))))</f>
        <v>724762.42148298572</v>
      </c>
      <c r="N126" s="62">
        <f>IF(N$8="(short tons/year)",(L126*DEFAULTS!$B$55*DEFAULTS!$B$53/DEFAULTS!$B$54),IF(N$8="(ft^3/year)",(M126*DEFAULTS!$B$57),IF(N$8="(av ft^3/min)",(M126*DEFAULTS!$B$57/DEFAULTS!$B$58),0)))</f>
        <v>48.696698848309822</v>
      </c>
      <c r="O126" s="62">
        <f>IF(ISERROR(METHANE!$J140*DEFAULTS!$B$84*(IF('USER INPUTS'!$B$30="Total landfill gas",(1/($D$5/100)),IF('USER INPUTS'!$B$30="Methane",1,IF('USER INPUTS'!$B$30="Carbon dioxide",((1/($D$5/100))-1),(VLOOKUP('USER INPUTS'!$B$30,DEFAULTS!$E$8:$F$69,2,FALSE))/10^6*(1/($D$5/100))))))),0,METHANE!$J140*DEFAULTS!$B$84*(IF('USER INPUTS'!$B$30="Total landfill gas",(1/($D$5/100)),IF('USER INPUTS'!$B$30="Methane",1,IF('USER INPUTS'!$B$30="Carbon dioxide",((1/($D$5/100))-1),(VLOOKUP('USER INPUTS'!$B$30,DEFAULTS!$E$8:$F$69,2,FALSE))/10^6*(1/($D$5/100)))))))</f>
        <v>0</v>
      </c>
      <c r="P126" s="62">
        <f>IF(ISERROR(METHANE!$J140*(IF('USER INPUTS'!$B$30="Total landfill gas",(1/($D$5/100)),IF('USER INPUTS'!$B$30="Methane",1,IF('USER INPUTS'!$B$30="Carbon dioxide",((1/($D$5/100))-1),(VLOOKUP('USER INPUTS'!$B$30,DEFAULTS!$E$8:$F$69,2,FALSE))/10^6*(1/($D$5/100))))))),0,METHANE!$J140*(IF('USER INPUTS'!$B$30="Total landfill gas",(1/($D$5/100)),IF('USER INPUTS'!$B$30="Methane",1,IF('USER INPUTS'!$B$30="Carbon dioxide",((1/($D$5/100))-1),(VLOOKUP('USER INPUTS'!$B$30,DEFAULTS!$E$8:$F$69,2,FALSE))/10^6*(1/($D$5/100)))))))</f>
        <v>0</v>
      </c>
      <c r="Q126" s="162">
        <f>IF(Q$8="(short tons/year)",(O126*DEFAULTS!$B$55*DEFAULTS!$B$53/DEFAULTS!$B$54),IF(Q$8="(ft^3/year)",(P126*DEFAULTS!$B$57),IF(Q$8="(av ft^3/min)",(P126*DEFAULTS!$B$57/DEFAULTS!$B$58),0)))</f>
        <v>0</v>
      </c>
    </row>
    <row r="127" spans="1:17">
      <c r="A127" s="68">
        <f>METHANE!I141</f>
        <v>2136</v>
      </c>
      <c r="B127" s="361">
        <v>0</v>
      </c>
      <c r="C127" s="361">
        <v>0</v>
      </c>
      <c r="D127" s="364">
        <f t="shared" si="2"/>
        <v>12946986</v>
      </c>
      <c r="E127" s="364">
        <f t="shared" si="3"/>
        <v>14241684.6</v>
      </c>
      <c r="F127" s="62">
        <f>IF(ISERROR(METHANE!$J141*DEFAULTS!$B$81*(IF('USER INPUTS'!$B$24="Total landfill gas",(1/($D$5/100)),IF('USER INPUTS'!$B$24="Methane",1,IF('USER INPUTS'!$B$24="Carbon dioxide",((1/($D$5/100))-1),(VLOOKUP('USER INPUTS'!$B$24,DEFAULTS!$E$8:$F$69,2,FALSE))/10^6*(1/($D$5/100))))))),0,METHANE!$J141*DEFAULTS!$B$81*(IF('USER INPUTS'!$B$24="Total landfill gas",(1/($D$5/100)),IF('USER INPUTS'!$B$24="Methane",1,IF('USER INPUTS'!$B$24="Carbon dioxide",((1/($D$5/100))-1),(VLOOKUP('USER INPUTS'!$B$24,DEFAULTS!$E$8:$F$69,2,FALSE))/10^6*(1/($D$5/100)))))))</f>
        <v>0</v>
      </c>
      <c r="G127" s="62">
        <f>IF(ISERROR(METHANE!$J141*(IF('USER INPUTS'!$B$24="Total landfill gas",(1/($D$5/100)),IF('USER INPUTS'!$B$24="Methane",1,IF('USER INPUTS'!$B$24="Carbon dioxide",((1/($D$5/100))-1),(VLOOKUP('USER INPUTS'!$B$24,DEFAULTS!$E$8:$F$69,2,FALSE))/10^6*(1/($D$5/100))))))),0,METHANE!$J141*(IF('USER INPUTS'!$B$24="Total landfill gas",(1/($D$5/100)),IF('USER INPUTS'!$B$24="Methane",1,IF('USER INPUTS'!$B$24="Carbon dioxide",((1/($D$5/100))-1),(VLOOKUP('USER INPUTS'!$B$24,DEFAULTS!$E$8:$F$69,2,FALSE))/10^6*(1/($D$5/100)))))))</f>
        <v>0</v>
      </c>
      <c r="H127" s="62">
        <f>IF(H$8="(short tons/year)",(F127*DEFAULTS!$B$55*DEFAULTS!$B$53/DEFAULTS!$B$54),IF(H$8="(ft^3/year)",(G127*DEFAULTS!$B$57),IF(H$8="(av ft^3/min)",(G127*DEFAULTS!$B$57/DEFAULTS!$B$58),0)))</f>
        <v>0</v>
      </c>
      <c r="I127" s="62">
        <f>IF(ISERROR(METHANE!$J141*DEFAULTS!$B$82*(IF('USER INPUTS'!$B$26="Total landfill gas",(1/($D$5/100)),IF('USER INPUTS'!$B$26="Methane",1,IF('USER INPUTS'!$B$26="Carbon dioxide",((1/($D$5/100))-1),(VLOOKUP('USER INPUTS'!$B$26,DEFAULTS!$E$8:$F$69,2,FALSE))/10^6*(1/($D$5/100))))))),0,METHANE!$J141*DEFAULTS!$B$82*(IF('USER INPUTS'!$B$26="Total landfill gas",(1/($D$5/100)),IF('USER INPUTS'!$B$26="Methane",1,IF('USER INPUTS'!$B$26="Carbon dioxide",((1/($D$5/100))-1),(VLOOKUP('USER INPUTS'!$B$26,DEFAULTS!$E$8:$F$69,2,FALSE))/10^6*(1/($D$5/100)))))))</f>
        <v>0</v>
      </c>
      <c r="J127" s="62">
        <f>IF(ISERROR(METHANE!$J141*(IF('USER INPUTS'!$B$26="Total landfill gas",(1/($D$5/100)),IF('USER INPUTS'!$B$26="Methane",1,IF('USER INPUTS'!$B$26="Carbon dioxide",((1/($D$5/100))-1),(VLOOKUP('USER INPUTS'!$B$26,DEFAULTS!$E$8:$F$69,2,FALSE))/10^6*(1/($D$5/100))))))),0,METHANE!$J141*(IF('USER INPUTS'!$B$26="Total landfill gas",(1/($D$5/100)),IF('USER INPUTS'!$B$26="Methane",1,IF('USER INPUTS'!$B$26="Carbon dioxide",((1/($D$5/100))-1),(VLOOKUP('USER INPUTS'!$B$26,DEFAULTS!$E$8:$F$69,2,FALSE))/10^6*(1/($D$5/100)))))))</f>
        <v>0</v>
      </c>
      <c r="K127" s="62">
        <f>IF(K$8="(short tons/year)",(I127*DEFAULTS!$B$55*DEFAULTS!$B$53/DEFAULTS!$B$54),IF(K$8="(ft^3/year)",(J127*DEFAULTS!$B$57),IF(K$8="(av ft^3/min)",(J127*DEFAULTS!$B$57/DEFAULTS!$B$58),0)))</f>
        <v>0</v>
      </c>
      <c r="L127" s="62">
        <f>IF(ISERROR(METHANE!$J141*DEFAULTS!$B$83*(IF('USER INPUTS'!$B$28="Total landfill gas",(1/($D$5/100)),IF('USER INPUTS'!$B$28="Methane",1,IF('USER INPUTS'!$B$28="Carbon dioxide",((1/($D$5/100))-1),(VLOOKUP('USER INPUTS'!$B$28,DEFAULTS!$E$8:$F$69,2,FALSE))/10^6*(1/($D$5/100))))))),0,METHANE!$J141*DEFAULTS!$B$83*(IF('USER INPUTS'!$B$28="Total landfill gas",(1/($D$5/100)),IF('USER INPUTS'!$B$28="Methane",1,IF('USER INPUTS'!$B$28="Carbon dioxide",((1/($D$5/100))-1),(VLOOKUP('USER INPUTS'!$B$28,DEFAULTS!$E$8:$F$69,2,FALSE))/10^6*(1/($D$5/100)))))))</f>
        <v>1274.6569972985988</v>
      </c>
      <c r="M127" s="62">
        <f>IF(ISERROR(METHANE!$J141*(IF('USER INPUTS'!$B$28="Total landfill gas",(1/($D$5/100)),IF('USER INPUTS'!$B$28="Methane",1,IF('USER INPUTS'!$B$28="Carbon dioxide",((1/($D$5/100))-1),(VLOOKUP('USER INPUTS'!$B$28,DEFAULTS!$E$8:$F$69,2,FALSE))/10^6*(1/($D$5/100))))))),0,METHANE!$J141*(IF('USER INPUTS'!$B$28="Total landfill gas",(1/($D$5/100)),IF('USER INPUTS'!$B$28="Methane",1,IF('USER INPUTS'!$B$28="Carbon dioxide",((1/($D$5/100))-1),(VLOOKUP('USER INPUTS'!$B$28,DEFAULTS!$E$8:$F$69,2,FALSE))/10^6*(1/($D$5/100)))))))</f>
        <v>696344.08045531763</v>
      </c>
      <c r="N127" s="62">
        <f>IF(N$8="(short tons/year)",(L127*DEFAULTS!$B$55*DEFAULTS!$B$53/DEFAULTS!$B$54),IF(N$8="(ft^3/year)",(M127*DEFAULTS!$B$57),IF(N$8="(av ft^3/min)",(M127*DEFAULTS!$B$57/DEFAULTS!$B$58),0)))</f>
        <v>46.787273975037174</v>
      </c>
      <c r="O127" s="62">
        <f>IF(ISERROR(METHANE!$J141*DEFAULTS!$B$84*(IF('USER INPUTS'!$B$30="Total landfill gas",(1/($D$5/100)),IF('USER INPUTS'!$B$30="Methane",1,IF('USER INPUTS'!$B$30="Carbon dioxide",((1/($D$5/100))-1),(VLOOKUP('USER INPUTS'!$B$30,DEFAULTS!$E$8:$F$69,2,FALSE))/10^6*(1/($D$5/100))))))),0,METHANE!$J141*DEFAULTS!$B$84*(IF('USER INPUTS'!$B$30="Total landfill gas",(1/($D$5/100)),IF('USER INPUTS'!$B$30="Methane",1,IF('USER INPUTS'!$B$30="Carbon dioxide",((1/($D$5/100))-1),(VLOOKUP('USER INPUTS'!$B$30,DEFAULTS!$E$8:$F$69,2,FALSE))/10^6*(1/($D$5/100)))))))</f>
        <v>0</v>
      </c>
      <c r="P127" s="62">
        <f>IF(ISERROR(METHANE!$J141*(IF('USER INPUTS'!$B$30="Total landfill gas",(1/($D$5/100)),IF('USER INPUTS'!$B$30="Methane",1,IF('USER INPUTS'!$B$30="Carbon dioxide",((1/($D$5/100))-1),(VLOOKUP('USER INPUTS'!$B$30,DEFAULTS!$E$8:$F$69,2,FALSE))/10^6*(1/($D$5/100))))))),0,METHANE!$J141*(IF('USER INPUTS'!$B$30="Total landfill gas",(1/($D$5/100)),IF('USER INPUTS'!$B$30="Methane",1,IF('USER INPUTS'!$B$30="Carbon dioxide",((1/($D$5/100))-1),(VLOOKUP('USER INPUTS'!$B$30,DEFAULTS!$E$8:$F$69,2,FALSE))/10^6*(1/($D$5/100)))))))</f>
        <v>0</v>
      </c>
      <c r="Q127" s="162">
        <f>IF(Q$8="(short tons/year)",(O127*DEFAULTS!$B$55*DEFAULTS!$B$53/DEFAULTS!$B$54),IF(Q$8="(ft^3/year)",(P127*DEFAULTS!$B$57),IF(Q$8="(av ft^3/min)",(P127*DEFAULTS!$B$57/DEFAULTS!$B$58),0)))</f>
        <v>0</v>
      </c>
    </row>
    <row r="128" spans="1:17">
      <c r="A128" s="68">
        <f>METHANE!I142</f>
        <v>2137</v>
      </c>
      <c r="B128" s="361">
        <v>0</v>
      </c>
      <c r="C128" s="361">
        <v>0</v>
      </c>
      <c r="D128" s="364">
        <f t="shared" si="2"/>
        <v>12946986</v>
      </c>
      <c r="E128" s="364">
        <f t="shared" si="3"/>
        <v>14241684.6</v>
      </c>
      <c r="F128" s="62">
        <f>IF(ISERROR(METHANE!$J142*DEFAULTS!$B$81*(IF('USER INPUTS'!$B$24="Total landfill gas",(1/($D$5/100)),IF('USER INPUTS'!$B$24="Methane",1,IF('USER INPUTS'!$B$24="Carbon dioxide",((1/($D$5/100))-1),(VLOOKUP('USER INPUTS'!$B$24,DEFAULTS!$E$8:$F$69,2,FALSE))/10^6*(1/($D$5/100))))))),0,METHANE!$J142*DEFAULTS!$B$81*(IF('USER INPUTS'!$B$24="Total landfill gas",(1/($D$5/100)),IF('USER INPUTS'!$B$24="Methane",1,IF('USER INPUTS'!$B$24="Carbon dioxide",((1/($D$5/100))-1),(VLOOKUP('USER INPUTS'!$B$24,DEFAULTS!$E$8:$F$69,2,FALSE))/10^6*(1/($D$5/100)))))))</f>
        <v>0</v>
      </c>
      <c r="G128" s="62">
        <f>IF(ISERROR(METHANE!$J142*(IF('USER INPUTS'!$B$24="Total landfill gas",(1/($D$5/100)),IF('USER INPUTS'!$B$24="Methane",1,IF('USER INPUTS'!$B$24="Carbon dioxide",((1/($D$5/100))-1),(VLOOKUP('USER INPUTS'!$B$24,DEFAULTS!$E$8:$F$69,2,FALSE))/10^6*(1/($D$5/100))))))),0,METHANE!$J142*(IF('USER INPUTS'!$B$24="Total landfill gas",(1/($D$5/100)),IF('USER INPUTS'!$B$24="Methane",1,IF('USER INPUTS'!$B$24="Carbon dioxide",((1/($D$5/100))-1),(VLOOKUP('USER INPUTS'!$B$24,DEFAULTS!$E$8:$F$69,2,FALSE))/10^6*(1/($D$5/100)))))))</f>
        <v>0</v>
      </c>
      <c r="H128" s="62">
        <f>IF(H$8="(short tons/year)",(F128*DEFAULTS!$B$55*DEFAULTS!$B$53/DEFAULTS!$B$54),IF(H$8="(ft^3/year)",(G128*DEFAULTS!$B$57),IF(H$8="(av ft^3/min)",(G128*DEFAULTS!$B$57/DEFAULTS!$B$58),0)))</f>
        <v>0</v>
      </c>
      <c r="I128" s="62">
        <f>IF(ISERROR(METHANE!$J142*DEFAULTS!$B$82*(IF('USER INPUTS'!$B$26="Total landfill gas",(1/($D$5/100)),IF('USER INPUTS'!$B$26="Methane",1,IF('USER INPUTS'!$B$26="Carbon dioxide",((1/($D$5/100))-1),(VLOOKUP('USER INPUTS'!$B$26,DEFAULTS!$E$8:$F$69,2,FALSE))/10^6*(1/($D$5/100))))))),0,METHANE!$J142*DEFAULTS!$B$82*(IF('USER INPUTS'!$B$26="Total landfill gas",(1/($D$5/100)),IF('USER INPUTS'!$B$26="Methane",1,IF('USER INPUTS'!$B$26="Carbon dioxide",((1/($D$5/100))-1),(VLOOKUP('USER INPUTS'!$B$26,DEFAULTS!$E$8:$F$69,2,FALSE))/10^6*(1/($D$5/100)))))))</f>
        <v>0</v>
      </c>
      <c r="J128" s="62">
        <f>IF(ISERROR(METHANE!$J142*(IF('USER INPUTS'!$B$26="Total landfill gas",(1/($D$5/100)),IF('USER INPUTS'!$B$26="Methane",1,IF('USER INPUTS'!$B$26="Carbon dioxide",((1/($D$5/100))-1),(VLOOKUP('USER INPUTS'!$B$26,DEFAULTS!$E$8:$F$69,2,FALSE))/10^6*(1/($D$5/100))))))),0,METHANE!$J142*(IF('USER INPUTS'!$B$26="Total landfill gas",(1/($D$5/100)),IF('USER INPUTS'!$B$26="Methane",1,IF('USER INPUTS'!$B$26="Carbon dioxide",((1/($D$5/100))-1),(VLOOKUP('USER INPUTS'!$B$26,DEFAULTS!$E$8:$F$69,2,FALSE))/10^6*(1/($D$5/100)))))))</f>
        <v>0</v>
      </c>
      <c r="K128" s="62">
        <f>IF(K$8="(short tons/year)",(I128*DEFAULTS!$B$55*DEFAULTS!$B$53/DEFAULTS!$B$54),IF(K$8="(ft^3/year)",(J128*DEFAULTS!$B$57),IF(K$8="(av ft^3/min)",(J128*DEFAULTS!$B$57/DEFAULTS!$B$58),0)))</f>
        <v>0</v>
      </c>
      <c r="L128" s="62">
        <f>IF(ISERROR(METHANE!$J142*DEFAULTS!$B$83*(IF('USER INPUTS'!$B$28="Total landfill gas",(1/($D$5/100)),IF('USER INPUTS'!$B$28="Methane",1,IF('USER INPUTS'!$B$28="Carbon dioxide",((1/($D$5/100))-1),(VLOOKUP('USER INPUTS'!$B$28,DEFAULTS!$E$8:$F$69,2,FALSE))/10^6*(1/($D$5/100))))))),0,METHANE!$J142*DEFAULTS!$B$83*(IF('USER INPUTS'!$B$28="Total landfill gas",(1/($D$5/100)),IF('USER INPUTS'!$B$28="Methane",1,IF('USER INPUTS'!$B$28="Carbon dioxide",((1/($D$5/100))-1),(VLOOKUP('USER INPUTS'!$B$28,DEFAULTS!$E$8:$F$69,2,FALSE))/10^6*(1/($D$5/100)))))))</f>
        <v>1224.6769815461053</v>
      </c>
      <c r="M128" s="62">
        <f>IF(ISERROR(METHANE!$J142*(IF('USER INPUTS'!$B$28="Total landfill gas",(1/($D$5/100)),IF('USER INPUTS'!$B$28="Methane",1,IF('USER INPUTS'!$B$28="Carbon dioxide",((1/($D$5/100))-1),(VLOOKUP('USER INPUTS'!$B$28,DEFAULTS!$E$8:$F$69,2,FALSE))/10^6*(1/($D$5/100))))))),0,METHANE!$J142*(IF('USER INPUTS'!$B$28="Total landfill gas",(1/($D$5/100)),IF('USER INPUTS'!$B$28="Methane",1,IF('USER INPUTS'!$B$28="Carbon dioxide",((1/($D$5/100))-1),(VLOOKUP('USER INPUTS'!$B$28,DEFAULTS!$E$8:$F$69,2,FALSE))/10^6*(1/($D$5/100)))))))</f>
        <v>669040.03851770493</v>
      </c>
      <c r="N128" s="62">
        <f>IF(N$8="(short tons/year)",(L128*DEFAULTS!$B$55*DEFAULTS!$B$53/DEFAULTS!$B$54),IF(N$8="(ft^3/year)",(M128*DEFAULTS!$B$57),IF(N$8="(av ft^3/min)",(M128*DEFAULTS!$B$57/DEFAULTS!$B$58),0)))</f>
        <v>44.952718721942063</v>
      </c>
      <c r="O128" s="62">
        <f>IF(ISERROR(METHANE!$J142*DEFAULTS!$B$84*(IF('USER INPUTS'!$B$30="Total landfill gas",(1/($D$5/100)),IF('USER INPUTS'!$B$30="Methane",1,IF('USER INPUTS'!$B$30="Carbon dioxide",((1/($D$5/100))-1),(VLOOKUP('USER INPUTS'!$B$30,DEFAULTS!$E$8:$F$69,2,FALSE))/10^6*(1/($D$5/100))))))),0,METHANE!$J142*DEFAULTS!$B$84*(IF('USER INPUTS'!$B$30="Total landfill gas",(1/($D$5/100)),IF('USER INPUTS'!$B$30="Methane",1,IF('USER INPUTS'!$B$30="Carbon dioxide",((1/($D$5/100))-1),(VLOOKUP('USER INPUTS'!$B$30,DEFAULTS!$E$8:$F$69,2,FALSE))/10^6*(1/($D$5/100)))))))</f>
        <v>0</v>
      </c>
      <c r="P128" s="62">
        <f>IF(ISERROR(METHANE!$J142*(IF('USER INPUTS'!$B$30="Total landfill gas",(1/($D$5/100)),IF('USER INPUTS'!$B$30="Methane",1,IF('USER INPUTS'!$B$30="Carbon dioxide",((1/($D$5/100))-1),(VLOOKUP('USER INPUTS'!$B$30,DEFAULTS!$E$8:$F$69,2,FALSE))/10^6*(1/($D$5/100))))))),0,METHANE!$J142*(IF('USER INPUTS'!$B$30="Total landfill gas",(1/($D$5/100)),IF('USER INPUTS'!$B$30="Methane",1,IF('USER INPUTS'!$B$30="Carbon dioxide",((1/($D$5/100))-1),(VLOOKUP('USER INPUTS'!$B$30,DEFAULTS!$E$8:$F$69,2,FALSE))/10^6*(1/($D$5/100)))))))</f>
        <v>0</v>
      </c>
      <c r="Q128" s="162">
        <f>IF(Q$8="(short tons/year)",(O128*DEFAULTS!$B$55*DEFAULTS!$B$53/DEFAULTS!$B$54),IF(Q$8="(ft^3/year)",(P128*DEFAULTS!$B$57),IF(Q$8="(av ft^3/min)",(P128*DEFAULTS!$B$57/DEFAULTS!$B$58),0)))</f>
        <v>0</v>
      </c>
    </row>
    <row r="129" spans="1:17">
      <c r="A129" s="68">
        <f>METHANE!I143</f>
        <v>2138</v>
      </c>
      <c r="B129" s="361">
        <v>0</v>
      </c>
      <c r="C129" s="361">
        <v>0</v>
      </c>
      <c r="D129" s="364">
        <f t="shared" si="2"/>
        <v>12946986</v>
      </c>
      <c r="E129" s="364">
        <f t="shared" si="3"/>
        <v>14241684.6</v>
      </c>
      <c r="F129" s="62">
        <f>IF(ISERROR(METHANE!$J143*DEFAULTS!$B$81*(IF('USER INPUTS'!$B$24="Total landfill gas",(1/($D$5/100)),IF('USER INPUTS'!$B$24="Methane",1,IF('USER INPUTS'!$B$24="Carbon dioxide",((1/($D$5/100))-1),(VLOOKUP('USER INPUTS'!$B$24,DEFAULTS!$E$8:$F$69,2,FALSE))/10^6*(1/($D$5/100))))))),0,METHANE!$J143*DEFAULTS!$B$81*(IF('USER INPUTS'!$B$24="Total landfill gas",(1/($D$5/100)),IF('USER INPUTS'!$B$24="Methane",1,IF('USER INPUTS'!$B$24="Carbon dioxide",((1/($D$5/100))-1),(VLOOKUP('USER INPUTS'!$B$24,DEFAULTS!$E$8:$F$69,2,FALSE))/10^6*(1/($D$5/100)))))))</f>
        <v>0</v>
      </c>
      <c r="G129" s="62">
        <f>IF(ISERROR(METHANE!$J143*(IF('USER INPUTS'!$B$24="Total landfill gas",(1/($D$5/100)),IF('USER INPUTS'!$B$24="Methane",1,IF('USER INPUTS'!$B$24="Carbon dioxide",((1/($D$5/100))-1),(VLOOKUP('USER INPUTS'!$B$24,DEFAULTS!$E$8:$F$69,2,FALSE))/10^6*(1/($D$5/100))))))),0,METHANE!$J143*(IF('USER INPUTS'!$B$24="Total landfill gas",(1/($D$5/100)),IF('USER INPUTS'!$B$24="Methane",1,IF('USER INPUTS'!$B$24="Carbon dioxide",((1/($D$5/100))-1),(VLOOKUP('USER INPUTS'!$B$24,DEFAULTS!$E$8:$F$69,2,FALSE))/10^6*(1/($D$5/100)))))))</f>
        <v>0</v>
      </c>
      <c r="H129" s="62">
        <f>IF(H$8="(short tons/year)",(F129*DEFAULTS!$B$55*DEFAULTS!$B$53/DEFAULTS!$B$54),IF(H$8="(ft^3/year)",(G129*DEFAULTS!$B$57),IF(H$8="(av ft^3/min)",(G129*DEFAULTS!$B$57/DEFAULTS!$B$58),0)))</f>
        <v>0</v>
      </c>
      <c r="I129" s="62">
        <f>IF(ISERROR(METHANE!$J143*DEFAULTS!$B$82*(IF('USER INPUTS'!$B$26="Total landfill gas",(1/($D$5/100)),IF('USER INPUTS'!$B$26="Methane",1,IF('USER INPUTS'!$B$26="Carbon dioxide",((1/($D$5/100))-1),(VLOOKUP('USER INPUTS'!$B$26,DEFAULTS!$E$8:$F$69,2,FALSE))/10^6*(1/($D$5/100))))))),0,METHANE!$J143*DEFAULTS!$B$82*(IF('USER INPUTS'!$B$26="Total landfill gas",(1/($D$5/100)),IF('USER INPUTS'!$B$26="Methane",1,IF('USER INPUTS'!$B$26="Carbon dioxide",((1/($D$5/100))-1),(VLOOKUP('USER INPUTS'!$B$26,DEFAULTS!$E$8:$F$69,2,FALSE))/10^6*(1/($D$5/100)))))))</f>
        <v>0</v>
      </c>
      <c r="J129" s="62">
        <f>IF(ISERROR(METHANE!$J143*(IF('USER INPUTS'!$B$26="Total landfill gas",(1/($D$5/100)),IF('USER INPUTS'!$B$26="Methane",1,IF('USER INPUTS'!$B$26="Carbon dioxide",((1/($D$5/100))-1),(VLOOKUP('USER INPUTS'!$B$26,DEFAULTS!$E$8:$F$69,2,FALSE))/10^6*(1/($D$5/100))))))),0,METHANE!$J143*(IF('USER INPUTS'!$B$26="Total landfill gas",(1/($D$5/100)),IF('USER INPUTS'!$B$26="Methane",1,IF('USER INPUTS'!$B$26="Carbon dioxide",((1/($D$5/100))-1),(VLOOKUP('USER INPUTS'!$B$26,DEFAULTS!$E$8:$F$69,2,FALSE))/10^6*(1/($D$5/100)))))))</f>
        <v>0</v>
      </c>
      <c r="K129" s="62">
        <f>IF(K$8="(short tons/year)",(I129*DEFAULTS!$B$55*DEFAULTS!$B$53/DEFAULTS!$B$54),IF(K$8="(ft^3/year)",(J129*DEFAULTS!$B$57),IF(K$8="(av ft^3/min)",(J129*DEFAULTS!$B$57/DEFAULTS!$B$58),0)))</f>
        <v>0</v>
      </c>
      <c r="L129" s="62">
        <f>IF(ISERROR(METHANE!$J143*DEFAULTS!$B$83*(IF('USER INPUTS'!$B$28="Total landfill gas",(1/($D$5/100)),IF('USER INPUTS'!$B$28="Methane",1,IF('USER INPUTS'!$B$28="Carbon dioxide",((1/($D$5/100))-1),(VLOOKUP('USER INPUTS'!$B$28,DEFAULTS!$E$8:$F$69,2,FALSE))/10^6*(1/($D$5/100))))))),0,METHANE!$J143*DEFAULTS!$B$83*(IF('USER INPUTS'!$B$28="Total landfill gas",(1/($D$5/100)),IF('USER INPUTS'!$B$28="Methane",1,IF('USER INPUTS'!$B$28="Carbon dioxide",((1/($D$5/100))-1),(VLOOKUP('USER INPUTS'!$B$28,DEFAULTS!$E$8:$F$69,2,FALSE))/10^6*(1/($D$5/100)))))))</f>
        <v>1176.6567102424422</v>
      </c>
      <c r="M129" s="62">
        <f>IF(ISERROR(METHANE!$J143*(IF('USER INPUTS'!$B$28="Total landfill gas",(1/($D$5/100)),IF('USER INPUTS'!$B$28="Methane",1,IF('USER INPUTS'!$B$28="Carbon dioxide",((1/($D$5/100))-1),(VLOOKUP('USER INPUTS'!$B$28,DEFAULTS!$E$8:$F$69,2,FALSE))/10^6*(1/($D$5/100))))))),0,METHANE!$J143*(IF('USER INPUTS'!$B$28="Total landfill gas",(1/($D$5/100)),IF('USER INPUTS'!$B$28="Methane",1,IF('USER INPUTS'!$B$28="Carbon dioxide",((1/($D$5/100))-1),(VLOOKUP('USER INPUTS'!$B$28,DEFAULTS!$E$8:$F$69,2,FALSE))/10^6*(1/($D$5/100)))))))</f>
        <v>642806.60337787424</v>
      </c>
      <c r="N129" s="62">
        <f>IF(N$8="(short tons/year)",(L129*DEFAULTS!$B$55*DEFAULTS!$B$53/DEFAULTS!$B$54),IF(N$8="(ft^3/year)",(M129*DEFAULTS!$B$57),IF(N$8="(av ft^3/min)",(M129*DEFAULTS!$B$57/DEFAULTS!$B$58),0)))</f>
        <v>43.190097409226844</v>
      </c>
      <c r="O129" s="62">
        <f>IF(ISERROR(METHANE!$J143*DEFAULTS!$B$84*(IF('USER INPUTS'!$B$30="Total landfill gas",(1/($D$5/100)),IF('USER INPUTS'!$B$30="Methane",1,IF('USER INPUTS'!$B$30="Carbon dioxide",((1/($D$5/100))-1),(VLOOKUP('USER INPUTS'!$B$30,DEFAULTS!$E$8:$F$69,2,FALSE))/10^6*(1/($D$5/100))))))),0,METHANE!$J143*DEFAULTS!$B$84*(IF('USER INPUTS'!$B$30="Total landfill gas",(1/($D$5/100)),IF('USER INPUTS'!$B$30="Methane",1,IF('USER INPUTS'!$B$30="Carbon dioxide",((1/($D$5/100))-1),(VLOOKUP('USER INPUTS'!$B$30,DEFAULTS!$E$8:$F$69,2,FALSE))/10^6*(1/($D$5/100)))))))</f>
        <v>0</v>
      </c>
      <c r="P129" s="62">
        <f>IF(ISERROR(METHANE!$J143*(IF('USER INPUTS'!$B$30="Total landfill gas",(1/($D$5/100)),IF('USER INPUTS'!$B$30="Methane",1,IF('USER INPUTS'!$B$30="Carbon dioxide",((1/($D$5/100))-1),(VLOOKUP('USER INPUTS'!$B$30,DEFAULTS!$E$8:$F$69,2,FALSE))/10^6*(1/($D$5/100))))))),0,METHANE!$J143*(IF('USER INPUTS'!$B$30="Total landfill gas",(1/($D$5/100)),IF('USER INPUTS'!$B$30="Methane",1,IF('USER INPUTS'!$B$30="Carbon dioxide",((1/($D$5/100))-1),(VLOOKUP('USER INPUTS'!$B$30,DEFAULTS!$E$8:$F$69,2,FALSE))/10^6*(1/($D$5/100)))))))</f>
        <v>0</v>
      </c>
      <c r="Q129" s="162">
        <f>IF(Q$8="(short tons/year)",(O129*DEFAULTS!$B$55*DEFAULTS!$B$53/DEFAULTS!$B$54),IF(Q$8="(ft^3/year)",(P129*DEFAULTS!$B$57),IF(Q$8="(av ft^3/min)",(P129*DEFAULTS!$B$57/DEFAULTS!$B$58),0)))</f>
        <v>0</v>
      </c>
    </row>
    <row r="130" spans="1:17">
      <c r="A130" s="68">
        <f>METHANE!I144</f>
        <v>2139</v>
      </c>
      <c r="B130" s="361">
        <v>0</v>
      </c>
      <c r="C130" s="361">
        <v>0</v>
      </c>
      <c r="D130" s="364">
        <f t="shared" si="2"/>
        <v>12946986</v>
      </c>
      <c r="E130" s="364">
        <f t="shared" si="3"/>
        <v>14241684.6</v>
      </c>
      <c r="F130" s="62">
        <f>IF(ISERROR(METHANE!$J144*DEFAULTS!$B$81*(IF('USER INPUTS'!$B$24="Total landfill gas",(1/($D$5/100)),IF('USER INPUTS'!$B$24="Methane",1,IF('USER INPUTS'!$B$24="Carbon dioxide",((1/($D$5/100))-1),(VLOOKUP('USER INPUTS'!$B$24,DEFAULTS!$E$8:$F$69,2,FALSE))/10^6*(1/($D$5/100))))))),0,METHANE!$J144*DEFAULTS!$B$81*(IF('USER INPUTS'!$B$24="Total landfill gas",(1/($D$5/100)),IF('USER INPUTS'!$B$24="Methane",1,IF('USER INPUTS'!$B$24="Carbon dioxide",((1/($D$5/100))-1),(VLOOKUP('USER INPUTS'!$B$24,DEFAULTS!$E$8:$F$69,2,FALSE))/10^6*(1/($D$5/100)))))))</f>
        <v>0</v>
      </c>
      <c r="G130" s="62">
        <f>IF(ISERROR(METHANE!$J144*(IF('USER INPUTS'!$B$24="Total landfill gas",(1/($D$5/100)),IF('USER INPUTS'!$B$24="Methane",1,IF('USER INPUTS'!$B$24="Carbon dioxide",((1/($D$5/100))-1),(VLOOKUP('USER INPUTS'!$B$24,DEFAULTS!$E$8:$F$69,2,FALSE))/10^6*(1/($D$5/100))))))),0,METHANE!$J144*(IF('USER INPUTS'!$B$24="Total landfill gas",(1/($D$5/100)),IF('USER INPUTS'!$B$24="Methane",1,IF('USER INPUTS'!$B$24="Carbon dioxide",((1/($D$5/100))-1),(VLOOKUP('USER INPUTS'!$B$24,DEFAULTS!$E$8:$F$69,2,FALSE))/10^6*(1/($D$5/100)))))))</f>
        <v>0</v>
      </c>
      <c r="H130" s="62">
        <f>IF(H$8="(short tons/year)",(F130*DEFAULTS!$B$55*DEFAULTS!$B$53/DEFAULTS!$B$54),IF(H$8="(ft^3/year)",(G130*DEFAULTS!$B$57),IF(H$8="(av ft^3/min)",(G130*DEFAULTS!$B$57/DEFAULTS!$B$58),0)))</f>
        <v>0</v>
      </c>
      <c r="I130" s="62">
        <f>IF(ISERROR(METHANE!$J144*DEFAULTS!$B$82*(IF('USER INPUTS'!$B$26="Total landfill gas",(1/($D$5/100)),IF('USER INPUTS'!$B$26="Methane",1,IF('USER INPUTS'!$B$26="Carbon dioxide",((1/($D$5/100))-1),(VLOOKUP('USER INPUTS'!$B$26,DEFAULTS!$E$8:$F$69,2,FALSE))/10^6*(1/($D$5/100))))))),0,METHANE!$J144*DEFAULTS!$B$82*(IF('USER INPUTS'!$B$26="Total landfill gas",(1/($D$5/100)),IF('USER INPUTS'!$B$26="Methane",1,IF('USER INPUTS'!$B$26="Carbon dioxide",((1/($D$5/100))-1),(VLOOKUP('USER INPUTS'!$B$26,DEFAULTS!$E$8:$F$69,2,FALSE))/10^6*(1/($D$5/100)))))))</f>
        <v>0</v>
      </c>
      <c r="J130" s="62">
        <f>IF(ISERROR(METHANE!$J144*(IF('USER INPUTS'!$B$26="Total landfill gas",(1/($D$5/100)),IF('USER INPUTS'!$B$26="Methane",1,IF('USER INPUTS'!$B$26="Carbon dioxide",((1/($D$5/100))-1),(VLOOKUP('USER INPUTS'!$B$26,DEFAULTS!$E$8:$F$69,2,FALSE))/10^6*(1/($D$5/100))))))),0,METHANE!$J144*(IF('USER INPUTS'!$B$26="Total landfill gas",(1/($D$5/100)),IF('USER INPUTS'!$B$26="Methane",1,IF('USER INPUTS'!$B$26="Carbon dioxide",((1/($D$5/100))-1),(VLOOKUP('USER INPUTS'!$B$26,DEFAULTS!$E$8:$F$69,2,FALSE))/10^6*(1/($D$5/100)))))))</f>
        <v>0</v>
      </c>
      <c r="K130" s="62">
        <f>IF(K$8="(short tons/year)",(I130*DEFAULTS!$B$55*DEFAULTS!$B$53/DEFAULTS!$B$54),IF(K$8="(ft^3/year)",(J130*DEFAULTS!$B$57),IF(K$8="(av ft^3/min)",(J130*DEFAULTS!$B$57/DEFAULTS!$B$58),0)))</f>
        <v>0</v>
      </c>
      <c r="L130" s="62">
        <f>IF(ISERROR(METHANE!$J144*DEFAULTS!$B$83*(IF('USER INPUTS'!$B$28="Total landfill gas",(1/($D$5/100)),IF('USER INPUTS'!$B$28="Methane",1,IF('USER INPUTS'!$B$28="Carbon dioxide",((1/($D$5/100))-1),(VLOOKUP('USER INPUTS'!$B$28,DEFAULTS!$E$8:$F$69,2,FALSE))/10^6*(1/($D$5/100))))))),0,METHANE!$J144*DEFAULTS!$B$83*(IF('USER INPUTS'!$B$28="Total landfill gas",(1/($D$5/100)),IF('USER INPUTS'!$B$28="Methane",1,IF('USER INPUTS'!$B$28="Carbon dioxide",((1/($D$5/100))-1),(VLOOKUP('USER INPUTS'!$B$28,DEFAULTS!$E$8:$F$69,2,FALSE))/10^6*(1/($D$5/100)))))))</f>
        <v>1130.5193407086542</v>
      </c>
      <c r="M130" s="62">
        <f>IF(ISERROR(METHANE!$J144*(IF('USER INPUTS'!$B$28="Total landfill gas",(1/($D$5/100)),IF('USER INPUTS'!$B$28="Methane",1,IF('USER INPUTS'!$B$28="Carbon dioxide",((1/($D$5/100))-1),(VLOOKUP('USER INPUTS'!$B$28,DEFAULTS!$E$8:$F$69,2,FALSE))/10^6*(1/($D$5/100))))))),0,METHANE!$J144*(IF('USER INPUTS'!$B$28="Total landfill gas",(1/($D$5/100)),IF('USER INPUTS'!$B$28="Methane",1,IF('USER INPUTS'!$B$28="Carbon dioxide",((1/($D$5/100))-1),(VLOOKUP('USER INPUTS'!$B$28,DEFAULTS!$E$8:$F$69,2,FALSE))/10^6*(1/($D$5/100)))))))</f>
        <v>617601.79594283795</v>
      </c>
      <c r="N130" s="62">
        <f>IF(N$8="(short tons/year)",(L130*DEFAULTS!$B$55*DEFAULTS!$B$53/DEFAULTS!$B$54),IF(N$8="(ft^3/year)",(M130*DEFAULTS!$B$57),IF(N$8="(av ft^3/min)",(M130*DEFAULTS!$B$57/DEFAULTS!$B$58),0)))</f>
        <v>41.496589466745284</v>
      </c>
      <c r="O130" s="62">
        <f>IF(ISERROR(METHANE!$J144*DEFAULTS!$B$84*(IF('USER INPUTS'!$B$30="Total landfill gas",(1/($D$5/100)),IF('USER INPUTS'!$B$30="Methane",1,IF('USER INPUTS'!$B$30="Carbon dioxide",((1/($D$5/100))-1),(VLOOKUP('USER INPUTS'!$B$30,DEFAULTS!$E$8:$F$69,2,FALSE))/10^6*(1/($D$5/100))))))),0,METHANE!$J144*DEFAULTS!$B$84*(IF('USER INPUTS'!$B$30="Total landfill gas",(1/($D$5/100)),IF('USER INPUTS'!$B$30="Methane",1,IF('USER INPUTS'!$B$30="Carbon dioxide",((1/($D$5/100))-1),(VLOOKUP('USER INPUTS'!$B$30,DEFAULTS!$E$8:$F$69,2,FALSE))/10^6*(1/($D$5/100)))))))</f>
        <v>0</v>
      </c>
      <c r="P130" s="62">
        <f>IF(ISERROR(METHANE!$J144*(IF('USER INPUTS'!$B$30="Total landfill gas",(1/($D$5/100)),IF('USER INPUTS'!$B$30="Methane",1,IF('USER INPUTS'!$B$30="Carbon dioxide",((1/($D$5/100))-1),(VLOOKUP('USER INPUTS'!$B$30,DEFAULTS!$E$8:$F$69,2,FALSE))/10^6*(1/($D$5/100))))))),0,METHANE!$J144*(IF('USER INPUTS'!$B$30="Total landfill gas",(1/($D$5/100)),IF('USER INPUTS'!$B$30="Methane",1,IF('USER INPUTS'!$B$30="Carbon dioxide",((1/($D$5/100))-1),(VLOOKUP('USER INPUTS'!$B$30,DEFAULTS!$E$8:$F$69,2,FALSE))/10^6*(1/($D$5/100)))))))</f>
        <v>0</v>
      </c>
      <c r="Q130" s="162">
        <f>IF(Q$8="(short tons/year)",(O130*DEFAULTS!$B$55*DEFAULTS!$B$53/DEFAULTS!$B$54),IF(Q$8="(ft^3/year)",(P130*DEFAULTS!$B$57),IF(Q$8="(av ft^3/min)",(P130*DEFAULTS!$B$57/DEFAULTS!$B$58),0)))</f>
        <v>0</v>
      </c>
    </row>
    <row r="131" spans="1:17">
      <c r="A131" s="68">
        <f>METHANE!I145</f>
        <v>2140</v>
      </c>
      <c r="B131" s="361">
        <v>0</v>
      </c>
      <c r="C131" s="361">
        <v>0</v>
      </c>
      <c r="D131" s="364">
        <f t="shared" si="2"/>
        <v>12946986</v>
      </c>
      <c r="E131" s="364">
        <f t="shared" si="3"/>
        <v>14241684.6</v>
      </c>
      <c r="F131" s="62">
        <f>IF(ISERROR(METHANE!$J145*DEFAULTS!$B$81*(IF('USER INPUTS'!$B$24="Total landfill gas",(1/($D$5/100)),IF('USER INPUTS'!$B$24="Methane",1,IF('USER INPUTS'!$B$24="Carbon dioxide",((1/($D$5/100))-1),(VLOOKUP('USER INPUTS'!$B$24,DEFAULTS!$E$8:$F$69,2,FALSE))/10^6*(1/($D$5/100))))))),0,METHANE!$J145*DEFAULTS!$B$81*(IF('USER INPUTS'!$B$24="Total landfill gas",(1/($D$5/100)),IF('USER INPUTS'!$B$24="Methane",1,IF('USER INPUTS'!$B$24="Carbon dioxide",((1/($D$5/100))-1),(VLOOKUP('USER INPUTS'!$B$24,DEFAULTS!$E$8:$F$69,2,FALSE))/10^6*(1/($D$5/100)))))))</f>
        <v>0</v>
      </c>
      <c r="G131" s="62">
        <f>IF(ISERROR(METHANE!$J145*(IF('USER INPUTS'!$B$24="Total landfill gas",(1/($D$5/100)),IF('USER INPUTS'!$B$24="Methane",1,IF('USER INPUTS'!$B$24="Carbon dioxide",((1/($D$5/100))-1),(VLOOKUP('USER INPUTS'!$B$24,DEFAULTS!$E$8:$F$69,2,FALSE))/10^6*(1/($D$5/100))))))),0,METHANE!$J145*(IF('USER INPUTS'!$B$24="Total landfill gas",(1/($D$5/100)),IF('USER INPUTS'!$B$24="Methane",1,IF('USER INPUTS'!$B$24="Carbon dioxide",((1/($D$5/100))-1),(VLOOKUP('USER INPUTS'!$B$24,DEFAULTS!$E$8:$F$69,2,FALSE))/10^6*(1/($D$5/100)))))))</f>
        <v>0</v>
      </c>
      <c r="H131" s="62">
        <f>IF(H$8="(short tons/year)",(F131*DEFAULTS!$B$55*DEFAULTS!$B$53/DEFAULTS!$B$54),IF(H$8="(ft^3/year)",(G131*DEFAULTS!$B$57),IF(H$8="(av ft^3/min)",(G131*DEFAULTS!$B$57/DEFAULTS!$B$58),0)))</f>
        <v>0</v>
      </c>
      <c r="I131" s="62">
        <f>IF(ISERROR(METHANE!$J145*DEFAULTS!$B$82*(IF('USER INPUTS'!$B$26="Total landfill gas",(1/($D$5/100)),IF('USER INPUTS'!$B$26="Methane",1,IF('USER INPUTS'!$B$26="Carbon dioxide",((1/($D$5/100))-1),(VLOOKUP('USER INPUTS'!$B$26,DEFAULTS!$E$8:$F$69,2,FALSE))/10^6*(1/($D$5/100))))))),0,METHANE!$J145*DEFAULTS!$B$82*(IF('USER INPUTS'!$B$26="Total landfill gas",(1/($D$5/100)),IF('USER INPUTS'!$B$26="Methane",1,IF('USER INPUTS'!$B$26="Carbon dioxide",((1/($D$5/100))-1),(VLOOKUP('USER INPUTS'!$B$26,DEFAULTS!$E$8:$F$69,2,FALSE))/10^6*(1/($D$5/100)))))))</f>
        <v>0</v>
      </c>
      <c r="J131" s="62">
        <f>IF(ISERROR(METHANE!$J145*(IF('USER INPUTS'!$B$26="Total landfill gas",(1/($D$5/100)),IF('USER INPUTS'!$B$26="Methane",1,IF('USER INPUTS'!$B$26="Carbon dioxide",((1/($D$5/100))-1),(VLOOKUP('USER INPUTS'!$B$26,DEFAULTS!$E$8:$F$69,2,FALSE))/10^6*(1/($D$5/100))))))),0,METHANE!$J145*(IF('USER INPUTS'!$B$26="Total landfill gas",(1/($D$5/100)),IF('USER INPUTS'!$B$26="Methane",1,IF('USER INPUTS'!$B$26="Carbon dioxide",((1/($D$5/100))-1),(VLOOKUP('USER INPUTS'!$B$26,DEFAULTS!$E$8:$F$69,2,FALSE))/10^6*(1/($D$5/100)))))))</f>
        <v>0</v>
      </c>
      <c r="K131" s="62">
        <f>IF(K$8="(short tons/year)",(I131*DEFAULTS!$B$55*DEFAULTS!$B$53/DEFAULTS!$B$54),IF(K$8="(ft^3/year)",(J131*DEFAULTS!$B$57),IF(K$8="(av ft^3/min)",(J131*DEFAULTS!$B$57/DEFAULTS!$B$58),0)))</f>
        <v>0</v>
      </c>
      <c r="L131" s="62">
        <f>IF(ISERROR(METHANE!$J145*DEFAULTS!$B$83*(IF('USER INPUTS'!$B$28="Total landfill gas",(1/($D$5/100)),IF('USER INPUTS'!$B$28="Methane",1,IF('USER INPUTS'!$B$28="Carbon dioxide",((1/($D$5/100))-1),(VLOOKUP('USER INPUTS'!$B$28,DEFAULTS!$E$8:$F$69,2,FALSE))/10^6*(1/($D$5/100))))))),0,METHANE!$J145*DEFAULTS!$B$83*(IF('USER INPUTS'!$B$28="Total landfill gas",(1/($D$5/100)),IF('USER INPUTS'!$B$28="Methane",1,IF('USER INPUTS'!$B$28="Carbon dioxide",((1/($D$5/100))-1),(VLOOKUP('USER INPUTS'!$B$28,DEFAULTS!$E$8:$F$69,2,FALSE))/10^6*(1/($D$5/100)))))))</f>
        <v>1086.1910433103214</v>
      </c>
      <c r="M131" s="62">
        <f>IF(ISERROR(METHANE!$J145*(IF('USER INPUTS'!$B$28="Total landfill gas",(1/($D$5/100)),IF('USER INPUTS'!$B$28="Methane",1,IF('USER INPUTS'!$B$28="Carbon dioxide",((1/($D$5/100))-1),(VLOOKUP('USER INPUTS'!$B$28,DEFAULTS!$E$8:$F$69,2,FALSE))/10^6*(1/($D$5/100))))))),0,METHANE!$J145*(IF('USER INPUTS'!$B$28="Total landfill gas",(1/($D$5/100)),IF('USER INPUTS'!$B$28="Methane",1,IF('USER INPUTS'!$B$28="Carbon dioxide",((1/($D$5/100))-1),(VLOOKUP('USER INPUTS'!$B$28,DEFAULTS!$E$8:$F$69,2,FALSE))/10^6*(1/($D$5/100)))))))</f>
        <v>593385.28314338648</v>
      </c>
      <c r="N131" s="62">
        <f>IF(N$8="(short tons/year)",(L131*DEFAULTS!$B$55*DEFAULTS!$B$53/DEFAULTS!$B$54),IF(N$8="(ft^3/year)",(M131*DEFAULTS!$B$57),IF(N$8="(av ft^3/min)",(M131*DEFAULTS!$B$57/DEFAULTS!$B$58),0)))</f>
        <v>39.869484920488375</v>
      </c>
      <c r="O131" s="62">
        <f>IF(ISERROR(METHANE!$J145*DEFAULTS!$B$84*(IF('USER INPUTS'!$B$30="Total landfill gas",(1/($D$5/100)),IF('USER INPUTS'!$B$30="Methane",1,IF('USER INPUTS'!$B$30="Carbon dioxide",((1/($D$5/100))-1),(VLOOKUP('USER INPUTS'!$B$30,DEFAULTS!$E$8:$F$69,2,FALSE))/10^6*(1/($D$5/100))))))),0,METHANE!$J145*DEFAULTS!$B$84*(IF('USER INPUTS'!$B$30="Total landfill gas",(1/($D$5/100)),IF('USER INPUTS'!$B$30="Methane",1,IF('USER INPUTS'!$B$30="Carbon dioxide",((1/($D$5/100))-1),(VLOOKUP('USER INPUTS'!$B$30,DEFAULTS!$E$8:$F$69,2,FALSE))/10^6*(1/($D$5/100)))))))</f>
        <v>0</v>
      </c>
      <c r="P131" s="62">
        <f>IF(ISERROR(METHANE!$J145*(IF('USER INPUTS'!$B$30="Total landfill gas",(1/($D$5/100)),IF('USER INPUTS'!$B$30="Methane",1,IF('USER INPUTS'!$B$30="Carbon dioxide",((1/($D$5/100))-1),(VLOOKUP('USER INPUTS'!$B$30,DEFAULTS!$E$8:$F$69,2,FALSE))/10^6*(1/($D$5/100))))))),0,METHANE!$J145*(IF('USER INPUTS'!$B$30="Total landfill gas",(1/($D$5/100)),IF('USER INPUTS'!$B$30="Methane",1,IF('USER INPUTS'!$B$30="Carbon dioxide",((1/($D$5/100))-1),(VLOOKUP('USER INPUTS'!$B$30,DEFAULTS!$E$8:$F$69,2,FALSE))/10^6*(1/($D$5/100)))))))</f>
        <v>0</v>
      </c>
      <c r="Q131" s="162">
        <f>IF(Q$8="(short tons/year)",(O131*DEFAULTS!$B$55*DEFAULTS!$B$53/DEFAULTS!$B$54),IF(Q$8="(ft^3/year)",(P131*DEFAULTS!$B$57),IF(Q$8="(av ft^3/min)",(P131*DEFAULTS!$B$57/DEFAULTS!$B$58),0)))</f>
        <v>0</v>
      </c>
    </row>
    <row r="132" spans="1:17">
      <c r="A132" s="68">
        <f>METHANE!I146</f>
        <v>2141</v>
      </c>
      <c r="B132" s="361">
        <v>0</v>
      </c>
      <c r="C132" s="361">
        <v>0</v>
      </c>
      <c r="D132" s="364">
        <f t="shared" si="2"/>
        <v>12946986</v>
      </c>
      <c r="E132" s="364">
        <f t="shared" si="3"/>
        <v>14241684.6</v>
      </c>
      <c r="F132" s="62">
        <f>IF(ISERROR(METHANE!$J146*DEFAULTS!$B$81*(IF('USER INPUTS'!$B$24="Total landfill gas",(1/($D$5/100)),IF('USER INPUTS'!$B$24="Methane",1,IF('USER INPUTS'!$B$24="Carbon dioxide",((1/($D$5/100))-1),(VLOOKUP('USER INPUTS'!$B$24,DEFAULTS!$E$8:$F$69,2,FALSE))/10^6*(1/($D$5/100))))))),0,METHANE!$J146*DEFAULTS!$B$81*(IF('USER INPUTS'!$B$24="Total landfill gas",(1/($D$5/100)),IF('USER INPUTS'!$B$24="Methane",1,IF('USER INPUTS'!$B$24="Carbon dioxide",((1/($D$5/100))-1),(VLOOKUP('USER INPUTS'!$B$24,DEFAULTS!$E$8:$F$69,2,FALSE))/10^6*(1/($D$5/100)))))))</f>
        <v>0</v>
      </c>
      <c r="G132" s="62">
        <f>IF(ISERROR(METHANE!$J146*(IF('USER INPUTS'!$B$24="Total landfill gas",(1/($D$5/100)),IF('USER INPUTS'!$B$24="Methane",1,IF('USER INPUTS'!$B$24="Carbon dioxide",((1/($D$5/100))-1),(VLOOKUP('USER INPUTS'!$B$24,DEFAULTS!$E$8:$F$69,2,FALSE))/10^6*(1/($D$5/100))))))),0,METHANE!$J146*(IF('USER INPUTS'!$B$24="Total landfill gas",(1/($D$5/100)),IF('USER INPUTS'!$B$24="Methane",1,IF('USER INPUTS'!$B$24="Carbon dioxide",((1/($D$5/100))-1),(VLOOKUP('USER INPUTS'!$B$24,DEFAULTS!$E$8:$F$69,2,FALSE))/10^6*(1/($D$5/100)))))))</f>
        <v>0</v>
      </c>
      <c r="H132" s="62">
        <f>IF(H$8="(short tons/year)",(F132*DEFAULTS!$B$55*DEFAULTS!$B$53/DEFAULTS!$B$54),IF(H$8="(ft^3/year)",(G132*DEFAULTS!$B$57),IF(H$8="(av ft^3/min)",(G132*DEFAULTS!$B$57/DEFAULTS!$B$58),0)))</f>
        <v>0</v>
      </c>
      <c r="I132" s="62">
        <f>IF(ISERROR(METHANE!$J146*DEFAULTS!$B$82*(IF('USER INPUTS'!$B$26="Total landfill gas",(1/($D$5/100)),IF('USER INPUTS'!$B$26="Methane",1,IF('USER INPUTS'!$B$26="Carbon dioxide",((1/($D$5/100))-1),(VLOOKUP('USER INPUTS'!$B$26,DEFAULTS!$E$8:$F$69,2,FALSE))/10^6*(1/($D$5/100))))))),0,METHANE!$J146*DEFAULTS!$B$82*(IF('USER INPUTS'!$B$26="Total landfill gas",(1/($D$5/100)),IF('USER INPUTS'!$B$26="Methane",1,IF('USER INPUTS'!$B$26="Carbon dioxide",((1/($D$5/100))-1),(VLOOKUP('USER INPUTS'!$B$26,DEFAULTS!$E$8:$F$69,2,FALSE))/10^6*(1/($D$5/100)))))))</f>
        <v>0</v>
      </c>
      <c r="J132" s="62">
        <f>IF(ISERROR(METHANE!$J146*(IF('USER INPUTS'!$B$26="Total landfill gas",(1/($D$5/100)),IF('USER INPUTS'!$B$26="Methane",1,IF('USER INPUTS'!$B$26="Carbon dioxide",((1/($D$5/100))-1),(VLOOKUP('USER INPUTS'!$B$26,DEFAULTS!$E$8:$F$69,2,FALSE))/10^6*(1/($D$5/100))))))),0,METHANE!$J146*(IF('USER INPUTS'!$B$26="Total landfill gas",(1/($D$5/100)),IF('USER INPUTS'!$B$26="Methane",1,IF('USER INPUTS'!$B$26="Carbon dioxide",((1/($D$5/100))-1),(VLOOKUP('USER INPUTS'!$B$26,DEFAULTS!$E$8:$F$69,2,FALSE))/10^6*(1/($D$5/100)))))))</f>
        <v>0</v>
      </c>
      <c r="K132" s="62">
        <f>IF(K$8="(short tons/year)",(I132*DEFAULTS!$B$55*DEFAULTS!$B$53/DEFAULTS!$B$54),IF(K$8="(ft^3/year)",(J132*DEFAULTS!$B$57),IF(K$8="(av ft^3/min)",(J132*DEFAULTS!$B$57/DEFAULTS!$B$58),0)))</f>
        <v>0</v>
      </c>
      <c r="L132" s="62">
        <f>IF(ISERROR(METHANE!$J146*DEFAULTS!$B$83*(IF('USER INPUTS'!$B$28="Total landfill gas",(1/($D$5/100)),IF('USER INPUTS'!$B$28="Methane",1,IF('USER INPUTS'!$B$28="Carbon dioxide",((1/($D$5/100))-1),(VLOOKUP('USER INPUTS'!$B$28,DEFAULTS!$E$8:$F$69,2,FALSE))/10^6*(1/($D$5/100))))))),0,METHANE!$J146*DEFAULTS!$B$83*(IF('USER INPUTS'!$B$28="Total landfill gas",(1/($D$5/100)),IF('USER INPUTS'!$B$28="Methane",1,IF('USER INPUTS'!$B$28="Carbon dioxide",((1/($D$5/100))-1),(VLOOKUP('USER INPUTS'!$B$28,DEFAULTS!$E$8:$F$69,2,FALSE))/10^6*(1/($D$5/100)))))))</f>
        <v>1043.6008833144008</v>
      </c>
      <c r="M132" s="62">
        <f>IF(ISERROR(METHANE!$J146*(IF('USER INPUTS'!$B$28="Total landfill gas",(1/($D$5/100)),IF('USER INPUTS'!$B$28="Methane",1,IF('USER INPUTS'!$B$28="Carbon dioxide",((1/($D$5/100))-1),(VLOOKUP('USER INPUTS'!$B$28,DEFAULTS!$E$8:$F$69,2,FALSE))/10^6*(1/($D$5/100))))))),0,METHANE!$J146*(IF('USER INPUTS'!$B$28="Total landfill gas",(1/($D$5/100)),IF('USER INPUTS'!$B$28="Methane",1,IF('USER INPUTS'!$B$28="Carbon dioxide",((1/($D$5/100))-1),(VLOOKUP('USER INPUTS'!$B$28,DEFAULTS!$E$8:$F$69,2,FALSE))/10^6*(1/($D$5/100)))))))</f>
        <v>570118.31339257688</v>
      </c>
      <c r="N132" s="62">
        <f>IF(N$8="(short tons/year)",(L132*DEFAULTS!$B$55*DEFAULTS!$B$53/DEFAULTS!$B$54),IF(N$8="(ft^3/year)",(M132*DEFAULTS!$B$57),IF(N$8="(av ft^3/min)",(M132*DEFAULTS!$B$57/DEFAULTS!$B$58),0)))</f>
        <v>38.306180056048042</v>
      </c>
      <c r="O132" s="62">
        <f>IF(ISERROR(METHANE!$J146*DEFAULTS!$B$84*(IF('USER INPUTS'!$B$30="Total landfill gas",(1/($D$5/100)),IF('USER INPUTS'!$B$30="Methane",1,IF('USER INPUTS'!$B$30="Carbon dioxide",((1/($D$5/100))-1),(VLOOKUP('USER INPUTS'!$B$30,DEFAULTS!$E$8:$F$69,2,FALSE))/10^6*(1/($D$5/100))))))),0,METHANE!$J146*DEFAULTS!$B$84*(IF('USER INPUTS'!$B$30="Total landfill gas",(1/($D$5/100)),IF('USER INPUTS'!$B$30="Methane",1,IF('USER INPUTS'!$B$30="Carbon dioxide",((1/($D$5/100))-1),(VLOOKUP('USER INPUTS'!$B$30,DEFAULTS!$E$8:$F$69,2,FALSE))/10^6*(1/($D$5/100)))))))</f>
        <v>0</v>
      </c>
      <c r="P132" s="62">
        <f>IF(ISERROR(METHANE!$J146*(IF('USER INPUTS'!$B$30="Total landfill gas",(1/($D$5/100)),IF('USER INPUTS'!$B$30="Methane",1,IF('USER INPUTS'!$B$30="Carbon dioxide",((1/($D$5/100))-1),(VLOOKUP('USER INPUTS'!$B$30,DEFAULTS!$E$8:$F$69,2,FALSE))/10^6*(1/($D$5/100))))))),0,METHANE!$J146*(IF('USER INPUTS'!$B$30="Total landfill gas",(1/($D$5/100)),IF('USER INPUTS'!$B$30="Methane",1,IF('USER INPUTS'!$B$30="Carbon dioxide",((1/($D$5/100))-1),(VLOOKUP('USER INPUTS'!$B$30,DEFAULTS!$E$8:$F$69,2,FALSE))/10^6*(1/($D$5/100)))))))</f>
        <v>0</v>
      </c>
      <c r="Q132" s="162">
        <f>IF(Q$8="(short tons/year)",(O132*DEFAULTS!$B$55*DEFAULTS!$B$53/DEFAULTS!$B$54),IF(Q$8="(ft^3/year)",(P132*DEFAULTS!$B$57),IF(Q$8="(av ft^3/min)",(P132*DEFAULTS!$B$57/DEFAULTS!$B$58),0)))</f>
        <v>0</v>
      </c>
    </row>
    <row r="133" spans="1:17">
      <c r="A133" s="68">
        <f>METHANE!I147</f>
        <v>2142</v>
      </c>
      <c r="B133" s="361">
        <v>0</v>
      </c>
      <c r="C133" s="361">
        <v>0</v>
      </c>
      <c r="D133" s="364">
        <f t="shared" si="2"/>
        <v>12946986</v>
      </c>
      <c r="E133" s="364">
        <f t="shared" si="3"/>
        <v>14241684.6</v>
      </c>
      <c r="F133" s="62">
        <f>IF(ISERROR(METHANE!$J147*DEFAULTS!$B$81*(IF('USER INPUTS'!$B$24="Total landfill gas",(1/($D$5/100)),IF('USER INPUTS'!$B$24="Methane",1,IF('USER INPUTS'!$B$24="Carbon dioxide",((1/($D$5/100))-1),(VLOOKUP('USER INPUTS'!$B$24,DEFAULTS!$E$8:$F$69,2,FALSE))/10^6*(1/($D$5/100))))))),0,METHANE!$J147*DEFAULTS!$B$81*(IF('USER INPUTS'!$B$24="Total landfill gas",(1/($D$5/100)),IF('USER INPUTS'!$B$24="Methane",1,IF('USER INPUTS'!$B$24="Carbon dioxide",((1/($D$5/100))-1),(VLOOKUP('USER INPUTS'!$B$24,DEFAULTS!$E$8:$F$69,2,FALSE))/10^6*(1/($D$5/100)))))))</f>
        <v>0</v>
      </c>
      <c r="G133" s="62">
        <f>IF(ISERROR(METHANE!$J147*(IF('USER INPUTS'!$B$24="Total landfill gas",(1/($D$5/100)),IF('USER INPUTS'!$B$24="Methane",1,IF('USER INPUTS'!$B$24="Carbon dioxide",((1/($D$5/100))-1),(VLOOKUP('USER INPUTS'!$B$24,DEFAULTS!$E$8:$F$69,2,FALSE))/10^6*(1/($D$5/100))))))),0,METHANE!$J147*(IF('USER INPUTS'!$B$24="Total landfill gas",(1/($D$5/100)),IF('USER INPUTS'!$B$24="Methane",1,IF('USER INPUTS'!$B$24="Carbon dioxide",((1/($D$5/100))-1),(VLOOKUP('USER INPUTS'!$B$24,DEFAULTS!$E$8:$F$69,2,FALSE))/10^6*(1/($D$5/100)))))))</f>
        <v>0</v>
      </c>
      <c r="H133" s="62">
        <f>IF(H$8="(short tons/year)",(F133*DEFAULTS!$B$55*DEFAULTS!$B$53/DEFAULTS!$B$54),IF(H$8="(ft^3/year)",(G133*DEFAULTS!$B$57),IF(H$8="(av ft^3/min)",(G133*DEFAULTS!$B$57/DEFAULTS!$B$58),0)))</f>
        <v>0</v>
      </c>
      <c r="I133" s="62">
        <f>IF(ISERROR(METHANE!$J147*DEFAULTS!$B$82*(IF('USER INPUTS'!$B$26="Total landfill gas",(1/($D$5/100)),IF('USER INPUTS'!$B$26="Methane",1,IF('USER INPUTS'!$B$26="Carbon dioxide",((1/($D$5/100))-1),(VLOOKUP('USER INPUTS'!$B$26,DEFAULTS!$E$8:$F$69,2,FALSE))/10^6*(1/($D$5/100))))))),0,METHANE!$J147*DEFAULTS!$B$82*(IF('USER INPUTS'!$B$26="Total landfill gas",(1/($D$5/100)),IF('USER INPUTS'!$B$26="Methane",1,IF('USER INPUTS'!$B$26="Carbon dioxide",((1/($D$5/100))-1),(VLOOKUP('USER INPUTS'!$B$26,DEFAULTS!$E$8:$F$69,2,FALSE))/10^6*(1/($D$5/100)))))))</f>
        <v>0</v>
      </c>
      <c r="J133" s="62">
        <f>IF(ISERROR(METHANE!$J147*(IF('USER INPUTS'!$B$26="Total landfill gas",(1/($D$5/100)),IF('USER INPUTS'!$B$26="Methane",1,IF('USER INPUTS'!$B$26="Carbon dioxide",((1/($D$5/100))-1),(VLOOKUP('USER INPUTS'!$B$26,DEFAULTS!$E$8:$F$69,2,FALSE))/10^6*(1/($D$5/100))))))),0,METHANE!$J147*(IF('USER INPUTS'!$B$26="Total landfill gas",(1/($D$5/100)),IF('USER INPUTS'!$B$26="Methane",1,IF('USER INPUTS'!$B$26="Carbon dioxide",((1/($D$5/100))-1),(VLOOKUP('USER INPUTS'!$B$26,DEFAULTS!$E$8:$F$69,2,FALSE))/10^6*(1/($D$5/100)))))))</f>
        <v>0</v>
      </c>
      <c r="K133" s="62">
        <f>IF(K$8="(short tons/year)",(I133*DEFAULTS!$B$55*DEFAULTS!$B$53/DEFAULTS!$B$54),IF(K$8="(ft^3/year)",(J133*DEFAULTS!$B$57),IF(K$8="(av ft^3/min)",(J133*DEFAULTS!$B$57/DEFAULTS!$B$58),0)))</f>
        <v>0</v>
      </c>
      <c r="L133" s="62">
        <f>IF(ISERROR(METHANE!$J147*DEFAULTS!$B$83*(IF('USER INPUTS'!$B$28="Total landfill gas",(1/($D$5/100)),IF('USER INPUTS'!$B$28="Methane",1,IF('USER INPUTS'!$B$28="Carbon dioxide",((1/($D$5/100))-1),(VLOOKUP('USER INPUTS'!$B$28,DEFAULTS!$E$8:$F$69,2,FALSE))/10^6*(1/($D$5/100))))))),0,METHANE!$J147*DEFAULTS!$B$83*(IF('USER INPUTS'!$B$28="Total landfill gas",(1/($D$5/100)),IF('USER INPUTS'!$B$28="Methane",1,IF('USER INPUTS'!$B$28="Carbon dioxide",((1/($D$5/100))-1),(VLOOKUP('USER INPUTS'!$B$28,DEFAULTS!$E$8:$F$69,2,FALSE))/10^6*(1/($D$5/100)))))))</f>
        <v>1002.6807073785122</v>
      </c>
      <c r="M133" s="62">
        <f>IF(ISERROR(METHANE!$J147*(IF('USER INPUTS'!$B$28="Total landfill gas",(1/($D$5/100)),IF('USER INPUTS'!$B$28="Methane",1,IF('USER INPUTS'!$B$28="Carbon dioxide",((1/($D$5/100))-1),(VLOOKUP('USER INPUTS'!$B$28,DEFAULTS!$E$8:$F$69,2,FALSE))/10^6*(1/($D$5/100))))))),0,METHANE!$J147*(IF('USER INPUTS'!$B$28="Total landfill gas",(1/($D$5/100)),IF('USER INPUTS'!$B$28="Methane",1,IF('USER INPUTS'!$B$28="Carbon dioxide",((1/($D$5/100))-1),(VLOOKUP('USER INPUTS'!$B$28,DEFAULTS!$E$8:$F$69,2,FALSE))/10^6*(1/($D$5/100)))))))</f>
        <v>547763.65457492252</v>
      </c>
      <c r="N133" s="62">
        <f>IF(N$8="(short tons/year)",(L133*DEFAULTS!$B$55*DEFAULTS!$B$53/DEFAULTS!$B$54),IF(N$8="(ft^3/year)",(M133*DEFAULTS!$B$57),IF(N$8="(av ft^3/min)",(M133*DEFAULTS!$B$57/DEFAULTS!$B$58),0)))</f>
        <v>36.804173252118318</v>
      </c>
      <c r="O133" s="62">
        <f>IF(ISERROR(METHANE!$J147*DEFAULTS!$B$84*(IF('USER INPUTS'!$B$30="Total landfill gas",(1/($D$5/100)),IF('USER INPUTS'!$B$30="Methane",1,IF('USER INPUTS'!$B$30="Carbon dioxide",((1/($D$5/100))-1),(VLOOKUP('USER INPUTS'!$B$30,DEFAULTS!$E$8:$F$69,2,FALSE))/10^6*(1/($D$5/100))))))),0,METHANE!$J147*DEFAULTS!$B$84*(IF('USER INPUTS'!$B$30="Total landfill gas",(1/($D$5/100)),IF('USER INPUTS'!$B$30="Methane",1,IF('USER INPUTS'!$B$30="Carbon dioxide",((1/($D$5/100))-1),(VLOOKUP('USER INPUTS'!$B$30,DEFAULTS!$E$8:$F$69,2,FALSE))/10^6*(1/($D$5/100)))))))</f>
        <v>0</v>
      </c>
      <c r="P133" s="62">
        <f>IF(ISERROR(METHANE!$J147*(IF('USER INPUTS'!$B$30="Total landfill gas",(1/($D$5/100)),IF('USER INPUTS'!$B$30="Methane",1,IF('USER INPUTS'!$B$30="Carbon dioxide",((1/($D$5/100))-1),(VLOOKUP('USER INPUTS'!$B$30,DEFAULTS!$E$8:$F$69,2,FALSE))/10^6*(1/($D$5/100))))))),0,METHANE!$J147*(IF('USER INPUTS'!$B$30="Total landfill gas",(1/($D$5/100)),IF('USER INPUTS'!$B$30="Methane",1,IF('USER INPUTS'!$B$30="Carbon dioxide",((1/($D$5/100))-1),(VLOOKUP('USER INPUTS'!$B$30,DEFAULTS!$E$8:$F$69,2,FALSE))/10^6*(1/($D$5/100)))))))</f>
        <v>0</v>
      </c>
      <c r="Q133" s="162">
        <f>IF(Q$8="(short tons/year)",(O133*DEFAULTS!$B$55*DEFAULTS!$B$53/DEFAULTS!$B$54),IF(Q$8="(ft^3/year)",(P133*DEFAULTS!$B$57),IF(Q$8="(av ft^3/min)",(P133*DEFAULTS!$B$57/DEFAULTS!$B$58),0)))</f>
        <v>0</v>
      </c>
    </row>
    <row r="134" spans="1:17">
      <c r="A134" s="68">
        <f>METHANE!I148</f>
        <v>2143</v>
      </c>
      <c r="B134" s="361">
        <v>0</v>
      </c>
      <c r="C134" s="361">
        <v>0</v>
      </c>
      <c r="D134" s="364">
        <f t="shared" si="2"/>
        <v>12946986</v>
      </c>
      <c r="E134" s="364">
        <f t="shared" si="3"/>
        <v>14241684.6</v>
      </c>
      <c r="F134" s="62">
        <f>IF(ISERROR(METHANE!$J148*DEFAULTS!$B$81*(IF('USER INPUTS'!$B$24="Total landfill gas",(1/($D$5/100)),IF('USER INPUTS'!$B$24="Methane",1,IF('USER INPUTS'!$B$24="Carbon dioxide",((1/($D$5/100))-1),(VLOOKUP('USER INPUTS'!$B$24,DEFAULTS!$E$8:$F$69,2,FALSE))/10^6*(1/($D$5/100))))))),0,METHANE!$J148*DEFAULTS!$B$81*(IF('USER INPUTS'!$B$24="Total landfill gas",(1/($D$5/100)),IF('USER INPUTS'!$B$24="Methane",1,IF('USER INPUTS'!$B$24="Carbon dioxide",((1/($D$5/100))-1),(VLOOKUP('USER INPUTS'!$B$24,DEFAULTS!$E$8:$F$69,2,FALSE))/10^6*(1/($D$5/100)))))))</f>
        <v>0</v>
      </c>
      <c r="G134" s="62">
        <f>IF(ISERROR(METHANE!$J148*(IF('USER INPUTS'!$B$24="Total landfill gas",(1/($D$5/100)),IF('USER INPUTS'!$B$24="Methane",1,IF('USER INPUTS'!$B$24="Carbon dioxide",((1/($D$5/100))-1),(VLOOKUP('USER INPUTS'!$B$24,DEFAULTS!$E$8:$F$69,2,FALSE))/10^6*(1/($D$5/100))))))),0,METHANE!$J148*(IF('USER INPUTS'!$B$24="Total landfill gas",(1/($D$5/100)),IF('USER INPUTS'!$B$24="Methane",1,IF('USER INPUTS'!$B$24="Carbon dioxide",((1/($D$5/100))-1),(VLOOKUP('USER INPUTS'!$B$24,DEFAULTS!$E$8:$F$69,2,FALSE))/10^6*(1/($D$5/100)))))))</f>
        <v>0</v>
      </c>
      <c r="H134" s="62">
        <f>IF(H$8="(short tons/year)",(F134*DEFAULTS!$B$55*DEFAULTS!$B$53/DEFAULTS!$B$54),IF(H$8="(ft^3/year)",(G134*DEFAULTS!$B$57),IF(H$8="(av ft^3/min)",(G134*DEFAULTS!$B$57/DEFAULTS!$B$58),0)))</f>
        <v>0</v>
      </c>
      <c r="I134" s="62">
        <f>IF(ISERROR(METHANE!$J148*DEFAULTS!$B$82*(IF('USER INPUTS'!$B$26="Total landfill gas",(1/($D$5/100)),IF('USER INPUTS'!$B$26="Methane",1,IF('USER INPUTS'!$B$26="Carbon dioxide",((1/($D$5/100))-1),(VLOOKUP('USER INPUTS'!$B$26,DEFAULTS!$E$8:$F$69,2,FALSE))/10^6*(1/($D$5/100))))))),0,METHANE!$J148*DEFAULTS!$B$82*(IF('USER INPUTS'!$B$26="Total landfill gas",(1/($D$5/100)),IF('USER INPUTS'!$B$26="Methane",1,IF('USER INPUTS'!$B$26="Carbon dioxide",((1/($D$5/100))-1),(VLOOKUP('USER INPUTS'!$B$26,DEFAULTS!$E$8:$F$69,2,FALSE))/10^6*(1/($D$5/100)))))))</f>
        <v>0</v>
      </c>
      <c r="J134" s="62">
        <f>IF(ISERROR(METHANE!$J148*(IF('USER INPUTS'!$B$26="Total landfill gas",(1/($D$5/100)),IF('USER INPUTS'!$B$26="Methane",1,IF('USER INPUTS'!$B$26="Carbon dioxide",((1/($D$5/100))-1),(VLOOKUP('USER INPUTS'!$B$26,DEFAULTS!$E$8:$F$69,2,FALSE))/10^6*(1/($D$5/100))))))),0,METHANE!$J148*(IF('USER INPUTS'!$B$26="Total landfill gas",(1/($D$5/100)),IF('USER INPUTS'!$B$26="Methane",1,IF('USER INPUTS'!$B$26="Carbon dioxide",((1/($D$5/100))-1),(VLOOKUP('USER INPUTS'!$B$26,DEFAULTS!$E$8:$F$69,2,FALSE))/10^6*(1/($D$5/100)))))))</f>
        <v>0</v>
      </c>
      <c r="K134" s="62">
        <f>IF(K$8="(short tons/year)",(I134*DEFAULTS!$B$55*DEFAULTS!$B$53/DEFAULTS!$B$54),IF(K$8="(ft^3/year)",(J134*DEFAULTS!$B$57),IF(K$8="(av ft^3/min)",(J134*DEFAULTS!$B$57/DEFAULTS!$B$58),0)))</f>
        <v>0</v>
      </c>
      <c r="L134" s="62">
        <f>IF(ISERROR(METHANE!$J148*DEFAULTS!$B$83*(IF('USER INPUTS'!$B$28="Total landfill gas",(1/($D$5/100)),IF('USER INPUTS'!$B$28="Methane",1,IF('USER INPUTS'!$B$28="Carbon dioxide",((1/($D$5/100))-1),(VLOOKUP('USER INPUTS'!$B$28,DEFAULTS!$E$8:$F$69,2,FALSE))/10^6*(1/($D$5/100))))))),0,METHANE!$J148*DEFAULTS!$B$83*(IF('USER INPUTS'!$B$28="Total landfill gas",(1/($D$5/100)),IF('USER INPUTS'!$B$28="Methane",1,IF('USER INPUTS'!$B$28="Carbon dioxide",((1/($D$5/100))-1),(VLOOKUP('USER INPUTS'!$B$28,DEFAULTS!$E$8:$F$69,2,FALSE))/10^6*(1/($D$5/100)))))))</f>
        <v>963.36503449105544</v>
      </c>
      <c r="M134" s="62">
        <f>IF(ISERROR(METHANE!$J148*(IF('USER INPUTS'!$B$28="Total landfill gas",(1/($D$5/100)),IF('USER INPUTS'!$B$28="Methane",1,IF('USER INPUTS'!$B$28="Carbon dioxide",((1/($D$5/100))-1),(VLOOKUP('USER INPUTS'!$B$28,DEFAULTS!$E$8:$F$69,2,FALSE))/10^6*(1/($D$5/100))))))),0,METHANE!$J148*(IF('USER INPUTS'!$B$28="Total landfill gas",(1/($D$5/100)),IF('USER INPUTS'!$B$28="Methane",1,IF('USER INPUTS'!$B$28="Carbon dioxide",((1/($D$5/100))-1),(VLOOKUP('USER INPUTS'!$B$28,DEFAULTS!$E$8:$F$69,2,FALSE))/10^6*(1/($D$5/100)))))))</f>
        <v>526285.53446706675</v>
      </c>
      <c r="N134" s="62">
        <f>IF(N$8="(short tons/year)",(L134*DEFAULTS!$B$55*DEFAULTS!$B$53/DEFAULTS!$B$54),IF(N$8="(ft^3/year)",(M134*DEFAULTS!$B$57),IF(N$8="(av ft^3/min)",(M134*DEFAULTS!$B$57/DEFAULTS!$B$58),0)))</f>
        <v>35.361060977367693</v>
      </c>
      <c r="O134" s="62">
        <f>IF(ISERROR(METHANE!$J148*DEFAULTS!$B$84*(IF('USER INPUTS'!$B$30="Total landfill gas",(1/($D$5/100)),IF('USER INPUTS'!$B$30="Methane",1,IF('USER INPUTS'!$B$30="Carbon dioxide",((1/($D$5/100))-1),(VLOOKUP('USER INPUTS'!$B$30,DEFAULTS!$E$8:$F$69,2,FALSE))/10^6*(1/($D$5/100))))))),0,METHANE!$J148*DEFAULTS!$B$84*(IF('USER INPUTS'!$B$30="Total landfill gas",(1/($D$5/100)),IF('USER INPUTS'!$B$30="Methane",1,IF('USER INPUTS'!$B$30="Carbon dioxide",((1/($D$5/100))-1),(VLOOKUP('USER INPUTS'!$B$30,DEFAULTS!$E$8:$F$69,2,FALSE))/10^6*(1/($D$5/100)))))))</f>
        <v>0</v>
      </c>
      <c r="P134" s="62">
        <f>IF(ISERROR(METHANE!$J148*(IF('USER INPUTS'!$B$30="Total landfill gas",(1/($D$5/100)),IF('USER INPUTS'!$B$30="Methane",1,IF('USER INPUTS'!$B$30="Carbon dioxide",((1/($D$5/100))-1),(VLOOKUP('USER INPUTS'!$B$30,DEFAULTS!$E$8:$F$69,2,FALSE))/10^6*(1/($D$5/100))))))),0,METHANE!$J148*(IF('USER INPUTS'!$B$30="Total landfill gas",(1/($D$5/100)),IF('USER INPUTS'!$B$30="Methane",1,IF('USER INPUTS'!$B$30="Carbon dioxide",((1/($D$5/100))-1),(VLOOKUP('USER INPUTS'!$B$30,DEFAULTS!$E$8:$F$69,2,FALSE))/10^6*(1/($D$5/100)))))))</f>
        <v>0</v>
      </c>
      <c r="Q134" s="162">
        <f>IF(Q$8="(short tons/year)",(O134*DEFAULTS!$B$55*DEFAULTS!$B$53/DEFAULTS!$B$54),IF(Q$8="(ft^3/year)",(P134*DEFAULTS!$B$57),IF(Q$8="(av ft^3/min)",(P134*DEFAULTS!$B$57/DEFAULTS!$B$58),0)))</f>
        <v>0</v>
      </c>
    </row>
    <row r="135" spans="1:17">
      <c r="A135" s="68">
        <f>METHANE!I149</f>
        <v>2144</v>
      </c>
      <c r="B135" s="361">
        <v>0</v>
      </c>
      <c r="C135" s="361">
        <v>0</v>
      </c>
      <c r="D135" s="364">
        <f t="shared" si="2"/>
        <v>12946986</v>
      </c>
      <c r="E135" s="364">
        <f t="shared" si="3"/>
        <v>14241684.6</v>
      </c>
      <c r="F135" s="62">
        <f>IF(ISERROR(METHANE!$J149*DEFAULTS!$B$81*(IF('USER INPUTS'!$B$24="Total landfill gas",(1/($D$5/100)),IF('USER INPUTS'!$B$24="Methane",1,IF('USER INPUTS'!$B$24="Carbon dioxide",((1/($D$5/100))-1),(VLOOKUP('USER INPUTS'!$B$24,DEFAULTS!$E$8:$F$69,2,FALSE))/10^6*(1/($D$5/100))))))),0,METHANE!$J149*DEFAULTS!$B$81*(IF('USER INPUTS'!$B$24="Total landfill gas",(1/($D$5/100)),IF('USER INPUTS'!$B$24="Methane",1,IF('USER INPUTS'!$B$24="Carbon dioxide",((1/($D$5/100))-1),(VLOOKUP('USER INPUTS'!$B$24,DEFAULTS!$E$8:$F$69,2,FALSE))/10^6*(1/($D$5/100)))))))</f>
        <v>0</v>
      </c>
      <c r="G135" s="62">
        <f>IF(ISERROR(METHANE!$J149*(IF('USER INPUTS'!$B$24="Total landfill gas",(1/($D$5/100)),IF('USER INPUTS'!$B$24="Methane",1,IF('USER INPUTS'!$B$24="Carbon dioxide",((1/($D$5/100))-1),(VLOOKUP('USER INPUTS'!$B$24,DEFAULTS!$E$8:$F$69,2,FALSE))/10^6*(1/($D$5/100))))))),0,METHANE!$J149*(IF('USER INPUTS'!$B$24="Total landfill gas",(1/($D$5/100)),IF('USER INPUTS'!$B$24="Methane",1,IF('USER INPUTS'!$B$24="Carbon dioxide",((1/($D$5/100))-1),(VLOOKUP('USER INPUTS'!$B$24,DEFAULTS!$E$8:$F$69,2,FALSE))/10^6*(1/($D$5/100)))))))</f>
        <v>0</v>
      </c>
      <c r="H135" s="62">
        <f>IF(H$8="(short tons/year)",(F135*DEFAULTS!$B$55*DEFAULTS!$B$53/DEFAULTS!$B$54),IF(H$8="(ft^3/year)",(G135*DEFAULTS!$B$57),IF(H$8="(av ft^3/min)",(G135*DEFAULTS!$B$57/DEFAULTS!$B$58),0)))</f>
        <v>0</v>
      </c>
      <c r="I135" s="62">
        <f>IF(ISERROR(METHANE!$J149*DEFAULTS!$B$82*(IF('USER INPUTS'!$B$26="Total landfill gas",(1/($D$5/100)),IF('USER INPUTS'!$B$26="Methane",1,IF('USER INPUTS'!$B$26="Carbon dioxide",((1/($D$5/100))-1),(VLOOKUP('USER INPUTS'!$B$26,DEFAULTS!$E$8:$F$69,2,FALSE))/10^6*(1/($D$5/100))))))),0,METHANE!$J149*DEFAULTS!$B$82*(IF('USER INPUTS'!$B$26="Total landfill gas",(1/($D$5/100)),IF('USER INPUTS'!$B$26="Methane",1,IF('USER INPUTS'!$B$26="Carbon dioxide",((1/($D$5/100))-1),(VLOOKUP('USER INPUTS'!$B$26,DEFAULTS!$E$8:$F$69,2,FALSE))/10^6*(1/($D$5/100)))))))</f>
        <v>0</v>
      </c>
      <c r="J135" s="62">
        <f>IF(ISERROR(METHANE!$J149*(IF('USER INPUTS'!$B$26="Total landfill gas",(1/($D$5/100)),IF('USER INPUTS'!$B$26="Methane",1,IF('USER INPUTS'!$B$26="Carbon dioxide",((1/($D$5/100))-1),(VLOOKUP('USER INPUTS'!$B$26,DEFAULTS!$E$8:$F$69,2,FALSE))/10^6*(1/($D$5/100))))))),0,METHANE!$J149*(IF('USER INPUTS'!$B$26="Total landfill gas",(1/($D$5/100)),IF('USER INPUTS'!$B$26="Methane",1,IF('USER INPUTS'!$B$26="Carbon dioxide",((1/($D$5/100))-1),(VLOOKUP('USER INPUTS'!$B$26,DEFAULTS!$E$8:$F$69,2,FALSE))/10^6*(1/($D$5/100)))))))</f>
        <v>0</v>
      </c>
      <c r="K135" s="62">
        <f>IF(K$8="(short tons/year)",(I135*DEFAULTS!$B$55*DEFAULTS!$B$53/DEFAULTS!$B$54),IF(K$8="(ft^3/year)",(J135*DEFAULTS!$B$57),IF(K$8="(av ft^3/min)",(J135*DEFAULTS!$B$57/DEFAULTS!$B$58),0)))</f>
        <v>0</v>
      </c>
      <c r="L135" s="62">
        <f>IF(ISERROR(METHANE!$J149*DEFAULTS!$B$83*(IF('USER INPUTS'!$B$28="Total landfill gas",(1/($D$5/100)),IF('USER INPUTS'!$B$28="Methane",1,IF('USER INPUTS'!$B$28="Carbon dioxide",((1/($D$5/100))-1),(VLOOKUP('USER INPUTS'!$B$28,DEFAULTS!$E$8:$F$69,2,FALSE))/10^6*(1/($D$5/100))))))),0,METHANE!$J149*DEFAULTS!$B$83*(IF('USER INPUTS'!$B$28="Total landfill gas",(1/($D$5/100)),IF('USER INPUTS'!$B$28="Methane",1,IF('USER INPUTS'!$B$28="Carbon dioxide",((1/($D$5/100))-1),(VLOOKUP('USER INPUTS'!$B$28,DEFAULTS!$E$8:$F$69,2,FALSE))/10^6*(1/($D$5/100)))))))</f>
        <v>925.59095118761957</v>
      </c>
      <c r="M135" s="62">
        <f>IF(ISERROR(METHANE!$J149*(IF('USER INPUTS'!$B$28="Total landfill gas",(1/($D$5/100)),IF('USER INPUTS'!$B$28="Methane",1,IF('USER INPUTS'!$B$28="Carbon dioxide",((1/($D$5/100))-1),(VLOOKUP('USER INPUTS'!$B$28,DEFAULTS!$E$8:$F$69,2,FALSE))/10^6*(1/($D$5/100))))))),0,METHANE!$J149*(IF('USER INPUTS'!$B$28="Total landfill gas",(1/($D$5/100)),IF('USER INPUTS'!$B$28="Methane",1,IF('USER INPUTS'!$B$28="Carbon dioxide",((1/($D$5/100))-1),(VLOOKUP('USER INPUTS'!$B$28,DEFAULTS!$E$8:$F$69,2,FALSE))/10^6*(1/($D$5/100)))))))</f>
        <v>505649.58349459362</v>
      </c>
      <c r="N135" s="62">
        <f>IF(N$8="(short tons/year)",(L135*DEFAULTS!$B$55*DEFAULTS!$B$53/DEFAULTS!$B$54),IF(N$8="(ft^3/year)",(M135*DEFAULTS!$B$57),IF(N$8="(av ft^3/min)",(M135*DEFAULTS!$B$57/DEFAULTS!$B$58),0)))</f>
        <v>33.974533944276203</v>
      </c>
      <c r="O135" s="62">
        <f>IF(ISERROR(METHANE!$J149*DEFAULTS!$B$84*(IF('USER INPUTS'!$B$30="Total landfill gas",(1/($D$5/100)),IF('USER INPUTS'!$B$30="Methane",1,IF('USER INPUTS'!$B$30="Carbon dioxide",((1/($D$5/100))-1),(VLOOKUP('USER INPUTS'!$B$30,DEFAULTS!$E$8:$F$69,2,FALSE))/10^6*(1/($D$5/100))))))),0,METHANE!$J149*DEFAULTS!$B$84*(IF('USER INPUTS'!$B$30="Total landfill gas",(1/($D$5/100)),IF('USER INPUTS'!$B$30="Methane",1,IF('USER INPUTS'!$B$30="Carbon dioxide",((1/($D$5/100))-1),(VLOOKUP('USER INPUTS'!$B$30,DEFAULTS!$E$8:$F$69,2,FALSE))/10^6*(1/($D$5/100)))))))</f>
        <v>0</v>
      </c>
      <c r="P135" s="62">
        <f>IF(ISERROR(METHANE!$J149*(IF('USER INPUTS'!$B$30="Total landfill gas",(1/($D$5/100)),IF('USER INPUTS'!$B$30="Methane",1,IF('USER INPUTS'!$B$30="Carbon dioxide",((1/($D$5/100))-1),(VLOOKUP('USER INPUTS'!$B$30,DEFAULTS!$E$8:$F$69,2,FALSE))/10^6*(1/($D$5/100))))))),0,METHANE!$J149*(IF('USER INPUTS'!$B$30="Total landfill gas",(1/($D$5/100)),IF('USER INPUTS'!$B$30="Methane",1,IF('USER INPUTS'!$B$30="Carbon dioxide",((1/($D$5/100))-1),(VLOOKUP('USER INPUTS'!$B$30,DEFAULTS!$E$8:$F$69,2,FALSE))/10^6*(1/($D$5/100)))))))</f>
        <v>0</v>
      </c>
      <c r="Q135" s="162">
        <f>IF(Q$8="(short tons/year)",(O135*DEFAULTS!$B$55*DEFAULTS!$B$53/DEFAULTS!$B$54),IF(Q$8="(ft^3/year)",(P135*DEFAULTS!$B$57),IF(Q$8="(av ft^3/min)",(P135*DEFAULTS!$B$57/DEFAULTS!$B$58),0)))</f>
        <v>0</v>
      </c>
    </row>
    <row r="136" spans="1:17">
      <c r="A136" s="68">
        <f>METHANE!I150</f>
        <v>2145</v>
      </c>
      <c r="B136" s="361">
        <v>0</v>
      </c>
      <c r="C136" s="361">
        <v>0</v>
      </c>
      <c r="D136" s="364">
        <f t="shared" si="2"/>
        <v>12946986</v>
      </c>
      <c r="E136" s="364">
        <f t="shared" si="3"/>
        <v>14241684.6</v>
      </c>
      <c r="F136" s="62">
        <f>IF(ISERROR(METHANE!$J150*DEFAULTS!$B$81*(IF('USER INPUTS'!$B$24="Total landfill gas",(1/($D$5/100)),IF('USER INPUTS'!$B$24="Methane",1,IF('USER INPUTS'!$B$24="Carbon dioxide",((1/($D$5/100))-1),(VLOOKUP('USER INPUTS'!$B$24,DEFAULTS!$E$8:$F$69,2,FALSE))/10^6*(1/($D$5/100))))))),0,METHANE!$J150*DEFAULTS!$B$81*(IF('USER INPUTS'!$B$24="Total landfill gas",(1/($D$5/100)),IF('USER INPUTS'!$B$24="Methane",1,IF('USER INPUTS'!$B$24="Carbon dioxide",((1/($D$5/100))-1),(VLOOKUP('USER INPUTS'!$B$24,DEFAULTS!$E$8:$F$69,2,FALSE))/10^6*(1/($D$5/100)))))))</f>
        <v>0</v>
      </c>
      <c r="G136" s="62">
        <f>IF(ISERROR(METHANE!$J150*(IF('USER INPUTS'!$B$24="Total landfill gas",(1/($D$5/100)),IF('USER INPUTS'!$B$24="Methane",1,IF('USER INPUTS'!$B$24="Carbon dioxide",((1/($D$5/100))-1),(VLOOKUP('USER INPUTS'!$B$24,DEFAULTS!$E$8:$F$69,2,FALSE))/10^6*(1/($D$5/100))))))),0,METHANE!$J150*(IF('USER INPUTS'!$B$24="Total landfill gas",(1/($D$5/100)),IF('USER INPUTS'!$B$24="Methane",1,IF('USER INPUTS'!$B$24="Carbon dioxide",((1/($D$5/100))-1),(VLOOKUP('USER INPUTS'!$B$24,DEFAULTS!$E$8:$F$69,2,FALSE))/10^6*(1/($D$5/100)))))))</f>
        <v>0</v>
      </c>
      <c r="H136" s="62">
        <f>IF(H$8="(short tons/year)",(F136*DEFAULTS!$B$55*DEFAULTS!$B$53/DEFAULTS!$B$54),IF(H$8="(ft^3/year)",(G136*DEFAULTS!$B$57),IF(H$8="(av ft^3/min)",(G136*DEFAULTS!$B$57/DEFAULTS!$B$58),0)))</f>
        <v>0</v>
      </c>
      <c r="I136" s="62">
        <f>IF(ISERROR(METHANE!$J150*DEFAULTS!$B$82*(IF('USER INPUTS'!$B$26="Total landfill gas",(1/($D$5/100)),IF('USER INPUTS'!$B$26="Methane",1,IF('USER INPUTS'!$B$26="Carbon dioxide",((1/($D$5/100))-1),(VLOOKUP('USER INPUTS'!$B$26,DEFAULTS!$E$8:$F$69,2,FALSE))/10^6*(1/($D$5/100))))))),0,METHANE!$J150*DEFAULTS!$B$82*(IF('USER INPUTS'!$B$26="Total landfill gas",(1/($D$5/100)),IF('USER INPUTS'!$B$26="Methane",1,IF('USER INPUTS'!$B$26="Carbon dioxide",((1/($D$5/100))-1),(VLOOKUP('USER INPUTS'!$B$26,DEFAULTS!$E$8:$F$69,2,FALSE))/10^6*(1/($D$5/100)))))))</f>
        <v>0</v>
      </c>
      <c r="J136" s="62">
        <f>IF(ISERROR(METHANE!$J150*(IF('USER INPUTS'!$B$26="Total landfill gas",(1/($D$5/100)),IF('USER INPUTS'!$B$26="Methane",1,IF('USER INPUTS'!$B$26="Carbon dioxide",((1/($D$5/100))-1),(VLOOKUP('USER INPUTS'!$B$26,DEFAULTS!$E$8:$F$69,2,FALSE))/10^6*(1/($D$5/100))))))),0,METHANE!$J150*(IF('USER INPUTS'!$B$26="Total landfill gas",(1/($D$5/100)),IF('USER INPUTS'!$B$26="Methane",1,IF('USER INPUTS'!$B$26="Carbon dioxide",((1/($D$5/100))-1),(VLOOKUP('USER INPUTS'!$B$26,DEFAULTS!$E$8:$F$69,2,FALSE))/10^6*(1/($D$5/100)))))))</f>
        <v>0</v>
      </c>
      <c r="K136" s="62">
        <f>IF(K$8="(short tons/year)",(I136*DEFAULTS!$B$55*DEFAULTS!$B$53/DEFAULTS!$B$54),IF(K$8="(ft^3/year)",(J136*DEFAULTS!$B$57),IF(K$8="(av ft^3/min)",(J136*DEFAULTS!$B$57/DEFAULTS!$B$58),0)))</f>
        <v>0</v>
      </c>
      <c r="L136" s="62">
        <f>IF(ISERROR(METHANE!$J150*DEFAULTS!$B$83*(IF('USER INPUTS'!$B$28="Total landfill gas",(1/($D$5/100)),IF('USER INPUTS'!$B$28="Methane",1,IF('USER INPUTS'!$B$28="Carbon dioxide",((1/($D$5/100))-1),(VLOOKUP('USER INPUTS'!$B$28,DEFAULTS!$E$8:$F$69,2,FALSE))/10^6*(1/($D$5/100))))))),0,METHANE!$J150*DEFAULTS!$B$83*(IF('USER INPUTS'!$B$28="Total landfill gas",(1/($D$5/100)),IF('USER INPUTS'!$B$28="Methane",1,IF('USER INPUTS'!$B$28="Carbon dioxide",((1/($D$5/100))-1),(VLOOKUP('USER INPUTS'!$B$28,DEFAULTS!$E$8:$F$69,2,FALSE))/10^6*(1/($D$5/100)))))))</f>
        <v>889.29801087601857</v>
      </c>
      <c r="M136" s="62">
        <f>IF(ISERROR(METHANE!$J150*(IF('USER INPUTS'!$B$28="Total landfill gas",(1/($D$5/100)),IF('USER INPUTS'!$B$28="Methane",1,IF('USER INPUTS'!$B$28="Carbon dioxide",((1/($D$5/100))-1),(VLOOKUP('USER INPUTS'!$B$28,DEFAULTS!$E$8:$F$69,2,FALSE))/10^6*(1/($D$5/100))))))),0,METHANE!$J150*(IF('USER INPUTS'!$B$28="Total landfill gas",(1/($D$5/100)),IF('USER INPUTS'!$B$28="Methane",1,IF('USER INPUTS'!$B$28="Carbon dioxide",((1/($D$5/100))-1),(VLOOKUP('USER INPUTS'!$B$28,DEFAULTS!$E$8:$F$69,2,FALSE))/10^6*(1/($D$5/100)))))))</f>
        <v>485822.77973337646</v>
      </c>
      <c r="N136" s="62">
        <f>IF(N$8="(short tons/year)",(L136*DEFAULTS!$B$55*DEFAULTS!$B$53/DEFAULTS!$B$54),IF(N$8="(ft^3/year)",(M136*DEFAULTS!$B$57),IF(N$8="(av ft^3/min)",(M136*DEFAULTS!$B$57/DEFAULTS!$B$58),0)))</f>
        <v>32.642373413782707</v>
      </c>
      <c r="O136" s="62">
        <f>IF(ISERROR(METHANE!$J150*DEFAULTS!$B$84*(IF('USER INPUTS'!$B$30="Total landfill gas",(1/($D$5/100)),IF('USER INPUTS'!$B$30="Methane",1,IF('USER INPUTS'!$B$30="Carbon dioxide",((1/($D$5/100))-1),(VLOOKUP('USER INPUTS'!$B$30,DEFAULTS!$E$8:$F$69,2,FALSE))/10^6*(1/($D$5/100))))))),0,METHANE!$J150*DEFAULTS!$B$84*(IF('USER INPUTS'!$B$30="Total landfill gas",(1/($D$5/100)),IF('USER INPUTS'!$B$30="Methane",1,IF('USER INPUTS'!$B$30="Carbon dioxide",((1/($D$5/100))-1),(VLOOKUP('USER INPUTS'!$B$30,DEFAULTS!$E$8:$F$69,2,FALSE))/10^6*(1/($D$5/100)))))))</f>
        <v>0</v>
      </c>
      <c r="P136" s="62">
        <f>IF(ISERROR(METHANE!$J150*(IF('USER INPUTS'!$B$30="Total landfill gas",(1/($D$5/100)),IF('USER INPUTS'!$B$30="Methane",1,IF('USER INPUTS'!$B$30="Carbon dioxide",((1/($D$5/100))-1),(VLOOKUP('USER INPUTS'!$B$30,DEFAULTS!$E$8:$F$69,2,FALSE))/10^6*(1/($D$5/100))))))),0,METHANE!$J150*(IF('USER INPUTS'!$B$30="Total landfill gas",(1/($D$5/100)),IF('USER INPUTS'!$B$30="Methane",1,IF('USER INPUTS'!$B$30="Carbon dioxide",((1/($D$5/100))-1),(VLOOKUP('USER INPUTS'!$B$30,DEFAULTS!$E$8:$F$69,2,FALSE))/10^6*(1/($D$5/100)))))))</f>
        <v>0</v>
      </c>
      <c r="Q136" s="162">
        <f>IF(Q$8="(short tons/year)",(O136*DEFAULTS!$B$55*DEFAULTS!$B$53/DEFAULTS!$B$54),IF(Q$8="(ft^3/year)",(P136*DEFAULTS!$B$57),IF(Q$8="(av ft^3/min)",(P136*DEFAULTS!$B$57/DEFAULTS!$B$58),0)))</f>
        <v>0</v>
      </c>
    </row>
    <row r="137" spans="1:17">
      <c r="A137" s="68">
        <f>METHANE!I151</f>
        <v>2146</v>
      </c>
      <c r="B137" s="361">
        <v>0</v>
      </c>
      <c r="C137" s="361">
        <v>0</v>
      </c>
      <c r="D137" s="364">
        <f t="shared" si="2"/>
        <v>12946986</v>
      </c>
      <c r="E137" s="364">
        <f t="shared" si="3"/>
        <v>14241684.6</v>
      </c>
      <c r="F137" s="62">
        <f>IF(ISERROR(METHANE!$J151*DEFAULTS!$B$81*(IF('USER INPUTS'!$B$24="Total landfill gas",(1/($D$5/100)),IF('USER INPUTS'!$B$24="Methane",1,IF('USER INPUTS'!$B$24="Carbon dioxide",((1/($D$5/100))-1),(VLOOKUP('USER INPUTS'!$B$24,DEFAULTS!$E$8:$F$69,2,FALSE))/10^6*(1/($D$5/100))))))),0,METHANE!$J151*DEFAULTS!$B$81*(IF('USER INPUTS'!$B$24="Total landfill gas",(1/($D$5/100)),IF('USER INPUTS'!$B$24="Methane",1,IF('USER INPUTS'!$B$24="Carbon dioxide",((1/($D$5/100))-1),(VLOOKUP('USER INPUTS'!$B$24,DEFAULTS!$E$8:$F$69,2,FALSE))/10^6*(1/($D$5/100)))))))</f>
        <v>0</v>
      </c>
      <c r="G137" s="62">
        <f>IF(ISERROR(METHANE!$J151*(IF('USER INPUTS'!$B$24="Total landfill gas",(1/($D$5/100)),IF('USER INPUTS'!$B$24="Methane",1,IF('USER INPUTS'!$B$24="Carbon dioxide",((1/($D$5/100))-1),(VLOOKUP('USER INPUTS'!$B$24,DEFAULTS!$E$8:$F$69,2,FALSE))/10^6*(1/($D$5/100))))))),0,METHANE!$J151*(IF('USER INPUTS'!$B$24="Total landfill gas",(1/($D$5/100)),IF('USER INPUTS'!$B$24="Methane",1,IF('USER INPUTS'!$B$24="Carbon dioxide",((1/($D$5/100))-1),(VLOOKUP('USER INPUTS'!$B$24,DEFAULTS!$E$8:$F$69,2,FALSE))/10^6*(1/($D$5/100)))))))</f>
        <v>0</v>
      </c>
      <c r="H137" s="62">
        <f>IF(H$8="(short tons/year)",(F137*DEFAULTS!$B$55*DEFAULTS!$B$53/DEFAULTS!$B$54),IF(H$8="(ft^3/year)",(G137*DEFAULTS!$B$57),IF(H$8="(av ft^3/min)",(G137*DEFAULTS!$B$57/DEFAULTS!$B$58),0)))</f>
        <v>0</v>
      </c>
      <c r="I137" s="62">
        <f>IF(ISERROR(METHANE!$J151*DEFAULTS!$B$82*(IF('USER INPUTS'!$B$26="Total landfill gas",(1/($D$5/100)),IF('USER INPUTS'!$B$26="Methane",1,IF('USER INPUTS'!$B$26="Carbon dioxide",((1/($D$5/100))-1),(VLOOKUP('USER INPUTS'!$B$26,DEFAULTS!$E$8:$F$69,2,FALSE))/10^6*(1/($D$5/100))))))),0,METHANE!$J151*DEFAULTS!$B$82*(IF('USER INPUTS'!$B$26="Total landfill gas",(1/($D$5/100)),IF('USER INPUTS'!$B$26="Methane",1,IF('USER INPUTS'!$B$26="Carbon dioxide",((1/($D$5/100))-1),(VLOOKUP('USER INPUTS'!$B$26,DEFAULTS!$E$8:$F$69,2,FALSE))/10^6*(1/($D$5/100)))))))</f>
        <v>0</v>
      </c>
      <c r="J137" s="62">
        <f>IF(ISERROR(METHANE!$J151*(IF('USER INPUTS'!$B$26="Total landfill gas",(1/($D$5/100)),IF('USER INPUTS'!$B$26="Methane",1,IF('USER INPUTS'!$B$26="Carbon dioxide",((1/($D$5/100))-1),(VLOOKUP('USER INPUTS'!$B$26,DEFAULTS!$E$8:$F$69,2,FALSE))/10^6*(1/($D$5/100))))))),0,METHANE!$J151*(IF('USER INPUTS'!$B$26="Total landfill gas",(1/($D$5/100)),IF('USER INPUTS'!$B$26="Methane",1,IF('USER INPUTS'!$B$26="Carbon dioxide",((1/($D$5/100))-1),(VLOOKUP('USER INPUTS'!$B$26,DEFAULTS!$E$8:$F$69,2,FALSE))/10^6*(1/($D$5/100)))))))</f>
        <v>0</v>
      </c>
      <c r="K137" s="62">
        <f>IF(K$8="(short tons/year)",(I137*DEFAULTS!$B$55*DEFAULTS!$B$53/DEFAULTS!$B$54),IF(K$8="(ft^3/year)",(J137*DEFAULTS!$B$57),IF(K$8="(av ft^3/min)",(J137*DEFAULTS!$B$57/DEFAULTS!$B$58),0)))</f>
        <v>0</v>
      </c>
      <c r="L137" s="62">
        <f>IF(ISERROR(METHANE!$J151*DEFAULTS!$B$83*(IF('USER INPUTS'!$B$28="Total landfill gas",(1/($D$5/100)),IF('USER INPUTS'!$B$28="Methane",1,IF('USER INPUTS'!$B$28="Carbon dioxide",((1/($D$5/100))-1),(VLOOKUP('USER INPUTS'!$B$28,DEFAULTS!$E$8:$F$69,2,FALSE))/10^6*(1/($D$5/100))))))),0,METHANE!$J151*DEFAULTS!$B$83*(IF('USER INPUTS'!$B$28="Total landfill gas",(1/($D$5/100)),IF('USER INPUTS'!$B$28="Methane",1,IF('USER INPUTS'!$B$28="Carbon dioxide",((1/($D$5/100))-1),(VLOOKUP('USER INPUTS'!$B$28,DEFAULTS!$E$8:$F$69,2,FALSE))/10^6*(1/($D$5/100)))))))</f>
        <v>854.42813710884639</v>
      </c>
      <c r="M137" s="62">
        <f>IF(ISERROR(METHANE!$J151*(IF('USER INPUTS'!$B$28="Total landfill gas",(1/($D$5/100)),IF('USER INPUTS'!$B$28="Methane",1,IF('USER INPUTS'!$B$28="Carbon dioxide",((1/($D$5/100))-1),(VLOOKUP('USER INPUTS'!$B$28,DEFAULTS!$E$8:$F$69,2,FALSE))/10^6*(1/($D$5/100))))))),0,METHANE!$J151*(IF('USER INPUTS'!$B$28="Total landfill gas",(1/($D$5/100)),IF('USER INPUTS'!$B$28="Methane",1,IF('USER INPUTS'!$B$28="Carbon dioxide",((1/($D$5/100))-1),(VLOOKUP('USER INPUTS'!$B$28,DEFAULTS!$E$8:$F$69,2,FALSE))/10^6*(1/($D$5/100)))))))</f>
        <v>466773.39606745337</v>
      </c>
      <c r="N137" s="62">
        <f>IF(N$8="(short tons/year)",(L137*DEFAULTS!$B$55*DEFAULTS!$B$53/DEFAULTS!$B$54),IF(N$8="(ft^3/year)",(M137*DEFAULTS!$B$57),IF(N$8="(av ft^3/min)",(M137*DEFAULTS!$B$57/DEFAULTS!$B$58),0)))</f>
        <v>31.362447644828983</v>
      </c>
      <c r="O137" s="62">
        <f>IF(ISERROR(METHANE!$J151*DEFAULTS!$B$84*(IF('USER INPUTS'!$B$30="Total landfill gas",(1/($D$5/100)),IF('USER INPUTS'!$B$30="Methane",1,IF('USER INPUTS'!$B$30="Carbon dioxide",((1/($D$5/100))-1),(VLOOKUP('USER INPUTS'!$B$30,DEFAULTS!$E$8:$F$69,2,FALSE))/10^6*(1/($D$5/100))))))),0,METHANE!$J151*DEFAULTS!$B$84*(IF('USER INPUTS'!$B$30="Total landfill gas",(1/($D$5/100)),IF('USER INPUTS'!$B$30="Methane",1,IF('USER INPUTS'!$B$30="Carbon dioxide",((1/($D$5/100))-1),(VLOOKUP('USER INPUTS'!$B$30,DEFAULTS!$E$8:$F$69,2,FALSE))/10^6*(1/($D$5/100)))))))</f>
        <v>0</v>
      </c>
      <c r="P137" s="62">
        <f>IF(ISERROR(METHANE!$J151*(IF('USER INPUTS'!$B$30="Total landfill gas",(1/($D$5/100)),IF('USER INPUTS'!$B$30="Methane",1,IF('USER INPUTS'!$B$30="Carbon dioxide",((1/($D$5/100))-1),(VLOOKUP('USER INPUTS'!$B$30,DEFAULTS!$E$8:$F$69,2,FALSE))/10^6*(1/($D$5/100))))))),0,METHANE!$J151*(IF('USER INPUTS'!$B$30="Total landfill gas",(1/($D$5/100)),IF('USER INPUTS'!$B$30="Methane",1,IF('USER INPUTS'!$B$30="Carbon dioxide",((1/($D$5/100))-1),(VLOOKUP('USER INPUTS'!$B$30,DEFAULTS!$E$8:$F$69,2,FALSE))/10^6*(1/($D$5/100)))))))</f>
        <v>0</v>
      </c>
      <c r="Q137" s="162">
        <f>IF(Q$8="(short tons/year)",(O137*DEFAULTS!$B$55*DEFAULTS!$B$53/DEFAULTS!$B$54),IF(Q$8="(ft^3/year)",(P137*DEFAULTS!$B$57),IF(Q$8="(av ft^3/min)",(P137*DEFAULTS!$B$57/DEFAULTS!$B$58),0)))</f>
        <v>0</v>
      </c>
    </row>
    <row r="138" spans="1:17">
      <c r="A138" s="68">
        <f>METHANE!I152</f>
        <v>2147</v>
      </c>
      <c r="B138" s="361">
        <v>0</v>
      </c>
      <c r="C138" s="361">
        <v>0</v>
      </c>
      <c r="D138" s="364">
        <f t="shared" si="2"/>
        <v>12946986</v>
      </c>
      <c r="E138" s="364">
        <f t="shared" si="3"/>
        <v>14241684.6</v>
      </c>
      <c r="F138" s="62">
        <f>IF(ISERROR(METHANE!$J152*DEFAULTS!$B$81*(IF('USER INPUTS'!$B$24="Total landfill gas",(1/($D$5/100)),IF('USER INPUTS'!$B$24="Methane",1,IF('USER INPUTS'!$B$24="Carbon dioxide",((1/($D$5/100))-1),(VLOOKUP('USER INPUTS'!$B$24,DEFAULTS!$E$8:$F$69,2,FALSE))/10^6*(1/($D$5/100))))))),0,METHANE!$J152*DEFAULTS!$B$81*(IF('USER INPUTS'!$B$24="Total landfill gas",(1/($D$5/100)),IF('USER INPUTS'!$B$24="Methane",1,IF('USER INPUTS'!$B$24="Carbon dioxide",((1/($D$5/100))-1),(VLOOKUP('USER INPUTS'!$B$24,DEFAULTS!$E$8:$F$69,2,FALSE))/10^6*(1/($D$5/100)))))))</f>
        <v>0</v>
      </c>
      <c r="G138" s="62">
        <f>IF(ISERROR(METHANE!$J152*(IF('USER INPUTS'!$B$24="Total landfill gas",(1/($D$5/100)),IF('USER INPUTS'!$B$24="Methane",1,IF('USER INPUTS'!$B$24="Carbon dioxide",((1/($D$5/100))-1),(VLOOKUP('USER INPUTS'!$B$24,DEFAULTS!$E$8:$F$69,2,FALSE))/10^6*(1/($D$5/100))))))),0,METHANE!$J152*(IF('USER INPUTS'!$B$24="Total landfill gas",(1/($D$5/100)),IF('USER INPUTS'!$B$24="Methane",1,IF('USER INPUTS'!$B$24="Carbon dioxide",((1/($D$5/100))-1),(VLOOKUP('USER INPUTS'!$B$24,DEFAULTS!$E$8:$F$69,2,FALSE))/10^6*(1/($D$5/100)))))))</f>
        <v>0</v>
      </c>
      <c r="H138" s="62">
        <f>IF(H$8="(short tons/year)",(F138*DEFAULTS!$B$55*DEFAULTS!$B$53/DEFAULTS!$B$54),IF(H$8="(ft^3/year)",(G138*DEFAULTS!$B$57),IF(H$8="(av ft^3/min)",(G138*DEFAULTS!$B$57/DEFAULTS!$B$58),0)))</f>
        <v>0</v>
      </c>
      <c r="I138" s="62">
        <f>IF(ISERROR(METHANE!$J152*DEFAULTS!$B$82*(IF('USER INPUTS'!$B$26="Total landfill gas",(1/($D$5/100)),IF('USER INPUTS'!$B$26="Methane",1,IF('USER INPUTS'!$B$26="Carbon dioxide",((1/($D$5/100))-1),(VLOOKUP('USER INPUTS'!$B$26,DEFAULTS!$E$8:$F$69,2,FALSE))/10^6*(1/($D$5/100))))))),0,METHANE!$J152*DEFAULTS!$B$82*(IF('USER INPUTS'!$B$26="Total landfill gas",(1/($D$5/100)),IF('USER INPUTS'!$B$26="Methane",1,IF('USER INPUTS'!$B$26="Carbon dioxide",((1/($D$5/100))-1),(VLOOKUP('USER INPUTS'!$B$26,DEFAULTS!$E$8:$F$69,2,FALSE))/10^6*(1/($D$5/100)))))))</f>
        <v>0</v>
      </c>
      <c r="J138" s="62">
        <f>IF(ISERROR(METHANE!$J152*(IF('USER INPUTS'!$B$26="Total landfill gas",(1/($D$5/100)),IF('USER INPUTS'!$B$26="Methane",1,IF('USER INPUTS'!$B$26="Carbon dioxide",((1/($D$5/100))-1),(VLOOKUP('USER INPUTS'!$B$26,DEFAULTS!$E$8:$F$69,2,FALSE))/10^6*(1/($D$5/100))))))),0,METHANE!$J152*(IF('USER INPUTS'!$B$26="Total landfill gas",(1/($D$5/100)),IF('USER INPUTS'!$B$26="Methane",1,IF('USER INPUTS'!$B$26="Carbon dioxide",((1/($D$5/100))-1),(VLOOKUP('USER INPUTS'!$B$26,DEFAULTS!$E$8:$F$69,2,FALSE))/10^6*(1/($D$5/100)))))))</f>
        <v>0</v>
      </c>
      <c r="K138" s="62">
        <f>IF(K$8="(short tons/year)",(I138*DEFAULTS!$B$55*DEFAULTS!$B$53/DEFAULTS!$B$54),IF(K$8="(ft^3/year)",(J138*DEFAULTS!$B$57),IF(K$8="(av ft^3/min)",(J138*DEFAULTS!$B$57/DEFAULTS!$B$58),0)))</f>
        <v>0</v>
      </c>
      <c r="L138" s="62">
        <f>IF(ISERROR(METHANE!$J152*DEFAULTS!$B$83*(IF('USER INPUTS'!$B$28="Total landfill gas",(1/($D$5/100)),IF('USER INPUTS'!$B$28="Methane",1,IF('USER INPUTS'!$B$28="Carbon dioxide",((1/($D$5/100))-1),(VLOOKUP('USER INPUTS'!$B$28,DEFAULTS!$E$8:$F$69,2,FALSE))/10^6*(1/($D$5/100))))))),0,METHANE!$J152*DEFAULTS!$B$83*(IF('USER INPUTS'!$B$28="Total landfill gas",(1/($D$5/100)),IF('USER INPUTS'!$B$28="Methane",1,IF('USER INPUTS'!$B$28="Carbon dioxide",((1/($D$5/100))-1),(VLOOKUP('USER INPUTS'!$B$28,DEFAULTS!$E$8:$F$69,2,FALSE))/10^6*(1/($D$5/100)))))))</f>
        <v>820.92553064877279</v>
      </c>
      <c r="M138" s="62">
        <f>IF(ISERROR(METHANE!$J152*(IF('USER INPUTS'!$B$28="Total landfill gas",(1/($D$5/100)),IF('USER INPUTS'!$B$28="Methane",1,IF('USER INPUTS'!$B$28="Carbon dioxide",((1/($D$5/100))-1),(VLOOKUP('USER INPUTS'!$B$28,DEFAULTS!$E$8:$F$69,2,FALSE))/10^6*(1/($D$5/100))))))),0,METHANE!$J152*(IF('USER INPUTS'!$B$28="Total landfill gas",(1/($D$5/100)),IF('USER INPUTS'!$B$28="Methane",1,IF('USER INPUTS'!$B$28="Carbon dioxide",((1/($D$5/100))-1),(VLOOKUP('USER INPUTS'!$B$28,DEFAULTS!$E$8:$F$69,2,FALSE))/10^6*(1/($D$5/100)))))))</f>
        <v>448470.94941887376</v>
      </c>
      <c r="N138" s="62">
        <f>IF(N$8="(short tons/year)",(L138*DEFAULTS!$B$55*DEFAULTS!$B$53/DEFAULTS!$B$54),IF(N$8="(ft^3/year)",(M138*DEFAULTS!$B$57),IF(N$8="(av ft^3/min)",(M138*DEFAULTS!$B$57/DEFAULTS!$B$58),0)))</f>
        <v>30.132708483119345</v>
      </c>
      <c r="O138" s="62">
        <f>IF(ISERROR(METHANE!$J152*DEFAULTS!$B$84*(IF('USER INPUTS'!$B$30="Total landfill gas",(1/($D$5/100)),IF('USER INPUTS'!$B$30="Methane",1,IF('USER INPUTS'!$B$30="Carbon dioxide",((1/($D$5/100))-1),(VLOOKUP('USER INPUTS'!$B$30,DEFAULTS!$E$8:$F$69,2,FALSE))/10^6*(1/($D$5/100))))))),0,METHANE!$J152*DEFAULTS!$B$84*(IF('USER INPUTS'!$B$30="Total landfill gas",(1/($D$5/100)),IF('USER INPUTS'!$B$30="Methane",1,IF('USER INPUTS'!$B$30="Carbon dioxide",((1/($D$5/100))-1),(VLOOKUP('USER INPUTS'!$B$30,DEFAULTS!$E$8:$F$69,2,FALSE))/10^6*(1/($D$5/100)))))))</f>
        <v>0</v>
      </c>
      <c r="P138" s="62">
        <f>IF(ISERROR(METHANE!$J152*(IF('USER INPUTS'!$B$30="Total landfill gas",(1/($D$5/100)),IF('USER INPUTS'!$B$30="Methane",1,IF('USER INPUTS'!$B$30="Carbon dioxide",((1/($D$5/100))-1),(VLOOKUP('USER INPUTS'!$B$30,DEFAULTS!$E$8:$F$69,2,FALSE))/10^6*(1/($D$5/100))))))),0,METHANE!$J152*(IF('USER INPUTS'!$B$30="Total landfill gas",(1/($D$5/100)),IF('USER INPUTS'!$B$30="Methane",1,IF('USER INPUTS'!$B$30="Carbon dioxide",((1/($D$5/100))-1),(VLOOKUP('USER INPUTS'!$B$30,DEFAULTS!$E$8:$F$69,2,FALSE))/10^6*(1/($D$5/100)))))))</f>
        <v>0</v>
      </c>
      <c r="Q138" s="162">
        <f>IF(Q$8="(short tons/year)",(O138*DEFAULTS!$B$55*DEFAULTS!$B$53/DEFAULTS!$B$54),IF(Q$8="(ft^3/year)",(P138*DEFAULTS!$B$57),IF(Q$8="(av ft^3/min)",(P138*DEFAULTS!$B$57/DEFAULTS!$B$58),0)))</f>
        <v>0</v>
      </c>
    </row>
    <row r="139" spans="1:17">
      <c r="A139" s="68">
        <f>METHANE!I153</f>
        <v>2148</v>
      </c>
      <c r="B139" s="361">
        <v>0</v>
      </c>
      <c r="C139" s="361">
        <v>0</v>
      </c>
      <c r="D139" s="364">
        <f t="shared" si="2"/>
        <v>12946986</v>
      </c>
      <c r="E139" s="364">
        <f t="shared" si="3"/>
        <v>14241684.6</v>
      </c>
      <c r="F139" s="62">
        <f>IF(ISERROR(METHANE!$J153*DEFAULTS!$B$81*(IF('USER INPUTS'!$B$24="Total landfill gas",(1/($D$5/100)),IF('USER INPUTS'!$B$24="Methane",1,IF('USER INPUTS'!$B$24="Carbon dioxide",((1/($D$5/100))-1),(VLOOKUP('USER INPUTS'!$B$24,DEFAULTS!$E$8:$F$69,2,FALSE))/10^6*(1/($D$5/100))))))),0,METHANE!$J153*DEFAULTS!$B$81*(IF('USER INPUTS'!$B$24="Total landfill gas",(1/($D$5/100)),IF('USER INPUTS'!$B$24="Methane",1,IF('USER INPUTS'!$B$24="Carbon dioxide",((1/($D$5/100))-1),(VLOOKUP('USER INPUTS'!$B$24,DEFAULTS!$E$8:$F$69,2,FALSE))/10^6*(1/($D$5/100)))))))</f>
        <v>0</v>
      </c>
      <c r="G139" s="62">
        <f>IF(ISERROR(METHANE!$J153*(IF('USER INPUTS'!$B$24="Total landfill gas",(1/($D$5/100)),IF('USER INPUTS'!$B$24="Methane",1,IF('USER INPUTS'!$B$24="Carbon dioxide",((1/($D$5/100))-1),(VLOOKUP('USER INPUTS'!$B$24,DEFAULTS!$E$8:$F$69,2,FALSE))/10^6*(1/($D$5/100))))))),0,METHANE!$J153*(IF('USER INPUTS'!$B$24="Total landfill gas",(1/($D$5/100)),IF('USER INPUTS'!$B$24="Methane",1,IF('USER INPUTS'!$B$24="Carbon dioxide",((1/($D$5/100))-1),(VLOOKUP('USER INPUTS'!$B$24,DEFAULTS!$E$8:$F$69,2,FALSE))/10^6*(1/($D$5/100)))))))</f>
        <v>0</v>
      </c>
      <c r="H139" s="62">
        <f>IF(H$8="(short tons/year)",(F139*DEFAULTS!$B$55*DEFAULTS!$B$53/DEFAULTS!$B$54),IF(H$8="(ft^3/year)",(G139*DEFAULTS!$B$57),IF(H$8="(av ft^3/min)",(G139*DEFAULTS!$B$57/DEFAULTS!$B$58),0)))</f>
        <v>0</v>
      </c>
      <c r="I139" s="62">
        <f>IF(ISERROR(METHANE!$J153*DEFAULTS!$B$82*(IF('USER INPUTS'!$B$26="Total landfill gas",(1/($D$5/100)),IF('USER INPUTS'!$B$26="Methane",1,IF('USER INPUTS'!$B$26="Carbon dioxide",((1/($D$5/100))-1),(VLOOKUP('USER INPUTS'!$B$26,DEFAULTS!$E$8:$F$69,2,FALSE))/10^6*(1/($D$5/100))))))),0,METHANE!$J153*DEFAULTS!$B$82*(IF('USER INPUTS'!$B$26="Total landfill gas",(1/($D$5/100)),IF('USER INPUTS'!$B$26="Methane",1,IF('USER INPUTS'!$B$26="Carbon dioxide",((1/($D$5/100))-1),(VLOOKUP('USER INPUTS'!$B$26,DEFAULTS!$E$8:$F$69,2,FALSE))/10^6*(1/($D$5/100)))))))</f>
        <v>0</v>
      </c>
      <c r="J139" s="62">
        <f>IF(ISERROR(METHANE!$J153*(IF('USER INPUTS'!$B$26="Total landfill gas",(1/($D$5/100)),IF('USER INPUTS'!$B$26="Methane",1,IF('USER INPUTS'!$B$26="Carbon dioxide",((1/($D$5/100))-1),(VLOOKUP('USER INPUTS'!$B$26,DEFAULTS!$E$8:$F$69,2,FALSE))/10^6*(1/($D$5/100))))))),0,METHANE!$J153*(IF('USER INPUTS'!$B$26="Total landfill gas",(1/($D$5/100)),IF('USER INPUTS'!$B$26="Methane",1,IF('USER INPUTS'!$B$26="Carbon dioxide",((1/($D$5/100))-1),(VLOOKUP('USER INPUTS'!$B$26,DEFAULTS!$E$8:$F$69,2,FALSE))/10^6*(1/($D$5/100)))))))</f>
        <v>0</v>
      </c>
      <c r="K139" s="62">
        <f>IF(K$8="(short tons/year)",(I139*DEFAULTS!$B$55*DEFAULTS!$B$53/DEFAULTS!$B$54),IF(K$8="(ft^3/year)",(J139*DEFAULTS!$B$57),IF(K$8="(av ft^3/min)",(J139*DEFAULTS!$B$57/DEFAULTS!$B$58),0)))</f>
        <v>0</v>
      </c>
      <c r="L139" s="62">
        <f>IF(ISERROR(METHANE!$J153*DEFAULTS!$B$83*(IF('USER INPUTS'!$B$28="Total landfill gas",(1/($D$5/100)),IF('USER INPUTS'!$B$28="Methane",1,IF('USER INPUTS'!$B$28="Carbon dioxide",((1/($D$5/100))-1),(VLOOKUP('USER INPUTS'!$B$28,DEFAULTS!$E$8:$F$69,2,FALSE))/10^6*(1/($D$5/100))))))),0,METHANE!$J153*DEFAULTS!$B$83*(IF('USER INPUTS'!$B$28="Total landfill gas",(1/($D$5/100)),IF('USER INPUTS'!$B$28="Methane",1,IF('USER INPUTS'!$B$28="Carbon dioxide",((1/($D$5/100))-1),(VLOOKUP('USER INPUTS'!$B$28,DEFAULTS!$E$8:$F$69,2,FALSE))/10^6*(1/($D$5/100)))))))</f>
        <v>788.73658017785795</v>
      </c>
      <c r="M139" s="62">
        <f>IF(ISERROR(METHANE!$J153*(IF('USER INPUTS'!$B$28="Total landfill gas",(1/($D$5/100)),IF('USER INPUTS'!$B$28="Methane",1,IF('USER INPUTS'!$B$28="Carbon dioxide",((1/($D$5/100))-1),(VLOOKUP('USER INPUTS'!$B$28,DEFAULTS!$E$8:$F$69,2,FALSE))/10^6*(1/($D$5/100))))))),0,METHANE!$J153*(IF('USER INPUTS'!$B$28="Total landfill gas",(1/($D$5/100)),IF('USER INPUTS'!$B$28="Methane",1,IF('USER INPUTS'!$B$28="Carbon dioxide",((1/($D$5/100))-1),(VLOOKUP('USER INPUTS'!$B$28,DEFAULTS!$E$8:$F$69,2,FALSE))/10^6*(1/($D$5/100)))))))</f>
        <v>430886.15196826973</v>
      </c>
      <c r="N139" s="62">
        <f>IF(N$8="(short tons/year)",(L139*DEFAULTS!$B$55*DEFAULTS!$B$53/DEFAULTS!$B$54),IF(N$8="(ft^3/year)",(M139*DEFAULTS!$B$57),IF(N$8="(av ft^3/min)",(M139*DEFAULTS!$B$57/DEFAULTS!$B$58),0)))</f>
        <v>28.951188083636687</v>
      </c>
      <c r="O139" s="62">
        <f>IF(ISERROR(METHANE!$J153*DEFAULTS!$B$84*(IF('USER INPUTS'!$B$30="Total landfill gas",(1/($D$5/100)),IF('USER INPUTS'!$B$30="Methane",1,IF('USER INPUTS'!$B$30="Carbon dioxide",((1/($D$5/100))-1),(VLOOKUP('USER INPUTS'!$B$30,DEFAULTS!$E$8:$F$69,2,FALSE))/10^6*(1/($D$5/100))))))),0,METHANE!$J153*DEFAULTS!$B$84*(IF('USER INPUTS'!$B$30="Total landfill gas",(1/($D$5/100)),IF('USER INPUTS'!$B$30="Methane",1,IF('USER INPUTS'!$B$30="Carbon dioxide",((1/($D$5/100))-1),(VLOOKUP('USER INPUTS'!$B$30,DEFAULTS!$E$8:$F$69,2,FALSE))/10^6*(1/($D$5/100)))))))</f>
        <v>0</v>
      </c>
      <c r="P139" s="62">
        <f>IF(ISERROR(METHANE!$J153*(IF('USER INPUTS'!$B$30="Total landfill gas",(1/($D$5/100)),IF('USER INPUTS'!$B$30="Methane",1,IF('USER INPUTS'!$B$30="Carbon dioxide",((1/($D$5/100))-1),(VLOOKUP('USER INPUTS'!$B$30,DEFAULTS!$E$8:$F$69,2,FALSE))/10^6*(1/($D$5/100))))))),0,METHANE!$J153*(IF('USER INPUTS'!$B$30="Total landfill gas",(1/($D$5/100)),IF('USER INPUTS'!$B$30="Methane",1,IF('USER INPUTS'!$B$30="Carbon dioxide",((1/($D$5/100))-1),(VLOOKUP('USER INPUTS'!$B$30,DEFAULTS!$E$8:$F$69,2,FALSE))/10^6*(1/($D$5/100)))))))</f>
        <v>0</v>
      </c>
      <c r="Q139" s="162">
        <f>IF(Q$8="(short tons/year)",(O139*DEFAULTS!$B$55*DEFAULTS!$B$53/DEFAULTS!$B$54),IF(Q$8="(ft^3/year)",(P139*DEFAULTS!$B$57),IF(Q$8="(av ft^3/min)",(P139*DEFAULTS!$B$57/DEFAULTS!$B$58),0)))</f>
        <v>0</v>
      </c>
    </row>
    <row r="140" spans="1:17">
      <c r="A140" s="68">
        <f>METHANE!I154</f>
        <v>2149</v>
      </c>
      <c r="B140" s="361">
        <v>0</v>
      </c>
      <c r="C140" s="361">
        <v>0</v>
      </c>
      <c r="D140" s="364">
        <f t="shared" si="2"/>
        <v>12946986</v>
      </c>
      <c r="E140" s="364">
        <f t="shared" si="3"/>
        <v>14241684.6</v>
      </c>
      <c r="F140" s="62">
        <f>IF(ISERROR(METHANE!$J154*DEFAULTS!$B$81*(IF('USER INPUTS'!$B$24="Total landfill gas",(1/($D$5/100)),IF('USER INPUTS'!$B$24="Methane",1,IF('USER INPUTS'!$B$24="Carbon dioxide",((1/($D$5/100))-1),(VLOOKUP('USER INPUTS'!$B$24,DEFAULTS!$E$8:$F$69,2,FALSE))/10^6*(1/($D$5/100))))))),0,METHANE!$J154*DEFAULTS!$B$81*(IF('USER INPUTS'!$B$24="Total landfill gas",(1/($D$5/100)),IF('USER INPUTS'!$B$24="Methane",1,IF('USER INPUTS'!$B$24="Carbon dioxide",((1/($D$5/100))-1),(VLOOKUP('USER INPUTS'!$B$24,DEFAULTS!$E$8:$F$69,2,FALSE))/10^6*(1/($D$5/100)))))))</f>
        <v>0</v>
      </c>
      <c r="G140" s="62">
        <f>IF(ISERROR(METHANE!$J154*(IF('USER INPUTS'!$B$24="Total landfill gas",(1/($D$5/100)),IF('USER INPUTS'!$B$24="Methane",1,IF('USER INPUTS'!$B$24="Carbon dioxide",((1/($D$5/100))-1),(VLOOKUP('USER INPUTS'!$B$24,DEFAULTS!$E$8:$F$69,2,FALSE))/10^6*(1/($D$5/100))))))),0,METHANE!$J154*(IF('USER INPUTS'!$B$24="Total landfill gas",(1/($D$5/100)),IF('USER INPUTS'!$B$24="Methane",1,IF('USER INPUTS'!$B$24="Carbon dioxide",((1/($D$5/100))-1),(VLOOKUP('USER INPUTS'!$B$24,DEFAULTS!$E$8:$F$69,2,FALSE))/10^6*(1/($D$5/100)))))))</f>
        <v>0</v>
      </c>
      <c r="H140" s="62">
        <f>IF(H$8="(short tons/year)",(F140*DEFAULTS!$B$55*DEFAULTS!$B$53/DEFAULTS!$B$54),IF(H$8="(ft^3/year)",(G140*DEFAULTS!$B$57),IF(H$8="(av ft^3/min)",(G140*DEFAULTS!$B$57/DEFAULTS!$B$58),0)))</f>
        <v>0</v>
      </c>
      <c r="I140" s="62">
        <f>IF(ISERROR(METHANE!$J154*DEFAULTS!$B$82*(IF('USER INPUTS'!$B$26="Total landfill gas",(1/($D$5/100)),IF('USER INPUTS'!$B$26="Methane",1,IF('USER INPUTS'!$B$26="Carbon dioxide",((1/($D$5/100))-1),(VLOOKUP('USER INPUTS'!$B$26,DEFAULTS!$E$8:$F$69,2,FALSE))/10^6*(1/($D$5/100))))))),0,METHANE!$J154*DEFAULTS!$B$82*(IF('USER INPUTS'!$B$26="Total landfill gas",(1/($D$5/100)),IF('USER INPUTS'!$B$26="Methane",1,IF('USER INPUTS'!$B$26="Carbon dioxide",((1/($D$5/100))-1),(VLOOKUP('USER INPUTS'!$B$26,DEFAULTS!$E$8:$F$69,2,FALSE))/10^6*(1/($D$5/100)))))))</f>
        <v>0</v>
      </c>
      <c r="J140" s="62">
        <f>IF(ISERROR(METHANE!$J154*(IF('USER INPUTS'!$B$26="Total landfill gas",(1/($D$5/100)),IF('USER INPUTS'!$B$26="Methane",1,IF('USER INPUTS'!$B$26="Carbon dioxide",((1/($D$5/100))-1),(VLOOKUP('USER INPUTS'!$B$26,DEFAULTS!$E$8:$F$69,2,FALSE))/10^6*(1/($D$5/100))))))),0,METHANE!$J154*(IF('USER INPUTS'!$B$26="Total landfill gas",(1/($D$5/100)),IF('USER INPUTS'!$B$26="Methane",1,IF('USER INPUTS'!$B$26="Carbon dioxide",((1/($D$5/100))-1),(VLOOKUP('USER INPUTS'!$B$26,DEFAULTS!$E$8:$F$69,2,FALSE))/10^6*(1/($D$5/100)))))))</f>
        <v>0</v>
      </c>
      <c r="K140" s="62">
        <f>IF(K$8="(short tons/year)",(I140*DEFAULTS!$B$55*DEFAULTS!$B$53/DEFAULTS!$B$54),IF(K$8="(ft^3/year)",(J140*DEFAULTS!$B$57),IF(K$8="(av ft^3/min)",(J140*DEFAULTS!$B$57/DEFAULTS!$B$58),0)))</f>
        <v>0</v>
      </c>
      <c r="L140" s="62">
        <f>IF(ISERROR(METHANE!$J154*DEFAULTS!$B$83*(IF('USER INPUTS'!$B$28="Total landfill gas",(1/($D$5/100)),IF('USER INPUTS'!$B$28="Methane",1,IF('USER INPUTS'!$B$28="Carbon dioxide",((1/($D$5/100))-1),(VLOOKUP('USER INPUTS'!$B$28,DEFAULTS!$E$8:$F$69,2,FALSE))/10^6*(1/($D$5/100))))))),0,METHANE!$J154*DEFAULTS!$B$83*(IF('USER INPUTS'!$B$28="Total landfill gas",(1/($D$5/100)),IF('USER INPUTS'!$B$28="Methane",1,IF('USER INPUTS'!$B$28="Carbon dioxide",((1/($D$5/100))-1),(VLOOKUP('USER INPUTS'!$B$28,DEFAULTS!$E$8:$F$69,2,FALSE))/10^6*(1/($D$5/100)))))))</f>
        <v>757.80977650800548</v>
      </c>
      <c r="M140" s="62">
        <f>IF(ISERROR(METHANE!$J154*(IF('USER INPUTS'!$B$28="Total landfill gas",(1/($D$5/100)),IF('USER INPUTS'!$B$28="Methane",1,IF('USER INPUTS'!$B$28="Carbon dioxide",((1/($D$5/100))-1),(VLOOKUP('USER INPUTS'!$B$28,DEFAULTS!$E$8:$F$69,2,FALSE))/10^6*(1/($D$5/100))))))),0,METHANE!$J154*(IF('USER INPUTS'!$B$28="Total landfill gas",(1/($D$5/100)),IF('USER INPUTS'!$B$28="Methane",1,IF('USER INPUTS'!$B$28="Carbon dioxide",((1/($D$5/100))-1),(VLOOKUP('USER INPUTS'!$B$28,DEFAULTS!$E$8:$F$69,2,FALSE))/10^6*(1/($D$5/100)))))))</f>
        <v>413990.86428809661</v>
      </c>
      <c r="N140" s="62">
        <f>IF(N$8="(short tons/year)",(L140*DEFAULTS!$B$55*DEFAULTS!$B$53/DEFAULTS!$B$54),IF(N$8="(ft^3/year)",(M140*DEFAULTS!$B$57),IF(N$8="(av ft^3/min)",(M140*DEFAULTS!$B$57/DEFAULTS!$B$58),0)))</f>
        <v>27.81599576167072</v>
      </c>
      <c r="O140" s="62">
        <f>IF(ISERROR(METHANE!$J154*DEFAULTS!$B$84*(IF('USER INPUTS'!$B$30="Total landfill gas",(1/($D$5/100)),IF('USER INPUTS'!$B$30="Methane",1,IF('USER INPUTS'!$B$30="Carbon dioxide",((1/($D$5/100))-1),(VLOOKUP('USER INPUTS'!$B$30,DEFAULTS!$E$8:$F$69,2,FALSE))/10^6*(1/($D$5/100))))))),0,METHANE!$J154*DEFAULTS!$B$84*(IF('USER INPUTS'!$B$30="Total landfill gas",(1/($D$5/100)),IF('USER INPUTS'!$B$30="Methane",1,IF('USER INPUTS'!$B$30="Carbon dioxide",((1/($D$5/100))-1),(VLOOKUP('USER INPUTS'!$B$30,DEFAULTS!$E$8:$F$69,2,FALSE))/10^6*(1/($D$5/100)))))))</f>
        <v>0</v>
      </c>
      <c r="P140" s="62">
        <f>IF(ISERROR(METHANE!$J154*(IF('USER INPUTS'!$B$30="Total landfill gas",(1/($D$5/100)),IF('USER INPUTS'!$B$30="Methane",1,IF('USER INPUTS'!$B$30="Carbon dioxide",((1/($D$5/100))-1),(VLOOKUP('USER INPUTS'!$B$30,DEFAULTS!$E$8:$F$69,2,FALSE))/10^6*(1/($D$5/100))))))),0,METHANE!$J154*(IF('USER INPUTS'!$B$30="Total landfill gas",(1/($D$5/100)),IF('USER INPUTS'!$B$30="Methane",1,IF('USER INPUTS'!$B$30="Carbon dioxide",((1/($D$5/100))-1),(VLOOKUP('USER INPUTS'!$B$30,DEFAULTS!$E$8:$F$69,2,FALSE))/10^6*(1/($D$5/100)))))))</f>
        <v>0</v>
      </c>
      <c r="Q140" s="162">
        <f>IF(Q$8="(short tons/year)",(O140*DEFAULTS!$B$55*DEFAULTS!$B$53/DEFAULTS!$B$54),IF(Q$8="(ft^3/year)",(P140*DEFAULTS!$B$57),IF(Q$8="(av ft^3/min)",(P140*DEFAULTS!$B$57/DEFAULTS!$B$58),0)))</f>
        <v>0</v>
      </c>
    </row>
    <row r="141" spans="1:17">
      <c r="A141" s="68">
        <f>METHANE!I155</f>
        <v>2150</v>
      </c>
      <c r="B141" s="361">
        <v>0</v>
      </c>
      <c r="C141" s="361">
        <v>0</v>
      </c>
      <c r="D141" s="364">
        <f t="shared" si="2"/>
        <v>12946986</v>
      </c>
      <c r="E141" s="364">
        <f t="shared" si="3"/>
        <v>14241684.6</v>
      </c>
      <c r="F141" s="62">
        <f>IF(ISERROR(METHANE!$J155*DEFAULTS!$B$81*(IF('USER INPUTS'!$B$24="Total landfill gas",(1/($D$5/100)),IF('USER INPUTS'!$B$24="Methane",1,IF('USER INPUTS'!$B$24="Carbon dioxide",((1/($D$5/100))-1),(VLOOKUP('USER INPUTS'!$B$24,DEFAULTS!$E$8:$F$69,2,FALSE))/10^6*(1/($D$5/100))))))),0,METHANE!$J155*DEFAULTS!$B$81*(IF('USER INPUTS'!$B$24="Total landfill gas",(1/($D$5/100)),IF('USER INPUTS'!$B$24="Methane",1,IF('USER INPUTS'!$B$24="Carbon dioxide",((1/($D$5/100))-1),(VLOOKUP('USER INPUTS'!$B$24,DEFAULTS!$E$8:$F$69,2,FALSE))/10^6*(1/($D$5/100)))))))</f>
        <v>0</v>
      </c>
      <c r="G141" s="62">
        <f>IF(ISERROR(METHANE!$J155*(IF('USER INPUTS'!$B$24="Total landfill gas",(1/($D$5/100)),IF('USER INPUTS'!$B$24="Methane",1,IF('USER INPUTS'!$B$24="Carbon dioxide",((1/($D$5/100))-1),(VLOOKUP('USER INPUTS'!$B$24,DEFAULTS!$E$8:$F$69,2,FALSE))/10^6*(1/($D$5/100))))))),0,METHANE!$J155*(IF('USER INPUTS'!$B$24="Total landfill gas",(1/($D$5/100)),IF('USER INPUTS'!$B$24="Methane",1,IF('USER INPUTS'!$B$24="Carbon dioxide",((1/($D$5/100))-1),(VLOOKUP('USER INPUTS'!$B$24,DEFAULTS!$E$8:$F$69,2,FALSE))/10^6*(1/($D$5/100)))))))</f>
        <v>0</v>
      </c>
      <c r="H141" s="62">
        <f>IF(H$8="(short tons/year)",(F141*DEFAULTS!$B$55*DEFAULTS!$B$53/DEFAULTS!$B$54),IF(H$8="(ft^3/year)",(G141*DEFAULTS!$B$57),IF(H$8="(av ft^3/min)",(G141*DEFAULTS!$B$57/DEFAULTS!$B$58),0)))</f>
        <v>0</v>
      </c>
      <c r="I141" s="62">
        <f>IF(ISERROR(METHANE!$J155*DEFAULTS!$B$82*(IF('USER INPUTS'!$B$26="Total landfill gas",(1/($D$5/100)),IF('USER INPUTS'!$B$26="Methane",1,IF('USER INPUTS'!$B$26="Carbon dioxide",((1/($D$5/100))-1),(VLOOKUP('USER INPUTS'!$B$26,DEFAULTS!$E$8:$F$69,2,FALSE))/10^6*(1/($D$5/100))))))),0,METHANE!$J155*DEFAULTS!$B$82*(IF('USER INPUTS'!$B$26="Total landfill gas",(1/($D$5/100)),IF('USER INPUTS'!$B$26="Methane",1,IF('USER INPUTS'!$B$26="Carbon dioxide",((1/($D$5/100))-1),(VLOOKUP('USER INPUTS'!$B$26,DEFAULTS!$E$8:$F$69,2,FALSE))/10^6*(1/($D$5/100)))))))</f>
        <v>0</v>
      </c>
      <c r="J141" s="62">
        <f>IF(ISERROR(METHANE!$J155*(IF('USER INPUTS'!$B$26="Total landfill gas",(1/($D$5/100)),IF('USER INPUTS'!$B$26="Methane",1,IF('USER INPUTS'!$B$26="Carbon dioxide",((1/($D$5/100))-1),(VLOOKUP('USER INPUTS'!$B$26,DEFAULTS!$E$8:$F$69,2,FALSE))/10^6*(1/($D$5/100))))))),0,METHANE!$J155*(IF('USER INPUTS'!$B$26="Total landfill gas",(1/($D$5/100)),IF('USER INPUTS'!$B$26="Methane",1,IF('USER INPUTS'!$B$26="Carbon dioxide",((1/($D$5/100))-1),(VLOOKUP('USER INPUTS'!$B$26,DEFAULTS!$E$8:$F$69,2,FALSE))/10^6*(1/($D$5/100)))))))</f>
        <v>0</v>
      </c>
      <c r="K141" s="62">
        <f>IF(K$8="(short tons/year)",(I141*DEFAULTS!$B$55*DEFAULTS!$B$53/DEFAULTS!$B$54),IF(K$8="(ft^3/year)",(J141*DEFAULTS!$B$57),IF(K$8="(av ft^3/min)",(J141*DEFAULTS!$B$57/DEFAULTS!$B$58),0)))</f>
        <v>0</v>
      </c>
      <c r="L141" s="62">
        <f>IF(ISERROR(METHANE!$J155*DEFAULTS!$B$83*(IF('USER INPUTS'!$B$28="Total landfill gas",(1/($D$5/100)),IF('USER INPUTS'!$B$28="Methane",1,IF('USER INPUTS'!$B$28="Carbon dioxide",((1/($D$5/100))-1),(VLOOKUP('USER INPUTS'!$B$28,DEFAULTS!$E$8:$F$69,2,FALSE))/10^6*(1/($D$5/100))))))),0,METHANE!$J155*DEFAULTS!$B$83*(IF('USER INPUTS'!$B$28="Total landfill gas",(1/($D$5/100)),IF('USER INPUTS'!$B$28="Methane",1,IF('USER INPUTS'!$B$28="Carbon dioxide",((1/($D$5/100))-1),(VLOOKUP('USER INPUTS'!$B$28,DEFAULTS!$E$8:$F$69,2,FALSE))/10^6*(1/($D$5/100)))))))</f>
        <v>728.09563015527397</v>
      </c>
      <c r="M141" s="62">
        <f>IF(ISERROR(METHANE!$J155*(IF('USER INPUTS'!$B$28="Total landfill gas",(1/($D$5/100)),IF('USER INPUTS'!$B$28="Methane",1,IF('USER INPUTS'!$B$28="Carbon dioxide",((1/($D$5/100))-1),(VLOOKUP('USER INPUTS'!$B$28,DEFAULTS!$E$8:$F$69,2,FALSE))/10^6*(1/($D$5/100))))))),0,METHANE!$J155*(IF('USER INPUTS'!$B$28="Total landfill gas",(1/($D$5/100)),IF('USER INPUTS'!$B$28="Methane",1,IF('USER INPUTS'!$B$28="Carbon dioxide",((1/($D$5/100))-1),(VLOOKUP('USER INPUTS'!$B$28,DEFAULTS!$E$8:$F$69,2,FALSE))/10^6*(1/($D$5/100)))))))</f>
        <v>397758.0503135458</v>
      </c>
      <c r="N141" s="62">
        <f>IF(N$8="(short tons/year)",(L141*DEFAULTS!$B$55*DEFAULTS!$B$53/DEFAULTS!$B$54),IF(N$8="(ft^3/year)",(M141*DEFAULTS!$B$57),IF(N$8="(av ft^3/min)",(M141*DEFAULTS!$B$57/DEFAULTS!$B$58),0)))</f>
        <v>26.725314967319004</v>
      </c>
      <c r="O141" s="62">
        <f>IF(ISERROR(METHANE!$J155*DEFAULTS!$B$84*(IF('USER INPUTS'!$B$30="Total landfill gas",(1/($D$5/100)),IF('USER INPUTS'!$B$30="Methane",1,IF('USER INPUTS'!$B$30="Carbon dioxide",((1/($D$5/100))-1),(VLOOKUP('USER INPUTS'!$B$30,DEFAULTS!$E$8:$F$69,2,FALSE))/10^6*(1/($D$5/100))))))),0,METHANE!$J155*DEFAULTS!$B$84*(IF('USER INPUTS'!$B$30="Total landfill gas",(1/($D$5/100)),IF('USER INPUTS'!$B$30="Methane",1,IF('USER INPUTS'!$B$30="Carbon dioxide",((1/($D$5/100))-1),(VLOOKUP('USER INPUTS'!$B$30,DEFAULTS!$E$8:$F$69,2,FALSE))/10^6*(1/($D$5/100)))))))</f>
        <v>0</v>
      </c>
      <c r="P141" s="62">
        <f>IF(ISERROR(METHANE!$J155*(IF('USER INPUTS'!$B$30="Total landfill gas",(1/($D$5/100)),IF('USER INPUTS'!$B$30="Methane",1,IF('USER INPUTS'!$B$30="Carbon dioxide",((1/($D$5/100))-1),(VLOOKUP('USER INPUTS'!$B$30,DEFAULTS!$E$8:$F$69,2,FALSE))/10^6*(1/($D$5/100))))))),0,METHANE!$J155*(IF('USER INPUTS'!$B$30="Total landfill gas",(1/($D$5/100)),IF('USER INPUTS'!$B$30="Methane",1,IF('USER INPUTS'!$B$30="Carbon dioxide",((1/($D$5/100))-1),(VLOOKUP('USER INPUTS'!$B$30,DEFAULTS!$E$8:$F$69,2,FALSE))/10^6*(1/($D$5/100)))))))</f>
        <v>0</v>
      </c>
      <c r="Q141" s="162">
        <f>IF(Q$8="(short tons/year)",(O141*DEFAULTS!$B$55*DEFAULTS!$B$53/DEFAULTS!$B$54),IF(Q$8="(ft^3/year)",(P141*DEFAULTS!$B$57),IF(Q$8="(av ft^3/min)",(P141*DEFAULTS!$B$57/DEFAULTS!$B$58),0)))</f>
        <v>0</v>
      </c>
    </row>
    <row r="142" spans="1:17">
      <c r="A142" s="68">
        <f>METHANE!I156</f>
        <v>2151</v>
      </c>
      <c r="B142" s="361">
        <v>0</v>
      </c>
      <c r="C142" s="361">
        <v>0</v>
      </c>
      <c r="D142" s="364">
        <f t="shared" si="2"/>
        <v>12946986</v>
      </c>
      <c r="E142" s="364">
        <f t="shared" si="3"/>
        <v>14241684.6</v>
      </c>
      <c r="F142" s="62">
        <f>IF(ISERROR(METHANE!$J156*DEFAULTS!$B$81*(IF('USER INPUTS'!$B$24="Total landfill gas",(1/($D$5/100)),IF('USER INPUTS'!$B$24="Methane",1,IF('USER INPUTS'!$B$24="Carbon dioxide",((1/($D$5/100))-1),(VLOOKUP('USER INPUTS'!$B$24,DEFAULTS!$E$8:$F$69,2,FALSE))/10^6*(1/($D$5/100))))))),0,METHANE!$J156*DEFAULTS!$B$81*(IF('USER INPUTS'!$B$24="Total landfill gas",(1/($D$5/100)),IF('USER INPUTS'!$B$24="Methane",1,IF('USER INPUTS'!$B$24="Carbon dioxide",((1/($D$5/100))-1),(VLOOKUP('USER INPUTS'!$B$24,DEFAULTS!$E$8:$F$69,2,FALSE))/10^6*(1/($D$5/100)))))))</f>
        <v>0</v>
      </c>
      <c r="G142" s="62">
        <f>IF(ISERROR(METHANE!$J156*(IF('USER INPUTS'!$B$24="Total landfill gas",(1/($D$5/100)),IF('USER INPUTS'!$B$24="Methane",1,IF('USER INPUTS'!$B$24="Carbon dioxide",((1/($D$5/100))-1),(VLOOKUP('USER INPUTS'!$B$24,DEFAULTS!$E$8:$F$69,2,FALSE))/10^6*(1/($D$5/100))))))),0,METHANE!$J156*(IF('USER INPUTS'!$B$24="Total landfill gas",(1/($D$5/100)),IF('USER INPUTS'!$B$24="Methane",1,IF('USER INPUTS'!$B$24="Carbon dioxide",((1/($D$5/100))-1),(VLOOKUP('USER INPUTS'!$B$24,DEFAULTS!$E$8:$F$69,2,FALSE))/10^6*(1/($D$5/100)))))))</f>
        <v>0</v>
      </c>
      <c r="H142" s="62">
        <f>IF(H$8="(short tons/year)",(F142*DEFAULTS!$B$55*DEFAULTS!$B$53/DEFAULTS!$B$54),IF(H$8="(ft^3/year)",(G142*DEFAULTS!$B$57),IF(H$8="(av ft^3/min)",(G142*DEFAULTS!$B$57/DEFAULTS!$B$58),0)))</f>
        <v>0</v>
      </c>
      <c r="I142" s="62">
        <f>IF(ISERROR(METHANE!$J156*DEFAULTS!$B$82*(IF('USER INPUTS'!$B$26="Total landfill gas",(1/($D$5/100)),IF('USER INPUTS'!$B$26="Methane",1,IF('USER INPUTS'!$B$26="Carbon dioxide",((1/($D$5/100))-1),(VLOOKUP('USER INPUTS'!$B$26,DEFAULTS!$E$8:$F$69,2,FALSE))/10^6*(1/($D$5/100))))))),0,METHANE!$J156*DEFAULTS!$B$82*(IF('USER INPUTS'!$B$26="Total landfill gas",(1/($D$5/100)),IF('USER INPUTS'!$B$26="Methane",1,IF('USER INPUTS'!$B$26="Carbon dioxide",((1/($D$5/100))-1),(VLOOKUP('USER INPUTS'!$B$26,DEFAULTS!$E$8:$F$69,2,FALSE))/10^6*(1/($D$5/100)))))))</f>
        <v>0</v>
      </c>
      <c r="J142" s="62">
        <f>IF(ISERROR(METHANE!$J156*(IF('USER INPUTS'!$B$26="Total landfill gas",(1/($D$5/100)),IF('USER INPUTS'!$B$26="Methane",1,IF('USER INPUTS'!$B$26="Carbon dioxide",((1/($D$5/100))-1),(VLOOKUP('USER INPUTS'!$B$26,DEFAULTS!$E$8:$F$69,2,FALSE))/10^6*(1/($D$5/100))))))),0,METHANE!$J156*(IF('USER INPUTS'!$B$26="Total landfill gas",(1/($D$5/100)),IF('USER INPUTS'!$B$26="Methane",1,IF('USER INPUTS'!$B$26="Carbon dioxide",((1/($D$5/100))-1),(VLOOKUP('USER INPUTS'!$B$26,DEFAULTS!$E$8:$F$69,2,FALSE))/10^6*(1/($D$5/100)))))))</f>
        <v>0</v>
      </c>
      <c r="K142" s="62">
        <f>IF(K$8="(short tons/year)",(I142*DEFAULTS!$B$55*DEFAULTS!$B$53/DEFAULTS!$B$54),IF(K$8="(ft^3/year)",(J142*DEFAULTS!$B$57),IF(K$8="(av ft^3/min)",(J142*DEFAULTS!$B$57/DEFAULTS!$B$58),0)))</f>
        <v>0</v>
      </c>
      <c r="L142" s="62">
        <f>IF(ISERROR(METHANE!$J156*DEFAULTS!$B$83*(IF('USER INPUTS'!$B$28="Total landfill gas",(1/($D$5/100)),IF('USER INPUTS'!$B$28="Methane",1,IF('USER INPUTS'!$B$28="Carbon dioxide",((1/($D$5/100))-1),(VLOOKUP('USER INPUTS'!$B$28,DEFAULTS!$E$8:$F$69,2,FALSE))/10^6*(1/($D$5/100))))))),0,METHANE!$J156*DEFAULTS!$B$83*(IF('USER INPUTS'!$B$28="Total landfill gas",(1/($D$5/100)),IF('USER INPUTS'!$B$28="Methane",1,IF('USER INPUTS'!$B$28="Carbon dioxide",((1/($D$5/100))-1),(VLOOKUP('USER INPUTS'!$B$28,DEFAULTS!$E$8:$F$69,2,FALSE))/10^6*(1/($D$5/100)))))))</f>
        <v>699.54659214614298</v>
      </c>
      <c r="M142" s="62">
        <f>IF(ISERROR(METHANE!$J156*(IF('USER INPUTS'!$B$28="Total landfill gas",(1/($D$5/100)),IF('USER INPUTS'!$B$28="Methane",1,IF('USER INPUTS'!$B$28="Carbon dioxide",((1/($D$5/100))-1),(VLOOKUP('USER INPUTS'!$B$28,DEFAULTS!$E$8:$F$69,2,FALSE))/10^6*(1/($D$5/100))))))),0,METHANE!$J156*(IF('USER INPUTS'!$B$28="Total landfill gas",(1/($D$5/100)),IF('USER INPUTS'!$B$28="Methane",1,IF('USER INPUTS'!$B$28="Carbon dioxide",((1/($D$5/100))-1),(VLOOKUP('USER INPUTS'!$B$28,DEFAULTS!$E$8:$F$69,2,FALSE))/10^6*(1/($D$5/100)))))))</f>
        <v>382161.73407907324</v>
      </c>
      <c r="N142" s="62">
        <f>IF(N$8="(short tons/year)",(L142*DEFAULTS!$B$55*DEFAULTS!$B$53/DEFAULTS!$B$54),IF(N$8="(ft^3/year)",(M142*DEFAULTS!$B$57),IF(N$8="(av ft^3/min)",(M142*DEFAULTS!$B$57/DEFAULTS!$B$58),0)))</f>
        <v>25.677400378619616</v>
      </c>
      <c r="O142" s="62">
        <f>IF(ISERROR(METHANE!$J156*DEFAULTS!$B$84*(IF('USER INPUTS'!$B$30="Total landfill gas",(1/($D$5/100)),IF('USER INPUTS'!$B$30="Methane",1,IF('USER INPUTS'!$B$30="Carbon dioxide",((1/($D$5/100))-1),(VLOOKUP('USER INPUTS'!$B$30,DEFAULTS!$E$8:$F$69,2,FALSE))/10^6*(1/($D$5/100))))))),0,METHANE!$J156*DEFAULTS!$B$84*(IF('USER INPUTS'!$B$30="Total landfill gas",(1/($D$5/100)),IF('USER INPUTS'!$B$30="Methane",1,IF('USER INPUTS'!$B$30="Carbon dioxide",((1/($D$5/100))-1),(VLOOKUP('USER INPUTS'!$B$30,DEFAULTS!$E$8:$F$69,2,FALSE))/10^6*(1/($D$5/100)))))))</f>
        <v>0</v>
      </c>
      <c r="P142" s="62">
        <f>IF(ISERROR(METHANE!$J156*(IF('USER INPUTS'!$B$30="Total landfill gas",(1/($D$5/100)),IF('USER INPUTS'!$B$30="Methane",1,IF('USER INPUTS'!$B$30="Carbon dioxide",((1/($D$5/100))-1),(VLOOKUP('USER INPUTS'!$B$30,DEFAULTS!$E$8:$F$69,2,FALSE))/10^6*(1/($D$5/100))))))),0,METHANE!$J156*(IF('USER INPUTS'!$B$30="Total landfill gas",(1/($D$5/100)),IF('USER INPUTS'!$B$30="Methane",1,IF('USER INPUTS'!$B$30="Carbon dioxide",((1/($D$5/100))-1),(VLOOKUP('USER INPUTS'!$B$30,DEFAULTS!$E$8:$F$69,2,FALSE))/10^6*(1/($D$5/100)))))))</f>
        <v>0</v>
      </c>
      <c r="Q142" s="162">
        <f>IF(Q$8="(short tons/year)",(O142*DEFAULTS!$B$55*DEFAULTS!$B$53/DEFAULTS!$B$54),IF(Q$8="(ft^3/year)",(P142*DEFAULTS!$B$57),IF(Q$8="(av ft^3/min)",(P142*DEFAULTS!$B$57/DEFAULTS!$B$58),0)))</f>
        <v>0</v>
      </c>
    </row>
    <row r="143" spans="1:17">
      <c r="A143" s="68">
        <f>METHANE!I157</f>
        <v>2152</v>
      </c>
      <c r="B143" s="361">
        <v>0</v>
      </c>
      <c r="C143" s="361">
        <v>0</v>
      </c>
      <c r="D143" s="364">
        <f t="shared" si="2"/>
        <v>12946986</v>
      </c>
      <c r="E143" s="364">
        <f t="shared" si="3"/>
        <v>14241684.6</v>
      </c>
      <c r="F143" s="62">
        <f>IF(ISERROR(METHANE!$J157*DEFAULTS!$B$81*(IF('USER INPUTS'!$B$24="Total landfill gas",(1/($D$5/100)),IF('USER INPUTS'!$B$24="Methane",1,IF('USER INPUTS'!$B$24="Carbon dioxide",((1/($D$5/100))-1),(VLOOKUP('USER INPUTS'!$B$24,DEFAULTS!$E$8:$F$69,2,FALSE))/10^6*(1/($D$5/100))))))),0,METHANE!$J157*DEFAULTS!$B$81*(IF('USER INPUTS'!$B$24="Total landfill gas",(1/($D$5/100)),IF('USER INPUTS'!$B$24="Methane",1,IF('USER INPUTS'!$B$24="Carbon dioxide",((1/($D$5/100))-1),(VLOOKUP('USER INPUTS'!$B$24,DEFAULTS!$E$8:$F$69,2,FALSE))/10^6*(1/($D$5/100)))))))</f>
        <v>0</v>
      </c>
      <c r="G143" s="62">
        <f>IF(ISERROR(METHANE!$J157*(IF('USER INPUTS'!$B$24="Total landfill gas",(1/($D$5/100)),IF('USER INPUTS'!$B$24="Methane",1,IF('USER INPUTS'!$B$24="Carbon dioxide",((1/($D$5/100))-1),(VLOOKUP('USER INPUTS'!$B$24,DEFAULTS!$E$8:$F$69,2,FALSE))/10^6*(1/($D$5/100))))))),0,METHANE!$J157*(IF('USER INPUTS'!$B$24="Total landfill gas",(1/($D$5/100)),IF('USER INPUTS'!$B$24="Methane",1,IF('USER INPUTS'!$B$24="Carbon dioxide",((1/($D$5/100))-1),(VLOOKUP('USER INPUTS'!$B$24,DEFAULTS!$E$8:$F$69,2,FALSE))/10^6*(1/($D$5/100)))))))</f>
        <v>0</v>
      </c>
      <c r="H143" s="62">
        <f>IF(H$8="(short tons/year)",(F143*DEFAULTS!$B$55*DEFAULTS!$B$53/DEFAULTS!$B$54),IF(H$8="(ft^3/year)",(G143*DEFAULTS!$B$57),IF(H$8="(av ft^3/min)",(G143*DEFAULTS!$B$57/DEFAULTS!$B$58),0)))</f>
        <v>0</v>
      </c>
      <c r="I143" s="62">
        <f>IF(ISERROR(METHANE!$J157*DEFAULTS!$B$82*(IF('USER INPUTS'!$B$26="Total landfill gas",(1/($D$5/100)),IF('USER INPUTS'!$B$26="Methane",1,IF('USER INPUTS'!$B$26="Carbon dioxide",((1/($D$5/100))-1),(VLOOKUP('USER INPUTS'!$B$26,DEFAULTS!$E$8:$F$69,2,FALSE))/10^6*(1/($D$5/100))))))),0,METHANE!$J157*DEFAULTS!$B$82*(IF('USER INPUTS'!$B$26="Total landfill gas",(1/($D$5/100)),IF('USER INPUTS'!$B$26="Methane",1,IF('USER INPUTS'!$B$26="Carbon dioxide",((1/($D$5/100))-1),(VLOOKUP('USER INPUTS'!$B$26,DEFAULTS!$E$8:$F$69,2,FALSE))/10^6*(1/($D$5/100)))))))</f>
        <v>0</v>
      </c>
      <c r="J143" s="62">
        <f>IF(ISERROR(METHANE!$J157*(IF('USER INPUTS'!$B$26="Total landfill gas",(1/($D$5/100)),IF('USER INPUTS'!$B$26="Methane",1,IF('USER INPUTS'!$B$26="Carbon dioxide",((1/($D$5/100))-1),(VLOOKUP('USER INPUTS'!$B$26,DEFAULTS!$E$8:$F$69,2,FALSE))/10^6*(1/($D$5/100))))))),0,METHANE!$J157*(IF('USER INPUTS'!$B$26="Total landfill gas",(1/($D$5/100)),IF('USER INPUTS'!$B$26="Methane",1,IF('USER INPUTS'!$B$26="Carbon dioxide",((1/($D$5/100))-1),(VLOOKUP('USER INPUTS'!$B$26,DEFAULTS!$E$8:$F$69,2,FALSE))/10^6*(1/($D$5/100)))))))</f>
        <v>0</v>
      </c>
      <c r="K143" s="62">
        <f>IF(K$8="(short tons/year)",(I143*DEFAULTS!$B$55*DEFAULTS!$B$53/DEFAULTS!$B$54),IF(K$8="(ft^3/year)",(J143*DEFAULTS!$B$57),IF(K$8="(av ft^3/min)",(J143*DEFAULTS!$B$57/DEFAULTS!$B$58),0)))</f>
        <v>0</v>
      </c>
      <c r="L143" s="62">
        <f>IF(ISERROR(METHANE!$J157*DEFAULTS!$B$83*(IF('USER INPUTS'!$B$28="Total landfill gas",(1/($D$5/100)),IF('USER INPUTS'!$B$28="Methane",1,IF('USER INPUTS'!$B$28="Carbon dioxide",((1/($D$5/100))-1),(VLOOKUP('USER INPUTS'!$B$28,DEFAULTS!$E$8:$F$69,2,FALSE))/10^6*(1/($D$5/100))))))),0,METHANE!$J157*DEFAULTS!$B$83*(IF('USER INPUTS'!$B$28="Total landfill gas",(1/($D$5/100)),IF('USER INPUTS'!$B$28="Methane",1,IF('USER INPUTS'!$B$28="Carbon dioxide",((1/($D$5/100))-1),(VLOOKUP('USER INPUTS'!$B$28,DEFAULTS!$E$8:$F$69,2,FALSE))/10^6*(1/($D$5/100)))))))</f>
        <v>672.1169779290118</v>
      </c>
      <c r="M143" s="62">
        <f>IF(ISERROR(METHANE!$J157*(IF('USER INPUTS'!$B$28="Total landfill gas",(1/($D$5/100)),IF('USER INPUTS'!$B$28="Methane",1,IF('USER INPUTS'!$B$28="Carbon dioxide",((1/($D$5/100))-1),(VLOOKUP('USER INPUTS'!$B$28,DEFAULTS!$E$8:$F$69,2,FALSE))/10^6*(1/($D$5/100))))))),0,METHANE!$J157*(IF('USER INPUTS'!$B$28="Total landfill gas",(1/($D$5/100)),IF('USER INPUTS'!$B$28="Methane",1,IF('USER INPUTS'!$B$28="Carbon dioxide",((1/($D$5/100))-1),(VLOOKUP('USER INPUTS'!$B$28,DEFAULTS!$E$8:$F$69,2,FALSE))/10^6*(1/($D$5/100)))))))</f>
        <v>367176.95815131214</v>
      </c>
      <c r="N143" s="62">
        <f>IF(N$8="(short tons/year)",(L143*DEFAULTS!$B$55*DEFAULTS!$B$53/DEFAULTS!$B$54),IF(N$8="(ft^3/year)",(M143*DEFAULTS!$B$57),IF(N$8="(av ft^3/min)",(M143*DEFAULTS!$B$57/DEFAULTS!$B$58),0)))</f>
        <v>24.670575108663598</v>
      </c>
      <c r="O143" s="62">
        <f>IF(ISERROR(METHANE!$J157*DEFAULTS!$B$84*(IF('USER INPUTS'!$B$30="Total landfill gas",(1/($D$5/100)),IF('USER INPUTS'!$B$30="Methane",1,IF('USER INPUTS'!$B$30="Carbon dioxide",((1/($D$5/100))-1),(VLOOKUP('USER INPUTS'!$B$30,DEFAULTS!$E$8:$F$69,2,FALSE))/10^6*(1/($D$5/100))))))),0,METHANE!$J157*DEFAULTS!$B$84*(IF('USER INPUTS'!$B$30="Total landfill gas",(1/($D$5/100)),IF('USER INPUTS'!$B$30="Methane",1,IF('USER INPUTS'!$B$30="Carbon dioxide",((1/($D$5/100))-1),(VLOOKUP('USER INPUTS'!$B$30,DEFAULTS!$E$8:$F$69,2,FALSE))/10^6*(1/($D$5/100)))))))</f>
        <v>0</v>
      </c>
      <c r="P143" s="62">
        <f>IF(ISERROR(METHANE!$J157*(IF('USER INPUTS'!$B$30="Total landfill gas",(1/($D$5/100)),IF('USER INPUTS'!$B$30="Methane",1,IF('USER INPUTS'!$B$30="Carbon dioxide",((1/($D$5/100))-1),(VLOOKUP('USER INPUTS'!$B$30,DEFAULTS!$E$8:$F$69,2,FALSE))/10^6*(1/($D$5/100))))))),0,METHANE!$J157*(IF('USER INPUTS'!$B$30="Total landfill gas",(1/($D$5/100)),IF('USER INPUTS'!$B$30="Methane",1,IF('USER INPUTS'!$B$30="Carbon dioxide",((1/($D$5/100))-1),(VLOOKUP('USER INPUTS'!$B$30,DEFAULTS!$E$8:$F$69,2,FALSE))/10^6*(1/($D$5/100)))))))</f>
        <v>0</v>
      </c>
      <c r="Q143" s="162">
        <f>IF(Q$8="(short tons/year)",(O143*DEFAULTS!$B$55*DEFAULTS!$B$53/DEFAULTS!$B$54),IF(Q$8="(ft^3/year)",(P143*DEFAULTS!$B$57),IF(Q$8="(av ft^3/min)",(P143*DEFAULTS!$B$57/DEFAULTS!$B$58),0)))</f>
        <v>0</v>
      </c>
    </row>
    <row r="144" spans="1:17">
      <c r="A144" s="68">
        <f>METHANE!I158</f>
        <v>2153</v>
      </c>
      <c r="B144" s="361">
        <v>0</v>
      </c>
      <c r="C144" s="361">
        <v>0</v>
      </c>
      <c r="D144" s="364">
        <f t="shared" si="2"/>
        <v>12946986</v>
      </c>
      <c r="E144" s="364">
        <f t="shared" si="3"/>
        <v>14241684.6</v>
      </c>
      <c r="F144" s="62">
        <f>IF(ISERROR(METHANE!$J158*DEFAULTS!$B$81*(IF('USER INPUTS'!$B$24="Total landfill gas",(1/($D$5/100)),IF('USER INPUTS'!$B$24="Methane",1,IF('USER INPUTS'!$B$24="Carbon dioxide",((1/($D$5/100))-1),(VLOOKUP('USER INPUTS'!$B$24,DEFAULTS!$E$8:$F$69,2,FALSE))/10^6*(1/($D$5/100))))))),0,METHANE!$J158*DEFAULTS!$B$81*(IF('USER INPUTS'!$B$24="Total landfill gas",(1/($D$5/100)),IF('USER INPUTS'!$B$24="Methane",1,IF('USER INPUTS'!$B$24="Carbon dioxide",((1/($D$5/100))-1),(VLOOKUP('USER INPUTS'!$B$24,DEFAULTS!$E$8:$F$69,2,FALSE))/10^6*(1/($D$5/100)))))))</f>
        <v>0</v>
      </c>
      <c r="G144" s="62">
        <f>IF(ISERROR(METHANE!$J158*(IF('USER INPUTS'!$B$24="Total landfill gas",(1/($D$5/100)),IF('USER INPUTS'!$B$24="Methane",1,IF('USER INPUTS'!$B$24="Carbon dioxide",((1/($D$5/100))-1),(VLOOKUP('USER INPUTS'!$B$24,DEFAULTS!$E$8:$F$69,2,FALSE))/10^6*(1/($D$5/100))))))),0,METHANE!$J158*(IF('USER INPUTS'!$B$24="Total landfill gas",(1/($D$5/100)),IF('USER INPUTS'!$B$24="Methane",1,IF('USER INPUTS'!$B$24="Carbon dioxide",((1/($D$5/100))-1),(VLOOKUP('USER INPUTS'!$B$24,DEFAULTS!$E$8:$F$69,2,FALSE))/10^6*(1/($D$5/100)))))))</f>
        <v>0</v>
      </c>
      <c r="H144" s="62">
        <f>IF(H$8="(short tons/year)",(F144*DEFAULTS!$B$55*DEFAULTS!$B$53/DEFAULTS!$B$54),IF(H$8="(ft^3/year)",(G144*DEFAULTS!$B$57),IF(H$8="(av ft^3/min)",(G144*DEFAULTS!$B$57/DEFAULTS!$B$58),0)))</f>
        <v>0</v>
      </c>
      <c r="I144" s="62">
        <f>IF(ISERROR(METHANE!$J158*DEFAULTS!$B$82*(IF('USER INPUTS'!$B$26="Total landfill gas",(1/($D$5/100)),IF('USER INPUTS'!$B$26="Methane",1,IF('USER INPUTS'!$B$26="Carbon dioxide",((1/($D$5/100))-1),(VLOOKUP('USER INPUTS'!$B$26,DEFAULTS!$E$8:$F$69,2,FALSE))/10^6*(1/($D$5/100))))))),0,METHANE!$J158*DEFAULTS!$B$82*(IF('USER INPUTS'!$B$26="Total landfill gas",(1/($D$5/100)),IF('USER INPUTS'!$B$26="Methane",1,IF('USER INPUTS'!$B$26="Carbon dioxide",((1/($D$5/100))-1),(VLOOKUP('USER INPUTS'!$B$26,DEFAULTS!$E$8:$F$69,2,FALSE))/10^6*(1/($D$5/100)))))))</f>
        <v>0</v>
      </c>
      <c r="J144" s="62">
        <f>IF(ISERROR(METHANE!$J158*(IF('USER INPUTS'!$B$26="Total landfill gas",(1/($D$5/100)),IF('USER INPUTS'!$B$26="Methane",1,IF('USER INPUTS'!$B$26="Carbon dioxide",((1/($D$5/100))-1),(VLOOKUP('USER INPUTS'!$B$26,DEFAULTS!$E$8:$F$69,2,FALSE))/10^6*(1/($D$5/100))))))),0,METHANE!$J158*(IF('USER INPUTS'!$B$26="Total landfill gas",(1/($D$5/100)),IF('USER INPUTS'!$B$26="Methane",1,IF('USER INPUTS'!$B$26="Carbon dioxide",((1/($D$5/100))-1),(VLOOKUP('USER INPUTS'!$B$26,DEFAULTS!$E$8:$F$69,2,FALSE))/10^6*(1/($D$5/100)))))))</f>
        <v>0</v>
      </c>
      <c r="K144" s="62">
        <f>IF(K$8="(short tons/year)",(I144*DEFAULTS!$B$55*DEFAULTS!$B$53/DEFAULTS!$B$54),IF(K$8="(ft^3/year)",(J144*DEFAULTS!$B$57),IF(K$8="(av ft^3/min)",(J144*DEFAULTS!$B$57/DEFAULTS!$B$58),0)))</f>
        <v>0</v>
      </c>
      <c r="L144" s="62">
        <f>IF(ISERROR(METHANE!$J158*DEFAULTS!$B$83*(IF('USER INPUTS'!$B$28="Total landfill gas",(1/($D$5/100)),IF('USER INPUTS'!$B$28="Methane",1,IF('USER INPUTS'!$B$28="Carbon dioxide",((1/($D$5/100))-1),(VLOOKUP('USER INPUTS'!$B$28,DEFAULTS!$E$8:$F$69,2,FALSE))/10^6*(1/($D$5/100))))))),0,METHANE!$J158*DEFAULTS!$B$83*(IF('USER INPUTS'!$B$28="Total landfill gas",(1/($D$5/100)),IF('USER INPUTS'!$B$28="Methane",1,IF('USER INPUTS'!$B$28="Carbon dioxide",((1/($D$5/100))-1),(VLOOKUP('USER INPUTS'!$B$28,DEFAULTS!$E$8:$F$69,2,FALSE))/10^6*(1/($D$5/100)))))))</f>
        <v>645.76289426916958</v>
      </c>
      <c r="M144" s="62">
        <f>IF(ISERROR(METHANE!$J158*(IF('USER INPUTS'!$B$28="Total landfill gas",(1/($D$5/100)),IF('USER INPUTS'!$B$28="Methane",1,IF('USER INPUTS'!$B$28="Carbon dioxide",((1/($D$5/100))-1),(VLOOKUP('USER INPUTS'!$B$28,DEFAULTS!$E$8:$F$69,2,FALSE))/10^6*(1/($D$5/100))))))),0,METHANE!$J158*(IF('USER INPUTS'!$B$28="Total landfill gas",(1/($D$5/100)),IF('USER INPUTS'!$B$28="Methane",1,IF('USER INPUTS'!$B$28="Carbon dioxide",((1/($D$5/100))-1),(VLOOKUP('USER INPUTS'!$B$28,DEFAULTS!$E$8:$F$69,2,FALSE))/10^6*(1/($D$5/100)))))))</f>
        <v>352779.74369185517</v>
      </c>
      <c r="N144" s="62">
        <f>IF(N$8="(short tons/year)",(L144*DEFAULTS!$B$55*DEFAULTS!$B$53/DEFAULTS!$B$54),IF(N$8="(ft^3/year)",(M144*DEFAULTS!$B$57),IF(N$8="(av ft^3/min)",(M144*DEFAULTS!$B$57/DEFAULTS!$B$58),0)))</f>
        <v>23.703228022218163</v>
      </c>
      <c r="O144" s="62">
        <f>IF(ISERROR(METHANE!$J158*DEFAULTS!$B$84*(IF('USER INPUTS'!$B$30="Total landfill gas",(1/($D$5/100)),IF('USER INPUTS'!$B$30="Methane",1,IF('USER INPUTS'!$B$30="Carbon dioxide",((1/($D$5/100))-1),(VLOOKUP('USER INPUTS'!$B$30,DEFAULTS!$E$8:$F$69,2,FALSE))/10^6*(1/($D$5/100))))))),0,METHANE!$J158*DEFAULTS!$B$84*(IF('USER INPUTS'!$B$30="Total landfill gas",(1/($D$5/100)),IF('USER INPUTS'!$B$30="Methane",1,IF('USER INPUTS'!$B$30="Carbon dioxide",((1/($D$5/100))-1),(VLOOKUP('USER INPUTS'!$B$30,DEFAULTS!$E$8:$F$69,2,FALSE))/10^6*(1/($D$5/100)))))))</f>
        <v>0</v>
      </c>
      <c r="P144" s="62">
        <f>IF(ISERROR(METHANE!$J158*(IF('USER INPUTS'!$B$30="Total landfill gas",(1/($D$5/100)),IF('USER INPUTS'!$B$30="Methane",1,IF('USER INPUTS'!$B$30="Carbon dioxide",((1/($D$5/100))-1),(VLOOKUP('USER INPUTS'!$B$30,DEFAULTS!$E$8:$F$69,2,FALSE))/10^6*(1/($D$5/100))))))),0,METHANE!$J158*(IF('USER INPUTS'!$B$30="Total landfill gas",(1/($D$5/100)),IF('USER INPUTS'!$B$30="Methane",1,IF('USER INPUTS'!$B$30="Carbon dioxide",((1/($D$5/100))-1),(VLOOKUP('USER INPUTS'!$B$30,DEFAULTS!$E$8:$F$69,2,FALSE))/10^6*(1/($D$5/100)))))))</f>
        <v>0</v>
      </c>
      <c r="Q144" s="162">
        <f>IF(Q$8="(short tons/year)",(O144*DEFAULTS!$B$55*DEFAULTS!$B$53/DEFAULTS!$B$54),IF(Q$8="(ft^3/year)",(P144*DEFAULTS!$B$57),IF(Q$8="(av ft^3/min)",(P144*DEFAULTS!$B$57/DEFAULTS!$B$58),0)))</f>
        <v>0</v>
      </c>
    </row>
    <row r="145" spans="1:17">
      <c r="A145" s="68">
        <f>METHANE!I159</f>
        <v>2154</v>
      </c>
      <c r="B145" s="361">
        <v>0</v>
      </c>
      <c r="C145" s="361">
        <v>0</v>
      </c>
      <c r="D145" s="364">
        <f t="shared" si="2"/>
        <v>12946986</v>
      </c>
      <c r="E145" s="364">
        <f t="shared" si="3"/>
        <v>14241684.6</v>
      </c>
      <c r="F145" s="62">
        <f>IF(ISERROR(METHANE!$J159*DEFAULTS!$B$81*(IF('USER INPUTS'!$B$24="Total landfill gas",(1/($D$5/100)),IF('USER INPUTS'!$B$24="Methane",1,IF('USER INPUTS'!$B$24="Carbon dioxide",((1/($D$5/100))-1),(VLOOKUP('USER INPUTS'!$B$24,DEFAULTS!$E$8:$F$69,2,FALSE))/10^6*(1/($D$5/100))))))),0,METHANE!$J159*DEFAULTS!$B$81*(IF('USER INPUTS'!$B$24="Total landfill gas",(1/($D$5/100)),IF('USER INPUTS'!$B$24="Methane",1,IF('USER INPUTS'!$B$24="Carbon dioxide",((1/($D$5/100))-1),(VLOOKUP('USER INPUTS'!$B$24,DEFAULTS!$E$8:$F$69,2,FALSE))/10^6*(1/($D$5/100)))))))</f>
        <v>0</v>
      </c>
      <c r="G145" s="62">
        <f>IF(ISERROR(METHANE!$J159*(IF('USER INPUTS'!$B$24="Total landfill gas",(1/($D$5/100)),IF('USER INPUTS'!$B$24="Methane",1,IF('USER INPUTS'!$B$24="Carbon dioxide",((1/($D$5/100))-1),(VLOOKUP('USER INPUTS'!$B$24,DEFAULTS!$E$8:$F$69,2,FALSE))/10^6*(1/($D$5/100))))))),0,METHANE!$J159*(IF('USER INPUTS'!$B$24="Total landfill gas",(1/($D$5/100)),IF('USER INPUTS'!$B$24="Methane",1,IF('USER INPUTS'!$B$24="Carbon dioxide",((1/($D$5/100))-1),(VLOOKUP('USER INPUTS'!$B$24,DEFAULTS!$E$8:$F$69,2,FALSE))/10^6*(1/($D$5/100)))))))</f>
        <v>0</v>
      </c>
      <c r="H145" s="62">
        <f>IF(H$8="(short tons/year)",(F145*DEFAULTS!$B$55*DEFAULTS!$B$53/DEFAULTS!$B$54),IF(H$8="(ft^3/year)",(G145*DEFAULTS!$B$57),IF(H$8="(av ft^3/min)",(G145*DEFAULTS!$B$57/DEFAULTS!$B$58),0)))</f>
        <v>0</v>
      </c>
      <c r="I145" s="62">
        <f>IF(ISERROR(METHANE!$J159*DEFAULTS!$B$82*(IF('USER INPUTS'!$B$26="Total landfill gas",(1/($D$5/100)),IF('USER INPUTS'!$B$26="Methane",1,IF('USER INPUTS'!$B$26="Carbon dioxide",((1/($D$5/100))-1),(VLOOKUP('USER INPUTS'!$B$26,DEFAULTS!$E$8:$F$69,2,FALSE))/10^6*(1/($D$5/100))))))),0,METHANE!$J159*DEFAULTS!$B$82*(IF('USER INPUTS'!$B$26="Total landfill gas",(1/($D$5/100)),IF('USER INPUTS'!$B$26="Methane",1,IF('USER INPUTS'!$B$26="Carbon dioxide",((1/($D$5/100))-1),(VLOOKUP('USER INPUTS'!$B$26,DEFAULTS!$E$8:$F$69,2,FALSE))/10^6*(1/($D$5/100)))))))</f>
        <v>0</v>
      </c>
      <c r="J145" s="62">
        <f>IF(ISERROR(METHANE!$J159*(IF('USER INPUTS'!$B$26="Total landfill gas",(1/($D$5/100)),IF('USER INPUTS'!$B$26="Methane",1,IF('USER INPUTS'!$B$26="Carbon dioxide",((1/($D$5/100))-1),(VLOOKUP('USER INPUTS'!$B$26,DEFAULTS!$E$8:$F$69,2,FALSE))/10^6*(1/($D$5/100))))))),0,METHANE!$J159*(IF('USER INPUTS'!$B$26="Total landfill gas",(1/($D$5/100)),IF('USER INPUTS'!$B$26="Methane",1,IF('USER INPUTS'!$B$26="Carbon dioxide",((1/($D$5/100))-1),(VLOOKUP('USER INPUTS'!$B$26,DEFAULTS!$E$8:$F$69,2,FALSE))/10^6*(1/($D$5/100)))))))</f>
        <v>0</v>
      </c>
      <c r="K145" s="62">
        <f>IF(K$8="(short tons/year)",(I145*DEFAULTS!$B$55*DEFAULTS!$B$53/DEFAULTS!$B$54),IF(K$8="(ft^3/year)",(J145*DEFAULTS!$B$57),IF(K$8="(av ft^3/min)",(J145*DEFAULTS!$B$57/DEFAULTS!$B$58),0)))</f>
        <v>0</v>
      </c>
      <c r="L145" s="62">
        <f>IF(ISERROR(METHANE!$J159*DEFAULTS!$B$83*(IF('USER INPUTS'!$B$28="Total landfill gas",(1/($D$5/100)),IF('USER INPUTS'!$B$28="Methane",1,IF('USER INPUTS'!$B$28="Carbon dioxide",((1/($D$5/100))-1),(VLOOKUP('USER INPUTS'!$B$28,DEFAULTS!$E$8:$F$69,2,FALSE))/10^6*(1/($D$5/100))))))),0,METHANE!$J159*DEFAULTS!$B$83*(IF('USER INPUTS'!$B$28="Total landfill gas",(1/($D$5/100)),IF('USER INPUTS'!$B$28="Methane",1,IF('USER INPUTS'!$B$28="Carbon dioxide",((1/($D$5/100))-1),(VLOOKUP('USER INPUTS'!$B$28,DEFAULTS!$E$8:$F$69,2,FALSE))/10^6*(1/($D$5/100)))))))</f>
        <v>620.44216901025641</v>
      </c>
      <c r="M145" s="62">
        <f>IF(ISERROR(METHANE!$J159*(IF('USER INPUTS'!$B$28="Total landfill gas",(1/($D$5/100)),IF('USER INPUTS'!$B$28="Methane",1,IF('USER INPUTS'!$B$28="Carbon dioxide",((1/($D$5/100))-1),(VLOOKUP('USER INPUTS'!$B$28,DEFAULTS!$E$8:$F$69,2,FALSE))/10^6*(1/($D$5/100))))))),0,METHANE!$J159*(IF('USER INPUTS'!$B$28="Total landfill gas",(1/($D$5/100)),IF('USER INPUTS'!$B$28="Methane",1,IF('USER INPUTS'!$B$28="Carbon dioxide",((1/($D$5/100))-1),(VLOOKUP('USER INPUTS'!$B$28,DEFAULTS!$E$8:$F$69,2,FALSE))/10^6*(1/($D$5/100)))))))</f>
        <v>338947.05208599789</v>
      </c>
      <c r="N145" s="62">
        <f>IF(N$8="(short tons/year)",(L145*DEFAULTS!$B$55*DEFAULTS!$B$53/DEFAULTS!$B$54),IF(N$8="(ft^3/year)",(M145*DEFAULTS!$B$57),IF(N$8="(av ft^3/min)",(M145*DEFAULTS!$B$57/DEFAULTS!$B$58),0)))</f>
        <v>22.773811157566616</v>
      </c>
      <c r="O145" s="62">
        <f>IF(ISERROR(METHANE!$J159*DEFAULTS!$B$84*(IF('USER INPUTS'!$B$30="Total landfill gas",(1/($D$5/100)),IF('USER INPUTS'!$B$30="Methane",1,IF('USER INPUTS'!$B$30="Carbon dioxide",((1/($D$5/100))-1),(VLOOKUP('USER INPUTS'!$B$30,DEFAULTS!$E$8:$F$69,2,FALSE))/10^6*(1/($D$5/100))))))),0,METHANE!$J159*DEFAULTS!$B$84*(IF('USER INPUTS'!$B$30="Total landfill gas",(1/($D$5/100)),IF('USER INPUTS'!$B$30="Methane",1,IF('USER INPUTS'!$B$30="Carbon dioxide",((1/($D$5/100))-1),(VLOOKUP('USER INPUTS'!$B$30,DEFAULTS!$E$8:$F$69,2,FALSE))/10^6*(1/($D$5/100)))))))</f>
        <v>0</v>
      </c>
      <c r="P145" s="62">
        <f>IF(ISERROR(METHANE!$J159*(IF('USER INPUTS'!$B$30="Total landfill gas",(1/($D$5/100)),IF('USER INPUTS'!$B$30="Methane",1,IF('USER INPUTS'!$B$30="Carbon dioxide",((1/($D$5/100))-1),(VLOOKUP('USER INPUTS'!$B$30,DEFAULTS!$E$8:$F$69,2,FALSE))/10^6*(1/($D$5/100))))))),0,METHANE!$J159*(IF('USER INPUTS'!$B$30="Total landfill gas",(1/($D$5/100)),IF('USER INPUTS'!$B$30="Methane",1,IF('USER INPUTS'!$B$30="Carbon dioxide",((1/($D$5/100))-1),(VLOOKUP('USER INPUTS'!$B$30,DEFAULTS!$E$8:$F$69,2,FALSE))/10^6*(1/($D$5/100)))))))</f>
        <v>0</v>
      </c>
      <c r="Q145" s="162">
        <f>IF(Q$8="(short tons/year)",(O145*DEFAULTS!$B$55*DEFAULTS!$B$53/DEFAULTS!$B$54),IF(Q$8="(ft^3/year)",(P145*DEFAULTS!$B$57),IF(Q$8="(av ft^3/min)",(P145*DEFAULTS!$B$57/DEFAULTS!$B$58),0)))</f>
        <v>0</v>
      </c>
    </row>
    <row r="146" spans="1:17">
      <c r="A146" s="68">
        <f>METHANE!I160</f>
        <v>2155</v>
      </c>
      <c r="B146" s="361">
        <v>0</v>
      </c>
      <c r="C146" s="361">
        <v>0</v>
      </c>
      <c r="D146" s="364">
        <f t="shared" si="2"/>
        <v>12946986</v>
      </c>
      <c r="E146" s="364">
        <f t="shared" si="3"/>
        <v>14241684.6</v>
      </c>
      <c r="F146" s="62">
        <f>IF(ISERROR(METHANE!$J160*DEFAULTS!$B$81*(IF('USER INPUTS'!$B$24="Total landfill gas",(1/($D$5/100)),IF('USER INPUTS'!$B$24="Methane",1,IF('USER INPUTS'!$B$24="Carbon dioxide",((1/($D$5/100))-1),(VLOOKUP('USER INPUTS'!$B$24,DEFAULTS!$E$8:$F$69,2,FALSE))/10^6*(1/($D$5/100))))))),0,METHANE!$J160*DEFAULTS!$B$81*(IF('USER INPUTS'!$B$24="Total landfill gas",(1/($D$5/100)),IF('USER INPUTS'!$B$24="Methane",1,IF('USER INPUTS'!$B$24="Carbon dioxide",((1/($D$5/100))-1),(VLOOKUP('USER INPUTS'!$B$24,DEFAULTS!$E$8:$F$69,2,FALSE))/10^6*(1/($D$5/100)))))))</f>
        <v>0</v>
      </c>
      <c r="G146" s="62">
        <f>IF(ISERROR(METHANE!$J160*(IF('USER INPUTS'!$B$24="Total landfill gas",(1/($D$5/100)),IF('USER INPUTS'!$B$24="Methane",1,IF('USER INPUTS'!$B$24="Carbon dioxide",((1/($D$5/100))-1),(VLOOKUP('USER INPUTS'!$B$24,DEFAULTS!$E$8:$F$69,2,FALSE))/10^6*(1/($D$5/100))))))),0,METHANE!$J160*(IF('USER INPUTS'!$B$24="Total landfill gas",(1/($D$5/100)),IF('USER INPUTS'!$B$24="Methane",1,IF('USER INPUTS'!$B$24="Carbon dioxide",((1/($D$5/100))-1),(VLOOKUP('USER INPUTS'!$B$24,DEFAULTS!$E$8:$F$69,2,FALSE))/10^6*(1/($D$5/100)))))))</f>
        <v>0</v>
      </c>
      <c r="H146" s="62">
        <f>IF(H$8="(short tons/year)",(F146*DEFAULTS!$B$55*DEFAULTS!$B$53/DEFAULTS!$B$54),IF(H$8="(ft^3/year)",(G146*DEFAULTS!$B$57),IF(H$8="(av ft^3/min)",(G146*DEFAULTS!$B$57/DEFAULTS!$B$58),0)))</f>
        <v>0</v>
      </c>
      <c r="I146" s="62">
        <f>IF(ISERROR(METHANE!$J160*DEFAULTS!$B$82*(IF('USER INPUTS'!$B$26="Total landfill gas",(1/($D$5/100)),IF('USER INPUTS'!$B$26="Methane",1,IF('USER INPUTS'!$B$26="Carbon dioxide",((1/($D$5/100))-1),(VLOOKUP('USER INPUTS'!$B$26,DEFAULTS!$E$8:$F$69,2,FALSE))/10^6*(1/($D$5/100))))))),0,METHANE!$J160*DEFAULTS!$B$82*(IF('USER INPUTS'!$B$26="Total landfill gas",(1/($D$5/100)),IF('USER INPUTS'!$B$26="Methane",1,IF('USER INPUTS'!$B$26="Carbon dioxide",((1/($D$5/100))-1),(VLOOKUP('USER INPUTS'!$B$26,DEFAULTS!$E$8:$F$69,2,FALSE))/10^6*(1/($D$5/100)))))))</f>
        <v>0</v>
      </c>
      <c r="J146" s="62">
        <f>IF(ISERROR(METHANE!$J160*(IF('USER INPUTS'!$B$26="Total landfill gas",(1/($D$5/100)),IF('USER INPUTS'!$B$26="Methane",1,IF('USER INPUTS'!$B$26="Carbon dioxide",((1/($D$5/100))-1),(VLOOKUP('USER INPUTS'!$B$26,DEFAULTS!$E$8:$F$69,2,FALSE))/10^6*(1/($D$5/100))))))),0,METHANE!$J160*(IF('USER INPUTS'!$B$26="Total landfill gas",(1/($D$5/100)),IF('USER INPUTS'!$B$26="Methane",1,IF('USER INPUTS'!$B$26="Carbon dioxide",((1/($D$5/100))-1),(VLOOKUP('USER INPUTS'!$B$26,DEFAULTS!$E$8:$F$69,2,FALSE))/10^6*(1/($D$5/100)))))))</f>
        <v>0</v>
      </c>
      <c r="K146" s="62">
        <f>IF(K$8="(short tons/year)",(I146*DEFAULTS!$B$55*DEFAULTS!$B$53/DEFAULTS!$B$54),IF(K$8="(ft^3/year)",(J146*DEFAULTS!$B$57),IF(K$8="(av ft^3/min)",(J146*DEFAULTS!$B$57/DEFAULTS!$B$58),0)))</f>
        <v>0</v>
      </c>
      <c r="L146" s="62">
        <f>IF(ISERROR(METHANE!$J160*DEFAULTS!$B$83*(IF('USER INPUTS'!$B$28="Total landfill gas",(1/($D$5/100)),IF('USER INPUTS'!$B$28="Methane",1,IF('USER INPUTS'!$B$28="Carbon dioxide",((1/($D$5/100))-1),(VLOOKUP('USER INPUTS'!$B$28,DEFAULTS!$E$8:$F$69,2,FALSE))/10^6*(1/($D$5/100))))))),0,METHANE!$J160*DEFAULTS!$B$83*(IF('USER INPUTS'!$B$28="Total landfill gas",(1/($D$5/100)),IF('USER INPUTS'!$B$28="Methane",1,IF('USER INPUTS'!$B$28="Carbon dioxide",((1/($D$5/100))-1),(VLOOKUP('USER INPUTS'!$B$28,DEFAULTS!$E$8:$F$69,2,FALSE))/10^6*(1/($D$5/100)))))))</f>
        <v>596.11428358981516</v>
      </c>
      <c r="M146" s="62">
        <f>IF(ISERROR(METHANE!$J160*(IF('USER INPUTS'!$B$28="Total landfill gas",(1/($D$5/100)),IF('USER INPUTS'!$B$28="Methane",1,IF('USER INPUTS'!$B$28="Carbon dioxide",((1/($D$5/100))-1),(VLOOKUP('USER INPUTS'!$B$28,DEFAULTS!$E$8:$F$69,2,FALSE))/10^6*(1/($D$5/100))))))),0,METHANE!$J160*(IF('USER INPUTS'!$B$28="Total landfill gas",(1/($D$5/100)),IF('USER INPUTS'!$B$28="Methane",1,IF('USER INPUTS'!$B$28="Carbon dioxide",((1/($D$5/100))-1),(VLOOKUP('USER INPUTS'!$B$28,DEFAULTS!$E$8:$F$69,2,FALSE))/10^6*(1/($D$5/100)))))))</f>
        <v>325656.74807603913</v>
      </c>
      <c r="N146" s="62">
        <f>IF(N$8="(short tons/year)",(L146*DEFAULTS!$B$55*DEFAULTS!$B$53/DEFAULTS!$B$54),IF(N$8="(ft^3/year)",(M146*DEFAULTS!$B$57),IF(N$8="(av ft^3/min)",(M146*DEFAULTS!$B$57/DEFAULTS!$B$58),0)))</f>
        <v>21.880837249439349</v>
      </c>
      <c r="O146" s="62">
        <f>IF(ISERROR(METHANE!$J160*DEFAULTS!$B$84*(IF('USER INPUTS'!$B$30="Total landfill gas",(1/($D$5/100)),IF('USER INPUTS'!$B$30="Methane",1,IF('USER INPUTS'!$B$30="Carbon dioxide",((1/($D$5/100))-1),(VLOOKUP('USER INPUTS'!$B$30,DEFAULTS!$E$8:$F$69,2,FALSE))/10^6*(1/($D$5/100))))))),0,METHANE!$J160*DEFAULTS!$B$84*(IF('USER INPUTS'!$B$30="Total landfill gas",(1/($D$5/100)),IF('USER INPUTS'!$B$30="Methane",1,IF('USER INPUTS'!$B$30="Carbon dioxide",((1/($D$5/100))-1),(VLOOKUP('USER INPUTS'!$B$30,DEFAULTS!$E$8:$F$69,2,FALSE))/10^6*(1/($D$5/100)))))))</f>
        <v>0</v>
      </c>
      <c r="P146" s="62">
        <f>IF(ISERROR(METHANE!$J160*(IF('USER INPUTS'!$B$30="Total landfill gas",(1/($D$5/100)),IF('USER INPUTS'!$B$30="Methane",1,IF('USER INPUTS'!$B$30="Carbon dioxide",((1/($D$5/100))-1),(VLOOKUP('USER INPUTS'!$B$30,DEFAULTS!$E$8:$F$69,2,FALSE))/10^6*(1/($D$5/100))))))),0,METHANE!$J160*(IF('USER INPUTS'!$B$30="Total landfill gas",(1/($D$5/100)),IF('USER INPUTS'!$B$30="Methane",1,IF('USER INPUTS'!$B$30="Carbon dioxide",((1/($D$5/100))-1),(VLOOKUP('USER INPUTS'!$B$30,DEFAULTS!$E$8:$F$69,2,FALSE))/10^6*(1/($D$5/100)))))))</f>
        <v>0</v>
      </c>
      <c r="Q146" s="162">
        <f>IF(Q$8="(short tons/year)",(O146*DEFAULTS!$B$55*DEFAULTS!$B$53/DEFAULTS!$B$54),IF(Q$8="(ft^3/year)",(P146*DEFAULTS!$B$57),IF(Q$8="(av ft^3/min)",(P146*DEFAULTS!$B$57/DEFAULTS!$B$58),0)))</f>
        <v>0</v>
      </c>
    </row>
    <row r="147" spans="1:17">
      <c r="A147" s="68">
        <f>METHANE!I161</f>
        <v>2156</v>
      </c>
      <c r="B147" s="361">
        <v>0</v>
      </c>
      <c r="C147" s="361">
        <v>0</v>
      </c>
      <c r="D147" s="364">
        <f t="shared" si="2"/>
        <v>12946986</v>
      </c>
      <c r="E147" s="364">
        <f t="shared" si="3"/>
        <v>14241684.6</v>
      </c>
      <c r="F147" s="62">
        <f>IF(ISERROR(METHANE!$J161*DEFAULTS!$B$81*(IF('USER INPUTS'!$B$24="Total landfill gas",(1/($D$5/100)),IF('USER INPUTS'!$B$24="Methane",1,IF('USER INPUTS'!$B$24="Carbon dioxide",((1/($D$5/100))-1),(VLOOKUP('USER INPUTS'!$B$24,DEFAULTS!$E$8:$F$69,2,FALSE))/10^6*(1/($D$5/100))))))),0,METHANE!$J161*DEFAULTS!$B$81*(IF('USER INPUTS'!$B$24="Total landfill gas",(1/($D$5/100)),IF('USER INPUTS'!$B$24="Methane",1,IF('USER INPUTS'!$B$24="Carbon dioxide",((1/($D$5/100))-1),(VLOOKUP('USER INPUTS'!$B$24,DEFAULTS!$E$8:$F$69,2,FALSE))/10^6*(1/($D$5/100)))))))</f>
        <v>0</v>
      </c>
      <c r="G147" s="62">
        <f>IF(ISERROR(METHANE!$J161*(IF('USER INPUTS'!$B$24="Total landfill gas",(1/($D$5/100)),IF('USER INPUTS'!$B$24="Methane",1,IF('USER INPUTS'!$B$24="Carbon dioxide",((1/($D$5/100))-1),(VLOOKUP('USER INPUTS'!$B$24,DEFAULTS!$E$8:$F$69,2,FALSE))/10^6*(1/($D$5/100))))))),0,METHANE!$J161*(IF('USER INPUTS'!$B$24="Total landfill gas",(1/($D$5/100)),IF('USER INPUTS'!$B$24="Methane",1,IF('USER INPUTS'!$B$24="Carbon dioxide",((1/($D$5/100))-1),(VLOOKUP('USER INPUTS'!$B$24,DEFAULTS!$E$8:$F$69,2,FALSE))/10^6*(1/($D$5/100)))))))</f>
        <v>0</v>
      </c>
      <c r="H147" s="62">
        <f>IF(H$8="(short tons/year)",(F147*DEFAULTS!$B$55*DEFAULTS!$B$53/DEFAULTS!$B$54),IF(H$8="(ft^3/year)",(G147*DEFAULTS!$B$57),IF(H$8="(av ft^3/min)",(G147*DEFAULTS!$B$57/DEFAULTS!$B$58),0)))</f>
        <v>0</v>
      </c>
      <c r="I147" s="62">
        <f>IF(ISERROR(METHANE!$J161*DEFAULTS!$B$82*(IF('USER INPUTS'!$B$26="Total landfill gas",(1/($D$5/100)),IF('USER INPUTS'!$B$26="Methane",1,IF('USER INPUTS'!$B$26="Carbon dioxide",((1/($D$5/100))-1),(VLOOKUP('USER INPUTS'!$B$26,DEFAULTS!$E$8:$F$69,2,FALSE))/10^6*(1/($D$5/100))))))),0,METHANE!$J161*DEFAULTS!$B$82*(IF('USER INPUTS'!$B$26="Total landfill gas",(1/($D$5/100)),IF('USER INPUTS'!$B$26="Methane",1,IF('USER INPUTS'!$B$26="Carbon dioxide",((1/($D$5/100))-1),(VLOOKUP('USER INPUTS'!$B$26,DEFAULTS!$E$8:$F$69,2,FALSE))/10^6*(1/($D$5/100)))))))</f>
        <v>0</v>
      </c>
      <c r="J147" s="62">
        <f>IF(ISERROR(METHANE!$J161*(IF('USER INPUTS'!$B$26="Total landfill gas",(1/($D$5/100)),IF('USER INPUTS'!$B$26="Methane",1,IF('USER INPUTS'!$B$26="Carbon dioxide",((1/($D$5/100))-1),(VLOOKUP('USER INPUTS'!$B$26,DEFAULTS!$E$8:$F$69,2,FALSE))/10^6*(1/($D$5/100))))))),0,METHANE!$J161*(IF('USER INPUTS'!$B$26="Total landfill gas",(1/($D$5/100)),IF('USER INPUTS'!$B$26="Methane",1,IF('USER INPUTS'!$B$26="Carbon dioxide",((1/($D$5/100))-1),(VLOOKUP('USER INPUTS'!$B$26,DEFAULTS!$E$8:$F$69,2,FALSE))/10^6*(1/($D$5/100)))))))</f>
        <v>0</v>
      </c>
      <c r="K147" s="62">
        <f>IF(K$8="(short tons/year)",(I147*DEFAULTS!$B$55*DEFAULTS!$B$53/DEFAULTS!$B$54),IF(K$8="(ft^3/year)",(J147*DEFAULTS!$B$57),IF(K$8="(av ft^3/min)",(J147*DEFAULTS!$B$57/DEFAULTS!$B$58),0)))</f>
        <v>0</v>
      </c>
      <c r="L147" s="62">
        <f>IF(ISERROR(METHANE!$J161*DEFAULTS!$B$83*(IF('USER INPUTS'!$B$28="Total landfill gas",(1/($D$5/100)),IF('USER INPUTS'!$B$28="Methane",1,IF('USER INPUTS'!$B$28="Carbon dioxide",((1/($D$5/100))-1),(VLOOKUP('USER INPUTS'!$B$28,DEFAULTS!$E$8:$F$69,2,FALSE))/10^6*(1/($D$5/100))))))),0,METHANE!$J161*DEFAULTS!$B$83*(IF('USER INPUTS'!$B$28="Total landfill gas",(1/($D$5/100)),IF('USER INPUTS'!$B$28="Methane",1,IF('USER INPUTS'!$B$28="Carbon dioxide",((1/($D$5/100))-1),(VLOOKUP('USER INPUTS'!$B$28,DEFAULTS!$E$8:$F$69,2,FALSE))/10^6*(1/($D$5/100)))))))</f>
        <v>572.74030820094754</v>
      </c>
      <c r="M147" s="62">
        <f>IF(ISERROR(METHANE!$J161*(IF('USER INPUTS'!$B$28="Total landfill gas",(1/($D$5/100)),IF('USER INPUTS'!$B$28="Methane",1,IF('USER INPUTS'!$B$28="Carbon dioxide",((1/($D$5/100))-1),(VLOOKUP('USER INPUTS'!$B$28,DEFAULTS!$E$8:$F$69,2,FALSE))/10^6*(1/($D$5/100))))))),0,METHANE!$J161*(IF('USER INPUTS'!$B$28="Total landfill gas",(1/($D$5/100)),IF('USER INPUTS'!$B$28="Methane",1,IF('USER INPUTS'!$B$28="Carbon dioxide",((1/($D$5/100))-1),(VLOOKUP('USER INPUTS'!$B$28,DEFAULTS!$E$8:$F$69,2,FALSE))/10^6*(1/($D$5/100)))))))</f>
        <v>312887.56434014713</v>
      </c>
      <c r="N147" s="62">
        <f>IF(N$8="(short tons/year)",(L147*DEFAULTS!$B$55*DEFAULTS!$B$53/DEFAULTS!$B$54),IF(N$8="(ft^3/year)",(M147*DEFAULTS!$B$57),IF(N$8="(av ft^3/min)",(M147*DEFAULTS!$B$57/DEFAULTS!$B$58),0)))</f>
        <v>21.022877349072097</v>
      </c>
      <c r="O147" s="62">
        <f>IF(ISERROR(METHANE!$J161*DEFAULTS!$B$84*(IF('USER INPUTS'!$B$30="Total landfill gas",(1/($D$5/100)),IF('USER INPUTS'!$B$30="Methane",1,IF('USER INPUTS'!$B$30="Carbon dioxide",((1/($D$5/100))-1),(VLOOKUP('USER INPUTS'!$B$30,DEFAULTS!$E$8:$F$69,2,FALSE))/10^6*(1/($D$5/100))))))),0,METHANE!$J161*DEFAULTS!$B$84*(IF('USER INPUTS'!$B$30="Total landfill gas",(1/($D$5/100)),IF('USER INPUTS'!$B$30="Methane",1,IF('USER INPUTS'!$B$30="Carbon dioxide",((1/($D$5/100))-1),(VLOOKUP('USER INPUTS'!$B$30,DEFAULTS!$E$8:$F$69,2,FALSE))/10^6*(1/($D$5/100)))))))</f>
        <v>0</v>
      </c>
      <c r="P147" s="62">
        <f>IF(ISERROR(METHANE!$J161*(IF('USER INPUTS'!$B$30="Total landfill gas",(1/($D$5/100)),IF('USER INPUTS'!$B$30="Methane",1,IF('USER INPUTS'!$B$30="Carbon dioxide",((1/($D$5/100))-1),(VLOOKUP('USER INPUTS'!$B$30,DEFAULTS!$E$8:$F$69,2,FALSE))/10^6*(1/($D$5/100))))))),0,METHANE!$J161*(IF('USER INPUTS'!$B$30="Total landfill gas",(1/($D$5/100)),IF('USER INPUTS'!$B$30="Methane",1,IF('USER INPUTS'!$B$30="Carbon dioxide",((1/($D$5/100))-1),(VLOOKUP('USER INPUTS'!$B$30,DEFAULTS!$E$8:$F$69,2,FALSE))/10^6*(1/($D$5/100)))))))</f>
        <v>0</v>
      </c>
      <c r="Q147" s="162">
        <f>IF(Q$8="(short tons/year)",(O147*DEFAULTS!$B$55*DEFAULTS!$B$53/DEFAULTS!$B$54),IF(Q$8="(ft^3/year)",(P147*DEFAULTS!$B$57),IF(Q$8="(av ft^3/min)",(P147*DEFAULTS!$B$57/DEFAULTS!$B$58),0)))</f>
        <v>0</v>
      </c>
    </row>
    <row r="148" spans="1:17">
      <c r="A148" s="68">
        <f>METHANE!I162</f>
        <v>2157</v>
      </c>
      <c r="B148" s="361">
        <v>0</v>
      </c>
      <c r="C148" s="361">
        <v>0</v>
      </c>
      <c r="D148" s="364">
        <f t="shared" si="2"/>
        <v>12946986</v>
      </c>
      <c r="E148" s="364">
        <f t="shared" si="3"/>
        <v>14241684.6</v>
      </c>
      <c r="F148" s="62">
        <f>IF(ISERROR(METHANE!$J162*DEFAULTS!$B$81*(IF('USER INPUTS'!$B$24="Total landfill gas",(1/($D$5/100)),IF('USER INPUTS'!$B$24="Methane",1,IF('USER INPUTS'!$B$24="Carbon dioxide",((1/($D$5/100))-1),(VLOOKUP('USER INPUTS'!$B$24,DEFAULTS!$E$8:$F$69,2,FALSE))/10^6*(1/($D$5/100))))))),0,METHANE!$J162*DEFAULTS!$B$81*(IF('USER INPUTS'!$B$24="Total landfill gas",(1/($D$5/100)),IF('USER INPUTS'!$B$24="Methane",1,IF('USER INPUTS'!$B$24="Carbon dioxide",((1/($D$5/100))-1),(VLOOKUP('USER INPUTS'!$B$24,DEFAULTS!$E$8:$F$69,2,FALSE))/10^6*(1/($D$5/100)))))))</f>
        <v>0</v>
      </c>
      <c r="G148" s="62">
        <f>IF(ISERROR(METHANE!$J162*(IF('USER INPUTS'!$B$24="Total landfill gas",(1/($D$5/100)),IF('USER INPUTS'!$B$24="Methane",1,IF('USER INPUTS'!$B$24="Carbon dioxide",((1/($D$5/100))-1),(VLOOKUP('USER INPUTS'!$B$24,DEFAULTS!$E$8:$F$69,2,FALSE))/10^6*(1/($D$5/100))))))),0,METHANE!$J162*(IF('USER INPUTS'!$B$24="Total landfill gas",(1/($D$5/100)),IF('USER INPUTS'!$B$24="Methane",1,IF('USER INPUTS'!$B$24="Carbon dioxide",((1/($D$5/100))-1),(VLOOKUP('USER INPUTS'!$B$24,DEFAULTS!$E$8:$F$69,2,FALSE))/10^6*(1/($D$5/100)))))))</f>
        <v>0</v>
      </c>
      <c r="H148" s="62">
        <f>IF(H$8="(short tons/year)",(F148*DEFAULTS!$B$55*DEFAULTS!$B$53/DEFAULTS!$B$54),IF(H$8="(ft^3/year)",(G148*DEFAULTS!$B$57),IF(H$8="(av ft^3/min)",(G148*DEFAULTS!$B$57/DEFAULTS!$B$58),0)))</f>
        <v>0</v>
      </c>
      <c r="I148" s="62">
        <f>IF(ISERROR(METHANE!$J162*DEFAULTS!$B$82*(IF('USER INPUTS'!$B$26="Total landfill gas",(1/($D$5/100)),IF('USER INPUTS'!$B$26="Methane",1,IF('USER INPUTS'!$B$26="Carbon dioxide",((1/($D$5/100))-1),(VLOOKUP('USER INPUTS'!$B$26,DEFAULTS!$E$8:$F$69,2,FALSE))/10^6*(1/($D$5/100))))))),0,METHANE!$J162*DEFAULTS!$B$82*(IF('USER INPUTS'!$B$26="Total landfill gas",(1/($D$5/100)),IF('USER INPUTS'!$B$26="Methane",1,IF('USER INPUTS'!$B$26="Carbon dioxide",((1/($D$5/100))-1),(VLOOKUP('USER INPUTS'!$B$26,DEFAULTS!$E$8:$F$69,2,FALSE))/10^6*(1/($D$5/100)))))))</f>
        <v>0</v>
      </c>
      <c r="J148" s="62">
        <f>IF(ISERROR(METHANE!$J162*(IF('USER INPUTS'!$B$26="Total landfill gas",(1/($D$5/100)),IF('USER INPUTS'!$B$26="Methane",1,IF('USER INPUTS'!$B$26="Carbon dioxide",((1/($D$5/100))-1),(VLOOKUP('USER INPUTS'!$B$26,DEFAULTS!$E$8:$F$69,2,FALSE))/10^6*(1/($D$5/100))))))),0,METHANE!$J162*(IF('USER INPUTS'!$B$26="Total landfill gas",(1/($D$5/100)),IF('USER INPUTS'!$B$26="Methane",1,IF('USER INPUTS'!$B$26="Carbon dioxide",((1/($D$5/100))-1),(VLOOKUP('USER INPUTS'!$B$26,DEFAULTS!$E$8:$F$69,2,FALSE))/10^6*(1/($D$5/100)))))))</f>
        <v>0</v>
      </c>
      <c r="K148" s="62">
        <f>IF(K$8="(short tons/year)",(I148*DEFAULTS!$B$55*DEFAULTS!$B$53/DEFAULTS!$B$54),IF(K$8="(ft^3/year)",(J148*DEFAULTS!$B$57),IF(K$8="(av ft^3/min)",(J148*DEFAULTS!$B$57/DEFAULTS!$B$58),0)))</f>
        <v>0</v>
      </c>
      <c r="L148" s="62">
        <f>IF(ISERROR(METHANE!$J162*DEFAULTS!$B$83*(IF('USER INPUTS'!$B$28="Total landfill gas",(1/($D$5/100)),IF('USER INPUTS'!$B$28="Methane",1,IF('USER INPUTS'!$B$28="Carbon dioxide",((1/($D$5/100))-1),(VLOOKUP('USER INPUTS'!$B$28,DEFAULTS!$E$8:$F$69,2,FALSE))/10^6*(1/($D$5/100))))))),0,METHANE!$J162*DEFAULTS!$B$83*(IF('USER INPUTS'!$B$28="Total landfill gas",(1/($D$5/100)),IF('USER INPUTS'!$B$28="Methane",1,IF('USER INPUTS'!$B$28="Carbon dioxide",((1/($D$5/100))-1),(VLOOKUP('USER INPUTS'!$B$28,DEFAULTS!$E$8:$F$69,2,FALSE))/10^6*(1/($D$5/100)))))))</f>
        <v>550.28283949631702</v>
      </c>
      <c r="M148" s="62">
        <f>IF(ISERROR(METHANE!$J162*(IF('USER INPUTS'!$B$28="Total landfill gas",(1/($D$5/100)),IF('USER INPUTS'!$B$28="Methane",1,IF('USER INPUTS'!$B$28="Carbon dioxide",((1/($D$5/100))-1),(VLOOKUP('USER INPUTS'!$B$28,DEFAULTS!$E$8:$F$69,2,FALSE))/10^6*(1/($D$5/100))))))),0,METHANE!$J162*(IF('USER INPUTS'!$B$28="Total landfill gas",(1/($D$5/100)),IF('USER INPUTS'!$B$28="Methane",1,IF('USER INPUTS'!$B$28="Carbon dioxide",((1/($D$5/100))-1),(VLOOKUP('USER INPUTS'!$B$28,DEFAULTS!$E$8:$F$69,2,FALSE))/10^6*(1/($D$5/100)))))))</f>
        <v>300619.06746010634</v>
      </c>
      <c r="N148" s="62">
        <f>IF(N$8="(short tons/year)",(L148*DEFAULTS!$B$55*DEFAULTS!$B$53/DEFAULTS!$B$54),IF(N$8="(ft^3/year)",(M148*DEFAULTS!$B$57),IF(N$8="(av ft^3/min)",(M148*DEFAULTS!$B$57/DEFAULTS!$B$58),0)))</f>
        <v>20.198558537583057</v>
      </c>
      <c r="O148" s="62">
        <f>IF(ISERROR(METHANE!$J162*DEFAULTS!$B$84*(IF('USER INPUTS'!$B$30="Total landfill gas",(1/($D$5/100)),IF('USER INPUTS'!$B$30="Methane",1,IF('USER INPUTS'!$B$30="Carbon dioxide",((1/($D$5/100))-1),(VLOOKUP('USER INPUTS'!$B$30,DEFAULTS!$E$8:$F$69,2,FALSE))/10^6*(1/($D$5/100))))))),0,METHANE!$J162*DEFAULTS!$B$84*(IF('USER INPUTS'!$B$30="Total landfill gas",(1/($D$5/100)),IF('USER INPUTS'!$B$30="Methane",1,IF('USER INPUTS'!$B$30="Carbon dioxide",((1/($D$5/100))-1),(VLOOKUP('USER INPUTS'!$B$30,DEFAULTS!$E$8:$F$69,2,FALSE))/10^6*(1/($D$5/100)))))))</f>
        <v>0</v>
      </c>
      <c r="P148" s="62">
        <f>IF(ISERROR(METHANE!$J162*(IF('USER INPUTS'!$B$30="Total landfill gas",(1/($D$5/100)),IF('USER INPUTS'!$B$30="Methane",1,IF('USER INPUTS'!$B$30="Carbon dioxide",((1/($D$5/100))-1),(VLOOKUP('USER INPUTS'!$B$30,DEFAULTS!$E$8:$F$69,2,FALSE))/10^6*(1/($D$5/100))))))),0,METHANE!$J162*(IF('USER INPUTS'!$B$30="Total landfill gas",(1/($D$5/100)),IF('USER INPUTS'!$B$30="Methane",1,IF('USER INPUTS'!$B$30="Carbon dioxide",((1/($D$5/100))-1),(VLOOKUP('USER INPUTS'!$B$30,DEFAULTS!$E$8:$F$69,2,FALSE))/10^6*(1/($D$5/100)))))))</f>
        <v>0</v>
      </c>
      <c r="Q148" s="162">
        <f>IF(Q$8="(short tons/year)",(O148*DEFAULTS!$B$55*DEFAULTS!$B$53/DEFAULTS!$B$54),IF(Q$8="(ft^3/year)",(P148*DEFAULTS!$B$57),IF(Q$8="(av ft^3/min)",(P148*DEFAULTS!$B$57/DEFAULTS!$B$58),0)))</f>
        <v>0</v>
      </c>
    </row>
    <row r="149" spans="1:17" ht="13.5" thickBot="1">
      <c r="A149" s="69">
        <f>METHANE!I163</f>
        <v>2158</v>
      </c>
      <c r="B149" s="416">
        <v>0</v>
      </c>
      <c r="C149" s="416">
        <v>0</v>
      </c>
      <c r="D149" s="417">
        <f t="shared" si="2"/>
        <v>12946986</v>
      </c>
      <c r="E149" s="417">
        <f t="shared" si="3"/>
        <v>14241684.6</v>
      </c>
      <c r="F149" s="165">
        <f>IF(ISERROR(METHANE!$J163*DEFAULTS!$B$81*(IF('USER INPUTS'!$B$24="Total landfill gas",(1/($D$5/100)),IF('USER INPUTS'!$B$24="Methane",1,IF('USER INPUTS'!$B$24="Carbon dioxide",((1/($D$5/100))-1),(VLOOKUP('USER INPUTS'!$B$24,DEFAULTS!$E$8:$F$69,2,FALSE))/10^6*(1/($D$5/100))))))),0,METHANE!$J163*DEFAULTS!$B$81*(IF('USER INPUTS'!$B$24="Total landfill gas",(1/($D$5/100)),IF('USER INPUTS'!$B$24="Methane",1,IF('USER INPUTS'!$B$24="Carbon dioxide",((1/($D$5/100))-1),(VLOOKUP('USER INPUTS'!$B$24,DEFAULTS!$E$8:$F$69,2,FALSE))/10^6*(1/($D$5/100)))))))</f>
        <v>0</v>
      </c>
      <c r="G149" s="165">
        <f>IF(ISERROR(METHANE!$J163*(IF('USER INPUTS'!$B$24="Total landfill gas",(1/($D$5/100)),IF('USER INPUTS'!$B$24="Methane",1,IF('USER INPUTS'!$B$24="Carbon dioxide",((1/($D$5/100))-1),(VLOOKUP('USER INPUTS'!$B$24,DEFAULTS!$E$8:$F$69,2,FALSE))/10^6*(1/($D$5/100))))))),0,METHANE!$J163*(IF('USER INPUTS'!$B$24="Total landfill gas",(1/($D$5/100)),IF('USER INPUTS'!$B$24="Methane",1,IF('USER INPUTS'!$B$24="Carbon dioxide",((1/($D$5/100))-1),(VLOOKUP('USER INPUTS'!$B$24,DEFAULTS!$E$8:$F$69,2,FALSE))/10^6*(1/($D$5/100)))))))</f>
        <v>0</v>
      </c>
      <c r="H149" s="165">
        <f>IF(H$8="(short tons/year)",(F149*DEFAULTS!$B$55*DEFAULTS!$B$53/DEFAULTS!$B$54),IF(H$8="(ft^3/year)",(G149*DEFAULTS!$B$57),IF(H$8="(av ft^3/min)",(G149*DEFAULTS!$B$57/DEFAULTS!$B$58),0)))</f>
        <v>0</v>
      </c>
      <c r="I149" s="165">
        <f>IF(ISERROR(METHANE!$J163*DEFAULTS!$B$82*(IF('USER INPUTS'!$B$26="Total landfill gas",(1/($D$5/100)),IF('USER INPUTS'!$B$26="Methane",1,IF('USER INPUTS'!$B$26="Carbon dioxide",((1/($D$5/100))-1),(VLOOKUP('USER INPUTS'!$B$26,DEFAULTS!$E$8:$F$69,2,FALSE))/10^6*(1/($D$5/100))))))),0,METHANE!$J163*DEFAULTS!$B$82*(IF('USER INPUTS'!$B$26="Total landfill gas",(1/($D$5/100)),IF('USER INPUTS'!$B$26="Methane",1,IF('USER INPUTS'!$B$26="Carbon dioxide",((1/($D$5/100))-1),(VLOOKUP('USER INPUTS'!$B$26,DEFAULTS!$E$8:$F$69,2,FALSE))/10^6*(1/($D$5/100)))))))</f>
        <v>0</v>
      </c>
      <c r="J149" s="165">
        <f>IF(ISERROR(METHANE!$J163*(IF('USER INPUTS'!$B$26="Total landfill gas",(1/($D$5/100)),IF('USER INPUTS'!$B$26="Methane",1,IF('USER INPUTS'!$B$26="Carbon dioxide",((1/($D$5/100))-1),(VLOOKUP('USER INPUTS'!$B$26,DEFAULTS!$E$8:$F$69,2,FALSE))/10^6*(1/($D$5/100))))))),0,METHANE!$J163*(IF('USER INPUTS'!$B$26="Total landfill gas",(1/($D$5/100)),IF('USER INPUTS'!$B$26="Methane",1,IF('USER INPUTS'!$B$26="Carbon dioxide",((1/($D$5/100))-1),(VLOOKUP('USER INPUTS'!$B$26,DEFAULTS!$E$8:$F$69,2,FALSE))/10^6*(1/($D$5/100)))))))</f>
        <v>0</v>
      </c>
      <c r="K149" s="165">
        <f>IF(K$8="(short tons/year)",(I149*DEFAULTS!$B$55*DEFAULTS!$B$53/DEFAULTS!$B$54),IF(K$8="(ft^3/year)",(J149*DEFAULTS!$B$57),IF(K$8="(av ft^3/min)",(J149*DEFAULTS!$B$57/DEFAULTS!$B$58),0)))</f>
        <v>0</v>
      </c>
      <c r="L149" s="165">
        <f>IF(ISERROR(METHANE!$J163*DEFAULTS!$B$83*(IF('USER INPUTS'!$B$28="Total landfill gas",(1/($D$5/100)),IF('USER INPUTS'!$B$28="Methane",1,IF('USER INPUTS'!$B$28="Carbon dioxide",((1/($D$5/100))-1),(VLOOKUP('USER INPUTS'!$B$28,DEFAULTS!$E$8:$F$69,2,FALSE))/10^6*(1/($D$5/100))))))),0,METHANE!$J163*DEFAULTS!$B$83*(IF('USER INPUTS'!$B$28="Total landfill gas",(1/($D$5/100)),IF('USER INPUTS'!$B$28="Methane",1,IF('USER INPUTS'!$B$28="Carbon dioxide",((1/($D$5/100))-1),(VLOOKUP('USER INPUTS'!$B$28,DEFAULTS!$E$8:$F$69,2,FALSE))/10^6*(1/($D$5/100)))))))</f>
        <v>528.70594073481436</v>
      </c>
      <c r="M149" s="165">
        <f>IF(ISERROR(METHANE!$J163*(IF('USER INPUTS'!$B$28="Total landfill gas",(1/($D$5/100)),IF('USER INPUTS'!$B$28="Methane",1,IF('USER INPUTS'!$B$28="Carbon dioxide",((1/($D$5/100))-1),(VLOOKUP('USER INPUTS'!$B$28,DEFAULTS!$E$8:$F$69,2,FALSE))/10^6*(1/($D$5/100))))))),0,METHANE!$J163*(IF('USER INPUTS'!$B$28="Total landfill gas",(1/($D$5/100)),IF('USER INPUTS'!$B$28="Methane",1,IF('USER INPUTS'!$B$28="Carbon dioxide",((1/($D$5/100))-1),(VLOOKUP('USER INPUTS'!$B$28,DEFAULTS!$E$8:$F$69,2,FALSE))/10^6*(1/($D$5/100)))))))</f>
        <v>288831.62522349</v>
      </c>
      <c r="N149" s="165">
        <f>IF(N$8="(short tons/year)",(L149*DEFAULTS!$B$55*DEFAULTS!$B$53/DEFAULTS!$B$54),IF(N$8="(ft^3/year)",(M149*DEFAULTS!$B$57),IF(N$8="(av ft^3/min)",(M149*DEFAULTS!$B$57/DEFAULTS!$B$58),0)))</f>
        <v>19.406561729009795</v>
      </c>
      <c r="O149" s="165">
        <f>IF(ISERROR(METHANE!$J163*DEFAULTS!$B$84*(IF('USER INPUTS'!$B$30="Total landfill gas",(1/($D$5/100)),IF('USER INPUTS'!$B$30="Methane",1,IF('USER INPUTS'!$B$30="Carbon dioxide",((1/($D$5/100))-1),(VLOOKUP('USER INPUTS'!$B$30,DEFAULTS!$E$8:$F$69,2,FALSE))/10^6*(1/($D$5/100))))))),0,METHANE!$J163*DEFAULTS!$B$84*(IF('USER INPUTS'!$B$30="Total landfill gas",(1/($D$5/100)),IF('USER INPUTS'!$B$30="Methane",1,IF('USER INPUTS'!$B$30="Carbon dioxide",((1/($D$5/100))-1),(VLOOKUP('USER INPUTS'!$B$30,DEFAULTS!$E$8:$F$69,2,FALSE))/10^6*(1/($D$5/100)))))))</f>
        <v>0</v>
      </c>
      <c r="P149" s="165">
        <f>IF(ISERROR(METHANE!$J163*(IF('USER INPUTS'!$B$30="Total landfill gas",(1/($D$5/100)),IF('USER INPUTS'!$B$30="Methane",1,IF('USER INPUTS'!$B$30="Carbon dioxide",((1/($D$5/100))-1),(VLOOKUP('USER INPUTS'!$B$30,DEFAULTS!$E$8:$F$69,2,FALSE))/10^6*(1/($D$5/100))))))),0,METHANE!$J163*(IF('USER INPUTS'!$B$30="Total landfill gas",(1/($D$5/100)),IF('USER INPUTS'!$B$30="Methane",1,IF('USER INPUTS'!$B$30="Carbon dioxide",((1/($D$5/100))-1),(VLOOKUP('USER INPUTS'!$B$30,DEFAULTS!$E$8:$F$69,2,FALSE))/10^6*(1/($D$5/100)))))))</f>
        <v>0</v>
      </c>
      <c r="Q149" s="166">
        <f>IF(Q$8="(short tons/year)",(O149*DEFAULTS!$B$55*DEFAULTS!$B$53/DEFAULTS!$B$54),IF(Q$8="(ft^3/year)",(P149*DEFAULTS!$B$57),IF(Q$8="(av ft^3/min)",(P149*DEFAULTS!$B$57/DEFAULTS!$B$58),0)))</f>
        <v>0</v>
      </c>
    </row>
  </sheetData>
  <sheetProtection password="A4D6" sheet="1" objects="1" scenarios="1"/>
  <mergeCells count="10">
    <mergeCell ref="O7:Q7"/>
    <mergeCell ref="D7:E7"/>
    <mergeCell ref="B7:C7"/>
    <mergeCell ref="E1:G1"/>
    <mergeCell ref="F3:H4"/>
    <mergeCell ref="F7:H7"/>
    <mergeCell ref="I7:K7"/>
    <mergeCell ref="A2:E3"/>
    <mergeCell ref="L7:N7"/>
    <mergeCell ref="A7:A8"/>
  </mergeCells>
  <phoneticPr fontId="51" type="noConversion"/>
  <printOptions horizontalCentered="1"/>
  <pageMargins left="0.2" right="0.2" top="0.5" bottom="0.5" header="0.2" footer="0.2"/>
  <pageSetup scale="49" fitToHeight="2" orientation="landscape" blackAndWhite="1" r:id="rId1"/>
  <headerFooter alignWithMargins="0">
    <oddHeader>&amp;L&amp;9&amp;F&amp;R&amp;9&amp;D</oddHeader>
    <oddFooter>&amp;C&amp;9RESULTS - &amp;P</oddFooter>
  </headerFooter>
  <rowBreaks count="1" manualBreakCount="1">
    <brk id="78" max="16" man="1"/>
  </rowBreaks>
  <drawing r:id="rId2"/>
  <legacyDrawing r:id="rId3"/>
  <controls>
    <mc:AlternateContent xmlns:mc="http://schemas.openxmlformats.org/markup-compatibility/2006">
      <mc:Choice Requires="x14">
        <control shapeId="3074" r:id="rId4" name="EmissRateUnit">
          <controlPr defaultSize="0" autoLine="0" autoPict="0" linkedCell="H5" listFillRange="DEFAULTS!A48:A50" r:id="rId5">
            <anchor moveWithCells="1">
              <from>
                <xdr:col>7</xdr:col>
                <xdr:colOff>0</xdr:colOff>
                <xdr:row>4</xdr:row>
                <xdr:rowOff>9525</xdr:rowOff>
              </from>
              <to>
                <xdr:col>8</xdr:col>
                <xdr:colOff>114300</xdr:colOff>
                <xdr:row>5</xdr:row>
                <xdr:rowOff>28575</xdr:rowOff>
              </to>
            </anchor>
          </controlPr>
        </control>
      </mc:Choice>
      <mc:Fallback>
        <control shapeId="3074" r:id="rId4" name="EmissRateUnit"/>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H57"/>
  <sheetViews>
    <sheetView showGridLines="0" zoomScaleNormal="100" workbookViewId="0">
      <selection activeCell="A2" sqref="A2:H21"/>
    </sheetView>
  </sheetViews>
  <sheetFormatPr defaultRowHeight="12.75"/>
  <cols>
    <col min="1" max="7" width="9.140625" style="17"/>
    <col min="8" max="8" width="10.140625" style="17" customWidth="1"/>
    <col min="9" max="16384" width="9.140625" style="17"/>
  </cols>
  <sheetData>
    <row r="1" spans="1:8" ht="18">
      <c r="A1" s="196" t="s">
        <v>171</v>
      </c>
      <c r="D1" s="169" t="s">
        <v>170</v>
      </c>
      <c r="E1" s="670" t="str">
        <f>IF('USER INPUTS'!$E$1=0,"",'USER INPUTS'!$E$1)</f>
        <v>TPA Muara Fajar 2 Kota Pekanbaru</v>
      </c>
      <c r="F1" s="670"/>
      <c r="G1" s="670"/>
      <c r="H1" s="670"/>
    </row>
    <row r="18" spans="7:8">
      <c r="G18" s="284"/>
      <c r="H18" s="284"/>
    </row>
    <row r="19" spans="7:8">
      <c r="G19" s="284"/>
      <c r="H19" s="284"/>
    </row>
    <row r="20" spans="7:8">
      <c r="G20" s="284"/>
      <c r="H20" s="284"/>
    </row>
    <row r="21" spans="7:8">
      <c r="G21" s="284"/>
      <c r="H21" s="284"/>
    </row>
    <row r="22" spans="7:8">
      <c r="G22" s="284"/>
      <c r="H22" s="284"/>
    </row>
    <row r="23" spans="7:8">
      <c r="G23" s="284"/>
      <c r="H23" s="284"/>
    </row>
    <row r="24" spans="7:8">
      <c r="G24" s="284"/>
      <c r="H24" s="284"/>
    </row>
    <row r="25" spans="7:8">
      <c r="G25" s="284"/>
      <c r="H25" s="284"/>
    </row>
    <row r="26" spans="7:8">
      <c r="G26" s="284"/>
      <c r="H26" s="284"/>
    </row>
    <row r="27" spans="7:8">
      <c r="G27" s="284"/>
      <c r="H27" s="284"/>
    </row>
    <row r="28" spans="7:8">
      <c r="G28" s="284"/>
      <c r="H28" s="284"/>
    </row>
    <row r="29" spans="7:8">
      <c r="G29" s="284"/>
      <c r="H29" s="284"/>
    </row>
    <row r="30" spans="7:8">
      <c r="G30" s="284"/>
      <c r="H30" s="284"/>
    </row>
    <row r="31" spans="7:8">
      <c r="G31" s="284"/>
      <c r="H31" s="284"/>
    </row>
    <row r="32" spans="7:8">
      <c r="G32" s="284"/>
      <c r="H32" s="284"/>
    </row>
    <row r="33" spans="7:8">
      <c r="G33" s="284"/>
      <c r="H33" s="284"/>
    </row>
    <row r="34" spans="7:8">
      <c r="G34" s="284"/>
      <c r="H34" s="284"/>
    </row>
    <row r="35" spans="7:8">
      <c r="G35" s="284"/>
      <c r="H35" s="284"/>
    </row>
    <row r="36" spans="7:8">
      <c r="G36" s="284"/>
      <c r="H36" s="284"/>
    </row>
    <row r="37" spans="7:8">
      <c r="G37" s="284"/>
      <c r="H37" s="284"/>
    </row>
    <row r="38" spans="7:8">
      <c r="G38" s="284"/>
      <c r="H38" s="284"/>
    </row>
    <row r="39" spans="7:8">
      <c r="G39" s="284"/>
      <c r="H39" s="284"/>
    </row>
    <row r="40" spans="7:8">
      <c r="G40" s="284"/>
      <c r="H40" s="284"/>
    </row>
    <row r="41" spans="7:8">
      <c r="G41" s="284"/>
      <c r="H41" s="284"/>
    </row>
    <row r="42" spans="7:8">
      <c r="G42" s="284"/>
      <c r="H42" s="284"/>
    </row>
    <row r="43" spans="7:8">
      <c r="G43" s="284"/>
      <c r="H43" s="284"/>
    </row>
    <row r="44" spans="7:8">
      <c r="G44" s="284"/>
      <c r="H44" s="284"/>
    </row>
    <row r="45" spans="7:8">
      <c r="G45" s="284"/>
      <c r="H45" s="284"/>
    </row>
    <row r="46" spans="7:8">
      <c r="G46" s="284"/>
      <c r="H46" s="284"/>
    </row>
    <row r="47" spans="7:8">
      <c r="G47" s="284"/>
      <c r="H47" s="284"/>
    </row>
    <row r="48" spans="7:8">
      <c r="G48" s="284"/>
      <c r="H48" s="284"/>
    </row>
    <row r="49" spans="7:8">
      <c r="G49" s="284"/>
      <c r="H49" s="284"/>
    </row>
    <row r="50" spans="7:8">
      <c r="G50" s="284"/>
      <c r="H50" s="284"/>
    </row>
    <row r="51" spans="7:8">
      <c r="G51" s="284"/>
      <c r="H51" s="284"/>
    </row>
    <row r="52" spans="7:8">
      <c r="G52" s="284"/>
      <c r="H52" s="284"/>
    </row>
    <row r="53" spans="7:8">
      <c r="G53" s="284"/>
      <c r="H53" s="284"/>
    </row>
    <row r="54" spans="7:8">
      <c r="G54" s="284"/>
      <c r="H54" s="284"/>
    </row>
    <row r="55" spans="7:8">
      <c r="G55" s="284"/>
      <c r="H55" s="284"/>
    </row>
    <row r="56" spans="7:8">
      <c r="G56" s="284"/>
      <c r="H56" s="284"/>
    </row>
    <row r="57" spans="7:8">
      <c r="G57" s="284"/>
      <c r="H57" s="284"/>
    </row>
  </sheetData>
  <sheetProtection password="A4D6" sheet="1" objects="1" scenarios="1"/>
  <mergeCells count="1">
    <mergeCell ref="E1:H1"/>
  </mergeCells>
  <phoneticPr fontId="51" type="noConversion"/>
  <printOptions horizontalCentered="1" verticalCentered="1"/>
  <pageMargins left="0.2" right="0.2" top="0.5" bottom="0.5" header="0.2" footer="0.2"/>
  <pageSetup scale="97" orientation="portrait" blackAndWhite="1" r:id="rId1"/>
  <headerFooter alignWithMargins="0">
    <oddHeader>&amp;L&amp;9&amp;F&amp;R&amp;9&amp;D</oddHeader>
    <oddFooter>&amp;C&amp;9GRAPHS -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111"/>
  <sheetViews>
    <sheetView zoomScaleNormal="100" workbookViewId="0"/>
  </sheetViews>
  <sheetFormatPr defaultRowHeight="12.75"/>
  <cols>
    <col min="1" max="1" width="3" style="17" customWidth="1"/>
    <col min="2" max="3" width="9.140625" style="17"/>
    <col min="4" max="4" width="13" style="17" customWidth="1"/>
    <col min="5" max="5" width="9.140625" style="17"/>
    <col min="6" max="6" width="6.140625" style="17" customWidth="1"/>
    <col min="7" max="10" width="15.85546875" style="17" customWidth="1"/>
    <col min="11" max="11" width="15.85546875" style="17" bestFit="1" customWidth="1"/>
    <col min="12" max="13" width="16.140625" style="17" customWidth="1"/>
    <col min="14" max="16384" width="9.140625" style="17"/>
  </cols>
  <sheetData>
    <row r="1" spans="1:15" ht="18">
      <c r="A1" s="196" t="s">
        <v>211</v>
      </c>
      <c r="F1" s="159" t="s">
        <v>170</v>
      </c>
      <c r="G1" s="635" t="str">
        <f>IF('USER INPUTS'!$E$1=0,"",'USER INPUTS'!$E$1)</f>
        <v>TPA Muara Fajar 2 Kota Pekanbaru</v>
      </c>
      <c r="H1" s="635"/>
      <c r="I1" s="635"/>
      <c r="J1" s="161"/>
    </row>
    <row r="2" spans="1:15">
      <c r="A2" s="206"/>
      <c r="B2" s="206"/>
      <c r="C2" s="206"/>
      <c r="D2" s="206"/>
      <c r="E2" s="206"/>
      <c r="F2" s="206"/>
      <c r="G2" s="206"/>
      <c r="H2" s="206"/>
      <c r="I2" s="206"/>
      <c r="J2" s="206"/>
      <c r="K2" s="206"/>
      <c r="L2" s="206"/>
      <c r="M2" s="206"/>
    </row>
    <row r="3" spans="1:15">
      <c r="A3" s="206"/>
      <c r="B3" s="216" t="s">
        <v>212</v>
      </c>
      <c r="C3" s="216"/>
      <c r="D3" s="216"/>
      <c r="E3" s="334"/>
      <c r="F3" s="316" t="str">
        <f>IF(AND($E$3&gt;0,OpenYear&lt;1900),"A valid landfill open year must be entered in the USER INPUTS worksheet to obtain valid emission inventory estimates below.","")</f>
        <v/>
      </c>
      <c r="G3" s="216"/>
      <c r="H3" s="216"/>
      <c r="I3" s="216"/>
      <c r="J3" s="216"/>
      <c r="K3" s="216"/>
      <c r="L3" s="216"/>
      <c r="M3" s="216"/>
      <c r="N3" s="216"/>
      <c r="O3" s="216"/>
    </row>
    <row r="4" spans="1:15" ht="13.5" thickBot="1">
      <c r="A4" s="206"/>
      <c r="B4" s="216"/>
      <c r="C4" s="216"/>
      <c r="D4" s="216"/>
      <c r="E4" s="244"/>
      <c r="F4" s="216"/>
      <c r="G4" s="216"/>
      <c r="H4" s="216"/>
      <c r="I4" s="216"/>
      <c r="J4" s="216"/>
      <c r="K4" s="216"/>
      <c r="L4" s="216"/>
      <c r="M4" s="216"/>
      <c r="N4" s="216"/>
      <c r="O4" s="216"/>
    </row>
    <row r="5" spans="1:15">
      <c r="A5" s="206"/>
      <c r="B5" s="674" t="s">
        <v>213</v>
      </c>
      <c r="C5" s="675"/>
      <c r="D5" s="675"/>
      <c r="E5" s="675"/>
      <c r="F5" s="676"/>
      <c r="G5" s="671" t="s">
        <v>214</v>
      </c>
      <c r="H5" s="672"/>
      <c r="I5" s="672"/>
      <c r="J5" s="672"/>
      <c r="K5" s="673"/>
      <c r="L5" s="207"/>
      <c r="M5" s="216"/>
      <c r="N5" s="216"/>
      <c r="O5" s="216"/>
    </row>
    <row r="6" spans="1:15" ht="14.25">
      <c r="A6" s="208"/>
      <c r="B6" s="677"/>
      <c r="C6" s="678"/>
      <c r="D6" s="678"/>
      <c r="E6" s="678"/>
      <c r="F6" s="679"/>
      <c r="G6" s="223" t="s">
        <v>50</v>
      </c>
      <c r="H6" s="223" t="s">
        <v>345</v>
      </c>
      <c r="I6" s="223" t="s">
        <v>348</v>
      </c>
      <c r="J6" s="223" t="s">
        <v>357</v>
      </c>
      <c r="K6" s="224" t="s">
        <v>169</v>
      </c>
      <c r="L6" s="209"/>
      <c r="M6" s="217"/>
      <c r="N6" s="217"/>
      <c r="O6" s="217"/>
    </row>
    <row r="7" spans="1:15">
      <c r="A7" s="208"/>
      <c r="B7" s="226" t="s">
        <v>45</v>
      </c>
      <c r="C7" s="227"/>
      <c r="D7" s="227"/>
      <c r="E7" s="227"/>
      <c r="F7" s="228"/>
      <c r="G7" s="317">
        <f>IF($E$3&gt;0,VLOOKUP($E$3,METHANE!$I$24:$J$163,2,0)*((VLOOKUP($B7,DEFAULTS!$E$8:$G$69,3,FALSE)*DEFAULTS!$B$72)/(DEFAULTS!$B$73*DEFAULTS!$B$74*DEFAULTS!$B$56))*(1/(RESULTS!$D$5/100)),0)</f>
        <v>0</v>
      </c>
      <c r="H7" s="317">
        <f>IF($E$3&gt;0,VLOOKUP($E$3,METHANE!$I$24:$J$163,2,0)*(1/(RESULTS!$D$5/100)),0)</f>
        <v>0</v>
      </c>
      <c r="I7" s="317">
        <f>($H7*DEFAULTS!$B$57/DEFAULTS!$B$58)</f>
        <v>0</v>
      </c>
      <c r="J7" s="317">
        <f>($H7*DEFAULTS!$B$57)</f>
        <v>0</v>
      </c>
      <c r="K7" s="318">
        <f>($G7*DEFAULTS!$B$55*DEFAULTS!$B$53/DEFAULTS!$B$54)</f>
        <v>0</v>
      </c>
      <c r="L7" s="209"/>
      <c r="M7" s="217"/>
      <c r="N7" s="217"/>
      <c r="O7" s="217"/>
    </row>
    <row r="8" spans="1:15">
      <c r="A8" s="208"/>
      <c r="B8" s="229" t="s">
        <v>43</v>
      </c>
      <c r="C8" s="230"/>
      <c r="D8" s="230"/>
      <c r="E8" s="230"/>
      <c r="F8" s="231"/>
      <c r="G8" s="319">
        <f>IF($E$3&gt;0,VLOOKUP($E$3,METHANE!$I$24:$J$163,2,0)*((VLOOKUP($B8,DEFAULTS!$E$8:$G$69,3,FALSE)*DEFAULTS!$B$72)/(DEFAULTS!$B$73*DEFAULTS!$B$74*DEFAULTS!$B$56)),0)</f>
        <v>0</v>
      </c>
      <c r="H8" s="319">
        <f>IF($E$3&gt;0,VLOOKUP($E$3,METHANE!$I$24:$J$163,2,0),0)</f>
        <v>0</v>
      </c>
      <c r="I8" s="319">
        <f>($H8*DEFAULTS!$B$57/DEFAULTS!$B$58)</f>
        <v>0</v>
      </c>
      <c r="J8" s="319">
        <f>($H8*DEFAULTS!$B$57)</f>
        <v>0</v>
      </c>
      <c r="K8" s="320">
        <f>($G8*DEFAULTS!$B$55*DEFAULTS!$B$53/DEFAULTS!$B$54)</f>
        <v>0</v>
      </c>
      <c r="L8" s="210"/>
      <c r="M8" s="218"/>
      <c r="N8" s="218"/>
      <c r="O8" s="219"/>
    </row>
    <row r="9" spans="1:15">
      <c r="A9" s="211"/>
      <c r="B9" s="229" t="s">
        <v>44</v>
      </c>
      <c r="C9" s="230"/>
      <c r="D9" s="230"/>
      <c r="E9" s="230"/>
      <c r="F9" s="232"/>
      <c r="G9" s="319">
        <f>IF($E$3&gt;0,VLOOKUP($E$3,METHANE!$I$24:$J$163,2,0)*((VLOOKUP($B9,DEFAULTS!$E$8:$G$69,3,FALSE)*DEFAULTS!$B$72)/(DEFAULTS!$B$73*DEFAULTS!$B$74*DEFAULTS!$B$56))*((1/(RESULTS!$D$5/100))-1),0)</f>
        <v>0</v>
      </c>
      <c r="H9" s="319">
        <f>IF($E$3&gt;0,VLOOKUP($E$3,METHANE!$I$24:$J$163,2,0)*((1/(RESULTS!$D$5/100))-1),0)</f>
        <v>0</v>
      </c>
      <c r="I9" s="319">
        <f>($H9*DEFAULTS!$B$57/DEFAULTS!$B$58)</f>
        <v>0</v>
      </c>
      <c r="J9" s="319">
        <f>($H9*DEFAULTS!$B$57)</f>
        <v>0</v>
      </c>
      <c r="K9" s="320">
        <f>($G9*DEFAULTS!$B$55*DEFAULTS!$B$53/DEFAULTS!$B$54)</f>
        <v>0</v>
      </c>
      <c r="L9" s="219"/>
      <c r="M9" s="219"/>
      <c r="N9" s="219"/>
      <c r="O9" s="219"/>
    </row>
    <row r="10" spans="1:15">
      <c r="A10" s="211"/>
      <c r="B10" s="229" t="s">
        <v>60</v>
      </c>
      <c r="C10" s="230"/>
      <c r="D10" s="230"/>
      <c r="E10" s="230"/>
      <c r="F10" s="232"/>
      <c r="G10" s="319">
        <f>IF($E$3&gt;0,VLOOKUP($E$3,METHANE!$I$24:$J$163,2,0)*((VLOOKUP($B10,DEFAULTS!$E$8:$G$69,3,FALSE)*DEFAULTS!$B$72)/(DEFAULTS!$B$73*DEFAULTS!$B$74*DEFAULTS!$B$56))*(VLOOKUP($B10,DEFAULTS!$E$8:$F$69,2,FALSE)/10^4*(1/RESULTS!$D$5)),0)</f>
        <v>0</v>
      </c>
      <c r="H10" s="319">
        <f>IF($E$3&gt;0,VLOOKUP($E$3,METHANE!$I$24:$J$163,2,0)*(VLOOKUP($B10,DEFAULTS!$E$8:$F$69,2,FALSE)/10^4*(1/RESULTS!$D$5)),0)</f>
        <v>0</v>
      </c>
      <c r="I10" s="319">
        <f>($H10*DEFAULTS!$B$57/DEFAULTS!$B$58)</f>
        <v>0</v>
      </c>
      <c r="J10" s="319">
        <f>($H10*DEFAULTS!$B$57)</f>
        <v>0</v>
      </c>
      <c r="K10" s="320">
        <f>($G10*DEFAULTS!$B$55*DEFAULTS!$B$53/DEFAULTS!$B$54)</f>
        <v>0</v>
      </c>
      <c r="L10" s="219"/>
      <c r="M10" s="219"/>
      <c r="N10" s="219"/>
      <c r="O10" s="219"/>
    </row>
    <row r="11" spans="1:15">
      <c r="A11" s="211"/>
      <c r="B11" s="229" t="s">
        <v>86</v>
      </c>
      <c r="C11" s="230"/>
      <c r="D11" s="230"/>
      <c r="E11" s="230"/>
      <c r="F11" s="233"/>
      <c r="G11" s="319">
        <f>IF($E$3&gt;0,VLOOKUP($E$3,METHANE!$I$24:$J$163,2,0)*((VLOOKUP($B11,DEFAULTS!$E$8:$G$69,3,FALSE)*DEFAULTS!$B$72)/(DEFAULTS!$B$73*DEFAULTS!$B$74*DEFAULTS!$B$56))*(VLOOKUP($B11,DEFAULTS!$E$8:$F$69,2,FALSE)/10^6*(1/(RESULTS!$D$5/100))),0)</f>
        <v>0</v>
      </c>
      <c r="H11" s="319">
        <f>IF($E$3&gt;0,VLOOKUP($E$3,METHANE!$I$24:$J$163,2,0)*(VLOOKUP($B11,DEFAULTS!$E$8:$F$69,2,FALSE)/10^6*(1/(RESULTS!$D$5/100))),0)</f>
        <v>0</v>
      </c>
      <c r="I11" s="319">
        <f>($H11*DEFAULTS!$B$57/DEFAULTS!$B$58)</f>
        <v>0</v>
      </c>
      <c r="J11" s="319">
        <f>($H11*DEFAULTS!$B$57)</f>
        <v>0</v>
      </c>
      <c r="K11" s="320">
        <f>($G11*DEFAULTS!$B$55*DEFAULTS!$B$53/DEFAULTS!$B$54)</f>
        <v>0</v>
      </c>
      <c r="L11" s="212"/>
      <c r="M11" s="220"/>
      <c r="N11" s="220"/>
      <c r="O11" s="219"/>
    </row>
    <row r="12" spans="1:15">
      <c r="A12" s="211"/>
      <c r="B12" s="229" t="s">
        <v>87</v>
      </c>
      <c r="C12" s="230"/>
      <c r="D12" s="230"/>
      <c r="E12" s="230"/>
      <c r="F12" s="231"/>
      <c r="G12" s="319">
        <f>IF($E$3&gt;0,VLOOKUP($E$3,METHANE!$I$24:$J$163,2,0)*((VLOOKUP($B12,DEFAULTS!$E$8:$G$69,3,FALSE)*DEFAULTS!$B$72)/(DEFAULTS!$B$73*DEFAULTS!$B$74*DEFAULTS!$B$56))*(VLOOKUP($B12,DEFAULTS!$E$8:$F$69,2,FALSE)/10^6*(1/(RESULTS!$D$5/100))),0)</f>
        <v>0</v>
      </c>
      <c r="H12" s="319">
        <f>IF($E$3&gt;0,VLOOKUP($E$3,METHANE!$I$24:$J$163,2,0)*(VLOOKUP($B12,DEFAULTS!$E$8:$F$69,2,FALSE)/10^6*(1/(RESULTS!$D$5/100))),0)</f>
        <v>0</v>
      </c>
      <c r="I12" s="319">
        <f>($H12*DEFAULTS!$B$57/DEFAULTS!$B$58)</f>
        <v>0</v>
      </c>
      <c r="J12" s="319">
        <f>($H12*DEFAULTS!$B$57)</f>
        <v>0</v>
      </c>
      <c r="K12" s="320">
        <f>($G12*DEFAULTS!$B$55*DEFAULTS!$B$53/DEFAULTS!$B$54)</f>
        <v>0</v>
      </c>
      <c r="L12" s="213"/>
      <c r="M12" s="214"/>
      <c r="N12" s="220"/>
      <c r="O12" s="219"/>
    </row>
    <row r="13" spans="1:15">
      <c r="A13" s="211"/>
      <c r="B13" s="229" t="s">
        <v>88</v>
      </c>
      <c r="C13" s="230"/>
      <c r="D13" s="230"/>
      <c r="E13" s="230"/>
      <c r="F13" s="231"/>
      <c r="G13" s="319">
        <f>IF($E$3&gt;0,VLOOKUP($E$3,METHANE!$I$24:$J$163,2,0)*((VLOOKUP($B13,DEFAULTS!$E$8:$G$69,3,FALSE)*DEFAULTS!$B$72)/(DEFAULTS!$B$73*DEFAULTS!$B$74*DEFAULTS!$B$56))*(VLOOKUP($B13,DEFAULTS!$E$8:$F$69,2,FALSE)/10^6*(1/(RESULTS!$D$5/100))),0)</f>
        <v>0</v>
      </c>
      <c r="H13" s="319">
        <f>IF($E$3&gt;0,VLOOKUP($E$3,METHANE!$I$24:$J$163,2,0)*(VLOOKUP($B13,DEFAULTS!$E$8:$F$69,2,FALSE)/10^6*(1/(RESULTS!$D$5/100))),0)</f>
        <v>0</v>
      </c>
      <c r="I13" s="319">
        <f>($H13*DEFAULTS!$B$57/DEFAULTS!$B$58)</f>
        <v>0</v>
      </c>
      <c r="J13" s="319">
        <f>($H13*DEFAULTS!$B$57)</f>
        <v>0</v>
      </c>
      <c r="K13" s="320">
        <f>($G13*DEFAULTS!$B$55*DEFAULTS!$B$53/DEFAULTS!$B$54)</f>
        <v>0</v>
      </c>
      <c r="L13" s="213"/>
      <c r="M13" s="220"/>
      <c r="N13" s="220"/>
      <c r="O13" s="219"/>
    </row>
    <row r="14" spans="1:15">
      <c r="A14" s="211"/>
      <c r="B14" s="229" t="s">
        <v>89</v>
      </c>
      <c r="C14" s="230"/>
      <c r="D14" s="230"/>
      <c r="E14" s="230"/>
      <c r="F14" s="234"/>
      <c r="G14" s="319">
        <f>IF($E$3&gt;0,VLOOKUP($E$3,METHANE!$I$24:$J$163,2,0)*((VLOOKUP($B14,DEFAULTS!$E$8:$G$69,3,FALSE)*DEFAULTS!$B$72)/(DEFAULTS!$B$73*DEFAULTS!$B$74*DEFAULTS!$B$56))*(VLOOKUP($B14,DEFAULTS!$E$8:$F$69,2,FALSE)/10^6*(1/(RESULTS!$D$5/100))),0)</f>
        <v>0</v>
      </c>
      <c r="H14" s="319">
        <f>IF($E$3&gt;0,VLOOKUP($E$3,METHANE!$I$24:$J$163,2,0)*(VLOOKUP($B14,DEFAULTS!$E$8:$F$69,2,FALSE)/10^6*(1/(RESULTS!$D$5/100))),0)</f>
        <v>0</v>
      </c>
      <c r="I14" s="319">
        <f>($H14*DEFAULTS!$B$57/DEFAULTS!$B$58)</f>
        <v>0</v>
      </c>
      <c r="J14" s="319">
        <f>($H14*DEFAULTS!$B$57)</f>
        <v>0</v>
      </c>
      <c r="K14" s="320">
        <f>($G14*DEFAULTS!$B$55*DEFAULTS!$B$53/DEFAULTS!$B$54)</f>
        <v>0</v>
      </c>
      <c r="L14" s="215"/>
      <c r="M14" s="220"/>
      <c r="N14" s="220"/>
      <c r="O14" s="219"/>
    </row>
    <row r="15" spans="1:15">
      <c r="A15" s="211"/>
      <c r="B15" s="229" t="s">
        <v>90</v>
      </c>
      <c r="C15" s="230"/>
      <c r="D15" s="230"/>
      <c r="E15" s="230"/>
      <c r="F15" s="232"/>
      <c r="G15" s="319">
        <f>IF($E$3&gt;0,VLOOKUP($E$3,METHANE!$I$24:$J$163,2,0)*((VLOOKUP($B15,DEFAULTS!$E$8:$G$69,3,FALSE)*DEFAULTS!$B$72)/(DEFAULTS!$B$73*DEFAULTS!$B$74*DEFAULTS!$B$56))*(VLOOKUP($B15,DEFAULTS!$E$8:$F$69,2,FALSE)/10^6*(1/(RESULTS!$D$5/100))),0)</f>
        <v>0</v>
      </c>
      <c r="H15" s="319">
        <f>IF($E$3&gt;0,VLOOKUP($E$3,METHANE!$I$24:$J$163,2,0)*(VLOOKUP($B15,DEFAULTS!$E$8:$F$69,2,FALSE)/10^6*(1/(RESULTS!$D$5/100))),0)</f>
        <v>0</v>
      </c>
      <c r="I15" s="319">
        <f>($H15*DEFAULTS!$B$57/DEFAULTS!$B$58)</f>
        <v>0</v>
      </c>
      <c r="J15" s="319">
        <f>($H15*DEFAULTS!$B$57)</f>
        <v>0</v>
      </c>
      <c r="K15" s="320">
        <f>($G15*DEFAULTS!$B$55*DEFAULTS!$B$53/DEFAULTS!$B$54)</f>
        <v>0</v>
      </c>
      <c r="L15" s="219"/>
      <c r="M15" s="219"/>
      <c r="N15" s="219"/>
      <c r="O15" s="219"/>
    </row>
    <row r="16" spans="1:15">
      <c r="A16" s="211"/>
      <c r="B16" s="229" t="s">
        <v>91</v>
      </c>
      <c r="C16" s="230"/>
      <c r="D16" s="230"/>
      <c r="E16" s="230"/>
      <c r="F16" s="232"/>
      <c r="G16" s="319">
        <f>IF($E$3&gt;0,VLOOKUP($E$3,METHANE!$I$24:$J$163,2,0)*((VLOOKUP($B16,DEFAULTS!$E$8:$G$69,3,FALSE)*DEFAULTS!$B$72)/(DEFAULTS!$B$73*DEFAULTS!$B$74*DEFAULTS!$B$56))*(VLOOKUP($B16,DEFAULTS!$E$8:$F$69,2,FALSE)/10^6*(1/(RESULTS!$D$5/100))),0)</f>
        <v>0</v>
      </c>
      <c r="H16" s="319">
        <f>IF($E$3&gt;0,VLOOKUP($E$3,METHANE!$I$24:$J$163,2,0)*(VLOOKUP($B16,DEFAULTS!$E$8:$F$69,2,FALSE)/10^6*(1/(RESULTS!$D$5/100))),0)</f>
        <v>0</v>
      </c>
      <c r="I16" s="319">
        <f>($H16*DEFAULTS!$B$57/DEFAULTS!$B$58)</f>
        <v>0</v>
      </c>
      <c r="J16" s="319">
        <f>($H16*DEFAULTS!$B$57)</f>
        <v>0</v>
      </c>
      <c r="K16" s="320">
        <f>($G16*DEFAULTS!$B$55*DEFAULTS!$B$53/DEFAULTS!$B$54)</f>
        <v>0</v>
      </c>
      <c r="L16" s="219"/>
      <c r="M16" s="219"/>
      <c r="N16" s="219"/>
      <c r="O16" s="219"/>
    </row>
    <row r="17" spans="1:15">
      <c r="A17" s="211"/>
      <c r="B17" s="229" t="s">
        <v>92</v>
      </c>
      <c r="C17" s="230"/>
      <c r="D17" s="230"/>
      <c r="E17" s="230"/>
      <c r="F17" s="232"/>
      <c r="G17" s="319">
        <f>IF($E$3&gt;0,VLOOKUP($E$3,METHANE!$I$24:$J$163,2,0)*((VLOOKUP($B17,DEFAULTS!$E$8:$G$69,3,FALSE)*DEFAULTS!$B$72)/(DEFAULTS!$B$73*DEFAULTS!$B$74*DEFAULTS!$B$56))*(VLOOKUP($B17,DEFAULTS!$E$8:$F$69,2,FALSE)/10^6*(1/(RESULTS!$D$5/100))),0)</f>
        <v>0</v>
      </c>
      <c r="H17" s="319">
        <f>IF($E$3&gt;0,VLOOKUP($E$3,METHANE!$I$24:$J$163,2,0)*(VLOOKUP($B17,DEFAULTS!$E$8:$F$69,2,FALSE)/10^6*(1/(RESULTS!$D$5/100))),0)</f>
        <v>0</v>
      </c>
      <c r="I17" s="319">
        <f>($H17*DEFAULTS!$B$57/DEFAULTS!$B$58)</f>
        <v>0</v>
      </c>
      <c r="J17" s="319">
        <f>($H17*DEFAULTS!$B$57)</f>
        <v>0</v>
      </c>
      <c r="K17" s="320">
        <f>($G17*DEFAULTS!$B$55*DEFAULTS!$B$53/DEFAULTS!$B$54)</f>
        <v>0</v>
      </c>
      <c r="L17" s="219"/>
      <c r="M17" s="219"/>
      <c r="N17" s="219"/>
      <c r="O17" s="219"/>
    </row>
    <row r="18" spans="1:15">
      <c r="A18" s="211"/>
      <c r="B18" s="229" t="s">
        <v>13</v>
      </c>
      <c r="C18" s="230"/>
      <c r="D18" s="230"/>
      <c r="E18" s="230"/>
      <c r="F18" s="232"/>
      <c r="G18" s="319">
        <f>IF($E$3&gt;0,VLOOKUP($E$3,METHANE!$I$24:$J$163,2,0)*((VLOOKUP($B18,DEFAULTS!$E$8:$G$69,3,FALSE)*DEFAULTS!$B$72)/(DEFAULTS!$B$73*DEFAULTS!$B$74*DEFAULTS!$B$56))*(VLOOKUP($B18,DEFAULTS!$E$8:$F$69,2,FALSE)/10^6*(1/(RESULTS!$D$5/100))),0)</f>
        <v>0</v>
      </c>
      <c r="H18" s="319">
        <f>IF($E$3&gt;0,VLOOKUP($E$3,METHANE!$I$24:$J$163,2,0)*(VLOOKUP($B18,DEFAULTS!$E$8:$F$69,2,FALSE)/10^6*(1/(RESULTS!$D$5/100))),0)</f>
        <v>0</v>
      </c>
      <c r="I18" s="319">
        <f>($H18*DEFAULTS!$B$57/DEFAULTS!$B$58)</f>
        <v>0</v>
      </c>
      <c r="J18" s="319">
        <f>($H18*DEFAULTS!$B$57)</f>
        <v>0</v>
      </c>
      <c r="K18" s="320">
        <f>($G18*DEFAULTS!$B$55*DEFAULTS!$B$53/DEFAULTS!$B$54)</f>
        <v>0</v>
      </c>
      <c r="L18" s="219"/>
      <c r="M18" s="219"/>
      <c r="N18" s="219"/>
      <c r="O18" s="219"/>
    </row>
    <row r="19" spans="1:15">
      <c r="A19" s="211"/>
      <c r="B19" s="229" t="s">
        <v>93</v>
      </c>
      <c r="C19" s="230"/>
      <c r="D19" s="230"/>
      <c r="E19" s="230"/>
      <c r="F19" s="232"/>
      <c r="G19" s="319">
        <f>IF($E$3&gt;0,VLOOKUP($E$3,METHANE!$I$24:$J$163,2,0)*((VLOOKUP($B19,DEFAULTS!$E$8:$G$69,3,FALSE)*DEFAULTS!$B$72)/(DEFAULTS!$B$73*DEFAULTS!$B$74*DEFAULTS!$B$56))*(VLOOKUP($B19,DEFAULTS!$E$8:$F$69,2,FALSE)/10^6*(1/(RESULTS!$D$5/100))),0)</f>
        <v>0</v>
      </c>
      <c r="H19" s="319">
        <f>IF($E$3&gt;0,VLOOKUP($E$3,METHANE!$I$24:$J$163,2,0)*(VLOOKUP($B19,DEFAULTS!$E$8:$F$69,2,FALSE)/10^6*(1/(RESULTS!$D$5/100))),0)</f>
        <v>0</v>
      </c>
      <c r="I19" s="319">
        <f>($H19*DEFAULTS!$B$57/DEFAULTS!$B$58)</f>
        <v>0</v>
      </c>
      <c r="J19" s="319">
        <f>($H19*DEFAULTS!$B$57)</f>
        <v>0</v>
      </c>
      <c r="K19" s="320">
        <f>($G19*DEFAULTS!$B$55*DEFAULTS!$B$53/DEFAULTS!$B$54)</f>
        <v>0</v>
      </c>
      <c r="L19" s="219"/>
      <c r="M19" s="219"/>
      <c r="N19" s="219"/>
      <c r="O19" s="219"/>
    </row>
    <row r="20" spans="1:15">
      <c r="A20" s="211"/>
      <c r="B20" s="229" t="s">
        <v>232</v>
      </c>
      <c r="C20" s="230"/>
      <c r="D20" s="230"/>
      <c r="E20" s="230"/>
      <c r="F20" s="232"/>
      <c r="G20" s="319">
        <f>IF($E$3&gt;0,VLOOKUP($E$3,METHANE!$I$24:$J$163,2,0)*((VLOOKUP($B20,DEFAULTS!$E$8:$G$69,3,FALSE)*DEFAULTS!$B$72)/(DEFAULTS!$B$73*DEFAULTS!$B$74*DEFAULTS!$B$56))*(VLOOKUP($B20,DEFAULTS!$E$8:$F$69,2,FALSE)/10^6*(1/(RESULTS!$D$5/100))),0)</f>
        <v>0</v>
      </c>
      <c r="H20" s="319">
        <f>IF($E$3&gt;0,VLOOKUP($E$3,METHANE!$I$24:$J$163,2,0)*(VLOOKUP($B20,DEFAULTS!$E$8:$F$69,2,FALSE)/10^6*(1/(RESULTS!$D$5/100))),0)</f>
        <v>0</v>
      </c>
      <c r="I20" s="319">
        <f>($H20*DEFAULTS!$B$57/DEFAULTS!$B$58)</f>
        <v>0</v>
      </c>
      <c r="J20" s="319">
        <f>($H20*DEFAULTS!$B$57)</f>
        <v>0</v>
      </c>
      <c r="K20" s="320">
        <f>($G20*DEFAULTS!$B$55*DEFAULTS!$B$53/DEFAULTS!$B$54)</f>
        <v>0</v>
      </c>
      <c r="L20" s="219"/>
      <c r="M20" s="219"/>
      <c r="N20" s="219"/>
      <c r="O20" s="219"/>
    </row>
    <row r="21" spans="1:15">
      <c r="A21" s="211"/>
      <c r="B21" s="229" t="s">
        <v>233</v>
      </c>
      <c r="C21" s="230"/>
      <c r="D21" s="230"/>
      <c r="E21" s="230"/>
      <c r="F21" s="232"/>
      <c r="G21" s="319">
        <f>IF($E$3&gt;0,VLOOKUP($E$3,METHANE!$I$24:$J$163,2,0)*((VLOOKUP($B21,DEFAULTS!$E$8:$G$69,3,FALSE)*DEFAULTS!$B$72)/(DEFAULTS!$B$73*DEFAULTS!$B$74*DEFAULTS!$B$56))*(VLOOKUP($B21,DEFAULTS!$E$8:$F$69,2,FALSE)/10^6*(1/(RESULTS!$D$5/100))),0)</f>
        <v>0</v>
      </c>
      <c r="H21" s="319">
        <f>IF($E$3&gt;0,VLOOKUP($E$3,METHANE!$I$24:$J$163,2,0)*(VLOOKUP($B21,DEFAULTS!$E$8:$F$69,2,FALSE)/10^6*(1/(RESULTS!$D$5/100))),0)</f>
        <v>0</v>
      </c>
      <c r="I21" s="319">
        <f>($H21*DEFAULTS!$B$57/DEFAULTS!$B$58)</f>
        <v>0</v>
      </c>
      <c r="J21" s="319">
        <f>($H21*DEFAULTS!$B$57)</f>
        <v>0</v>
      </c>
      <c r="K21" s="320">
        <f>($G21*DEFAULTS!$B$55*DEFAULTS!$B$53/DEFAULTS!$B$54)</f>
        <v>0</v>
      </c>
      <c r="L21" s="219"/>
      <c r="M21" s="219"/>
      <c r="N21" s="219"/>
      <c r="O21" s="219"/>
    </row>
    <row r="22" spans="1:15">
      <c r="A22" s="211"/>
      <c r="B22" s="229" t="s">
        <v>94</v>
      </c>
      <c r="C22" s="230"/>
      <c r="D22" s="230"/>
      <c r="E22" s="230"/>
      <c r="F22" s="232"/>
      <c r="G22" s="319">
        <f>IF($E$3&gt;0,VLOOKUP($E$3,METHANE!$I$24:$J$163,2,0)*((VLOOKUP($B22,DEFAULTS!$E$8:$G$69,3,FALSE)*DEFAULTS!$B$72)/(DEFAULTS!$B$73*DEFAULTS!$B$74*DEFAULTS!$B$56))*(VLOOKUP($B22,DEFAULTS!$E$8:$F$69,2,FALSE)/10^6*(1/(RESULTS!$D$5/100))),0)</f>
        <v>0</v>
      </c>
      <c r="H22" s="319">
        <f>IF($E$3&gt;0,VLOOKUP($E$3,METHANE!$I$24:$J$163,2,0)*(VLOOKUP($B22,DEFAULTS!$E$8:$F$69,2,FALSE)/10^6*(1/(RESULTS!$D$5/100))),0)</f>
        <v>0</v>
      </c>
      <c r="I22" s="319">
        <f>($H22*DEFAULTS!$B$57/DEFAULTS!$B$58)</f>
        <v>0</v>
      </c>
      <c r="J22" s="319">
        <f>($H22*DEFAULTS!$B$57)</f>
        <v>0</v>
      </c>
      <c r="K22" s="320">
        <f>($G22*DEFAULTS!$B$55*DEFAULTS!$B$53/DEFAULTS!$B$54)</f>
        <v>0</v>
      </c>
      <c r="L22" s="219"/>
      <c r="M22" s="219"/>
      <c r="N22" s="219"/>
      <c r="O22" s="219"/>
    </row>
    <row r="23" spans="1:15">
      <c r="A23" s="211"/>
      <c r="B23" s="229" t="s">
        <v>95</v>
      </c>
      <c r="C23" s="230"/>
      <c r="D23" s="230"/>
      <c r="E23" s="230"/>
      <c r="F23" s="232"/>
      <c r="G23" s="319">
        <f>IF($E$3&gt;0,VLOOKUP($E$3,METHANE!$I$24:$J$163,2,0)*((VLOOKUP($B23,DEFAULTS!$E$8:$G$69,3,FALSE)*DEFAULTS!$B$72)/(DEFAULTS!$B$73*DEFAULTS!$B$74*DEFAULTS!$B$56))*(VLOOKUP($B23,DEFAULTS!$E$8:$F$69,2,FALSE)/10^6*(1/(RESULTS!$D$5/100))),0)</f>
        <v>0</v>
      </c>
      <c r="H23" s="319">
        <f>IF($E$3&gt;0,VLOOKUP($E$3,METHANE!$I$24:$J$163,2,0)*(VLOOKUP($B23,DEFAULTS!$E$8:$F$69,2,FALSE)/10^6*(1/(RESULTS!$D$5/100))),0)</f>
        <v>0</v>
      </c>
      <c r="I23" s="319">
        <f>($H23*DEFAULTS!$B$57/DEFAULTS!$B$58)</f>
        <v>0</v>
      </c>
      <c r="J23" s="319">
        <f>($H23*DEFAULTS!$B$57)</f>
        <v>0</v>
      </c>
      <c r="K23" s="320">
        <f>($G23*DEFAULTS!$B$55*DEFAULTS!$B$53/DEFAULTS!$B$54)</f>
        <v>0</v>
      </c>
      <c r="L23" s="221"/>
      <c r="M23" s="221"/>
      <c r="N23" s="221"/>
      <c r="O23" s="221"/>
    </row>
    <row r="24" spans="1:15">
      <c r="A24" s="211"/>
      <c r="B24" s="235" t="s">
        <v>96</v>
      </c>
      <c r="C24" s="236"/>
      <c r="D24" s="236"/>
      <c r="E24" s="236"/>
      <c r="F24" s="237"/>
      <c r="G24" s="319">
        <f>IF($E$3&gt;0,VLOOKUP($E$3,METHANE!$I$24:$J$163,2,0)*((VLOOKUP($B24,DEFAULTS!$E$8:$G$69,3,FALSE)*DEFAULTS!$B$72)/(DEFAULTS!$B$73*DEFAULTS!$B$74*DEFAULTS!$B$56))*(VLOOKUP($B24,DEFAULTS!$E$8:$F$69,2,FALSE)/10^6*(1/(RESULTS!$D$5/100))),0)</f>
        <v>0</v>
      </c>
      <c r="H24" s="319">
        <f>IF($E$3&gt;0,VLOOKUP($E$3,METHANE!$I$24:$J$163,2,0)*(VLOOKUP($B24,DEFAULTS!$E$8:$F$69,2,FALSE)/10^6*(1/(RESULTS!$D$5/100))),0)</f>
        <v>0</v>
      </c>
      <c r="I24" s="319">
        <f>($H24*DEFAULTS!$B$57/DEFAULTS!$B$58)</f>
        <v>0</v>
      </c>
      <c r="J24" s="319">
        <f>($H24*DEFAULTS!$B$57)</f>
        <v>0</v>
      </c>
      <c r="K24" s="320">
        <f>($G24*DEFAULTS!$B$55*DEFAULTS!$B$53/DEFAULTS!$B$54)</f>
        <v>0</v>
      </c>
      <c r="L24" s="222"/>
      <c r="M24" s="222"/>
      <c r="N24" s="222"/>
      <c r="O24" s="222"/>
    </row>
    <row r="25" spans="1:15">
      <c r="A25" s="211"/>
      <c r="B25" s="235" t="s">
        <v>14</v>
      </c>
      <c r="C25" s="236"/>
      <c r="D25" s="236"/>
      <c r="E25" s="236"/>
      <c r="F25" s="237"/>
      <c r="G25" s="319">
        <f>IF($E$3&gt;0,VLOOKUP($E$3,METHANE!$I$24:$J$163,2,0)*((VLOOKUP($B25,DEFAULTS!$E$8:$G$69,3,FALSE)*DEFAULTS!$B$72)/(DEFAULTS!$B$73*DEFAULTS!$B$74*DEFAULTS!$B$56))*(VLOOKUP($B25,DEFAULTS!$E$8:$F$69,2,FALSE)/10^6*(1/(RESULTS!$D$5/100))),0)</f>
        <v>0</v>
      </c>
      <c r="H25" s="319">
        <f>IF($E$3&gt;0,VLOOKUP($E$3,METHANE!$I$24:$J$163,2,0)*(VLOOKUP($B25,DEFAULTS!$E$8:$F$69,2,FALSE)/10^6*(1/(RESULTS!$D$5/100))),0)</f>
        <v>0</v>
      </c>
      <c r="I25" s="319">
        <f>($H25*DEFAULTS!$B$57/DEFAULTS!$B$58)</f>
        <v>0</v>
      </c>
      <c r="J25" s="319">
        <f>($H25*DEFAULTS!$B$57)</f>
        <v>0</v>
      </c>
      <c r="K25" s="320">
        <f>($G25*DEFAULTS!$B$55*DEFAULTS!$B$53/DEFAULTS!$B$54)</f>
        <v>0</v>
      </c>
      <c r="L25" s="222"/>
      <c r="M25" s="222"/>
      <c r="N25" s="222"/>
      <c r="O25" s="222"/>
    </row>
    <row r="26" spans="1:15">
      <c r="A26" s="211"/>
      <c r="B26" s="235" t="s">
        <v>97</v>
      </c>
      <c r="C26" s="236"/>
      <c r="D26" s="236"/>
      <c r="E26" s="236"/>
      <c r="F26" s="237"/>
      <c r="G26" s="319">
        <f>IF($E$3&gt;0,VLOOKUP($E$3,METHANE!$I$24:$J$163,2,0)*((VLOOKUP($B26,DEFAULTS!$E$8:$G$69,3,FALSE)*DEFAULTS!$B$72)/(DEFAULTS!$B$73*DEFAULTS!$B$74*DEFAULTS!$B$56))*(VLOOKUP($B26,DEFAULTS!$E$8:$F$69,2,FALSE)/10^6*(1/(RESULTS!$D$5/100))),0)</f>
        <v>0</v>
      </c>
      <c r="H26" s="319">
        <f>IF($E$3&gt;0,VLOOKUP($E$3,METHANE!$I$24:$J$163,2,0)*(VLOOKUP($B26,DEFAULTS!$E$8:$F$69,2,FALSE)/10^6*(1/(RESULTS!$D$5/100))),0)</f>
        <v>0</v>
      </c>
      <c r="I26" s="319">
        <f>($H26*DEFAULTS!$B$57/DEFAULTS!$B$58)</f>
        <v>0</v>
      </c>
      <c r="J26" s="319">
        <f>($H26*DEFAULTS!$B$57)</f>
        <v>0</v>
      </c>
      <c r="K26" s="320">
        <f>($G26*DEFAULTS!$B$55*DEFAULTS!$B$53/DEFAULTS!$B$54)</f>
        <v>0</v>
      </c>
      <c r="L26" s="222"/>
      <c r="M26" s="222"/>
      <c r="N26" s="222"/>
      <c r="O26" s="222"/>
    </row>
    <row r="27" spans="1:15">
      <c r="A27" s="211"/>
      <c r="B27" s="235" t="s">
        <v>98</v>
      </c>
      <c r="C27" s="236"/>
      <c r="D27" s="236"/>
      <c r="E27" s="236"/>
      <c r="F27" s="237"/>
      <c r="G27" s="319">
        <f>IF($E$3&gt;0,VLOOKUP($E$3,METHANE!$I$24:$J$163,2,0)*((VLOOKUP($B27,DEFAULTS!$E$8:$G$69,3,FALSE)*DEFAULTS!$B$72)/(DEFAULTS!$B$73*DEFAULTS!$B$74*DEFAULTS!$B$56))*(VLOOKUP($B27,DEFAULTS!$E$8:$F$69,2,FALSE)/10^6*(1/(RESULTS!$D$5/100))),0)</f>
        <v>0</v>
      </c>
      <c r="H27" s="319">
        <f>IF($E$3&gt;0,VLOOKUP($E$3,METHANE!$I$24:$J$163,2,0)*(VLOOKUP($B27,DEFAULTS!$E$8:$F$69,2,FALSE)/10^6*(1/(RESULTS!$D$5/100))),0)</f>
        <v>0</v>
      </c>
      <c r="I27" s="319">
        <f>($H27*DEFAULTS!$B$57/DEFAULTS!$B$58)</f>
        <v>0</v>
      </c>
      <c r="J27" s="319">
        <f>($H27*DEFAULTS!$B$57)</f>
        <v>0</v>
      </c>
      <c r="K27" s="320">
        <f>($G27*DEFAULTS!$B$55*DEFAULTS!$B$53/DEFAULTS!$B$54)</f>
        <v>0</v>
      </c>
      <c r="L27" s="222"/>
      <c r="M27" s="222"/>
      <c r="N27" s="222"/>
      <c r="O27" s="222"/>
    </row>
    <row r="28" spans="1:15">
      <c r="A28" s="211"/>
      <c r="B28" s="235" t="s">
        <v>99</v>
      </c>
      <c r="C28" s="236"/>
      <c r="D28" s="236"/>
      <c r="E28" s="236"/>
      <c r="F28" s="237"/>
      <c r="G28" s="319">
        <f>IF($E$3&gt;0,VLOOKUP($E$3,METHANE!$I$24:$J$163,2,0)*((VLOOKUP($B28,DEFAULTS!$E$8:$G$69,3,FALSE)*DEFAULTS!$B$72)/(DEFAULTS!$B$73*DEFAULTS!$B$74*DEFAULTS!$B$56))*(VLOOKUP($B28,DEFAULTS!$E$8:$F$69,2,FALSE)/10^6*(1/(RESULTS!$D$5/100))),0)</f>
        <v>0</v>
      </c>
      <c r="H28" s="319">
        <f>IF($E$3&gt;0,VLOOKUP($E$3,METHANE!$I$24:$J$163,2,0)*(VLOOKUP($B28,DEFAULTS!$E$8:$F$69,2,FALSE)/10^6*(1/(RESULTS!$D$5/100))),0)</f>
        <v>0</v>
      </c>
      <c r="I28" s="319">
        <f>($H28*DEFAULTS!$B$57/DEFAULTS!$B$58)</f>
        <v>0</v>
      </c>
      <c r="J28" s="319">
        <f>($H28*DEFAULTS!$B$57)</f>
        <v>0</v>
      </c>
      <c r="K28" s="320">
        <f>($G28*DEFAULTS!$B$55*DEFAULTS!$B$53/DEFAULTS!$B$54)</f>
        <v>0</v>
      </c>
      <c r="L28" s="222"/>
      <c r="M28" s="222"/>
      <c r="N28" s="222"/>
      <c r="O28" s="222"/>
    </row>
    <row r="29" spans="1:15">
      <c r="A29" s="211"/>
      <c r="B29" s="229" t="s">
        <v>15</v>
      </c>
      <c r="C29" s="230"/>
      <c r="D29" s="230"/>
      <c r="E29" s="230"/>
      <c r="F29" s="232"/>
      <c r="G29" s="319">
        <f>IF($E$3&gt;0,VLOOKUP($E$3,METHANE!$I$24:$J$163,2,0)*((VLOOKUP($B29,DEFAULTS!$E$8:$G$69,3,FALSE)*DEFAULTS!$B$72)/(DEFAULTS!$B$73*DEFAULTS!$B$74*DEFAULTS!$B$56))*(VLOOKUP($B29,DEFAULTS!$E$8:$F$69,2,FALSE)/10^6*(1/(RESULTS!$D$5/100))),0)</f>
        <v>0</v>
      </c>
      <c r="H29" s="319">
        <f>IF($E$3&gt;0,VLOOKUP($E$3,METHANE!$I$24:$J$163,2,0)*(VLOOKUP($B29,DEFAULTS!$E$8:$F$69,2,FALSE)/10^6*(1/(RESULTS!$D$5/100))),0)</f>
        <v>0</v>
      </c>
      <c r="I29" s="319">
        <f>($H29*DEFAULTS!$B$57/DEFAULTS!$B$58)</f>
        <v>0</v>
      </c>
      <c r="J29" s="319">
        <f>($H29*DEFAULTS!$B$57)</f>
        <v>0</v>
      </c>
      <c r="K29" s="320">
        <f>($G29*DEFAULTS!$B$55*DEFAULTS!$B$53/DEFAULTS!$B$54)</f>
        <v>0</v>
      </c>
      <c r="L29" s="219"/>
      <c r="M29" s="219"/>
      <c r="N29" s="219"/>
      <c r="O29" s="219"/>
    </row>
    <row r="30" spans="1:15">
      <c r="A30" s="211"/>
      <c r="B30" s="229" t="s">
        <v>100</v>
      </c>
      <c r="C30" s="230"/>
      <c r="D30" s="230"/>
      <c r="E30" s="230"/>
      <c r="F30" s="232"/>
      <c r="G30" s="319">
        <f>IF($E$3&gt;0,VLOOKUP($E$3,METHANE!$I$24:$J$163,2,0)*((VLOOKUP($B30,DEFAULTS!$E$8:$G$69,3,FALSE)*DEFAULTS!$B$72)/(DEFAULTS!$B$73*DEFAULTS!$B$74*DEFAULTS!$B$56))*(VLOOKUP($B30,DEFAULTS!$E$8:$F$69,2,FALSE)/10^6*(1/(RESULTS!$D$5/100))),0)</f>
        <v>0</v>
      </c>
      <c r="H30" s="319">
        <f>IF($E$3&gt;0,VLOOKUP($E$3,METHANE!$I$24:$J$163,2,0)*(VLOOKUP($B30,DEFAULTS!$E$8:$F$69,2,FALSE)/10^6*(1/(RESULTS!$D$5/100))),0)</f>
        <v>0</v>
      </c>
      <c r="I30" s="319">
        <f>($H30*DEFAULTS!$B$57/DEFAULTS!$B$58)</f>
        <v>0</v>
      </c>
      <c r="J30" s="319">
        <f>($H30*DEFAULTS!$B$57)</f>
        <v>0</v>
      </c>
      <c r="K30" s="320">
        <f>($G30*DEFAULTS!$B$55*DEFAULTS!$B$53/DEFAULTS!$B$54)</f>
        <v>0</v>
      </c>
      <c r="L30" s="219"/>
      <c r="M30" s="219"/>
      <c r="N30" s="219"/>
      <c r="O30" s="219"/>
    </row>
    <row r="31" spans="1:15">
      <c r="A31" s="211"/>
      <c r="B31" s="229" t="s">
        <v>101</v>
      </c>
      <c r="C31" s="230"/>
      <c r="D31" s="230"/>
      <c r="E31" s="230"/>
      <c r="F31" s="232"/>
      <c r="G31" s="319">
        <f>IF($E$3&gt;0,VLOOKUP($E$3,METHANE!$I$24:$J$163,2,0)*((VLOOKUP($B31,DEFAULTS!$E$8:$G$69,3,FALSE)*DEFAULTS!$B$72)/(DEFAULTS!$B$73*DEFAULTS!$B$74*DEFAULTS!$B$56))*(VLOOKUP($B31,DEFAULTS!$E$8:$F$69,2,FALSE)/10^6*(1/(RESULTS!$D$5/100))),0)</f>
        <v>0</v>
      </c>
      <c r="H31" s="319">
        <f>IF($E$3&gt;0,VLOOKUP($E$3,METHANE!$I$24:$J$163,2,0)*(VLOOKUP($B31,DEFAULTS!$E$8:$F$69,2,FALSE)/10^6*(1/(RESULTS!$D$5/100))),0)</f>
        <v>0</v>
      </c>
      <c r="I31" s="319">
        <f>($H31*DEFAULTS!$B$57/DEFAULTS!$B$58)</f>
        <v>0</v>
      </c>
      <c r="J31" s="319">
        <f>($H31*DEFAULTS!$B$57)</f>
        <v>0</v>
      </c>
      <c r="K31" s="320">
        <f>($G31*DEFAULTS!$B$55*DEFAULTS!$B$53/DEFAULTS!$B$54)</f>
        <v>0</v>
      </c>
      <c r="L31" s="219"/>
      <c r="M31" s="219"/>
      <c r="N31" s="219"/>
      <c r="O31" s="219"/>
    </row>
    <row r="32" spans="1:15">
      <c r="A32" s="211"/>
      <c r="B32" s="229" t="s">
        <v>102</v>
      </c>
      <c r="C32" s="230"/>
      <c r="D32" s="230"/>
      <c r="E32" s="230"/>
      <c r="F32" s="232"/>
      <c r="G32" s="319">
        <f>IF($E$3&gt;0,VLOOKUP($E$3,METHANE!$I$24:$J$163,2,0)*((VLOOKUP($B32,DEFAULTS!$E$8:$G$69,3,FALSE)*DEFAULTS!$B$72)/(DEFAULTS!$B$73*DEFAULTS!$B$74*DEFAULTS!$B$56))*(VLOOKUP($B32,DEFAULTS!$E$8:$F$69,2,FALSE)/10^6*(1/(RESULTS!$D$5/100))),0)</f>
        <v>0</v>
      </c>
      <c r="H32" s="319">
        <f>IF($E$3&gt;0,VLOOKUP($E$3,METHANE!$I$24:$J$163,2,0)*(VLOOKUP($B32,DEFAULTS!$E$8:$F$69,2,FALSE)/10^6*(1/(RESULTS!$D$5/100))),0)</f>
        <v>0</v>
      </c>
      <c r="I32" s="319">
        <f>($H32*DEFAULTS!$B$57/DEFAULTS!$B$58)</f>
        <v>0</v>
      </c>
      <c r="J32" s="319">
        <f>($H32*DEFAULTS!$B$57)</f>
        <v>0</v>
      </c>
      <c r="K32" s="320">
        <f>($G32*DEFAULTS!$B$55*DEFAULTS!$B$53/DEFAULTS!$B$54)</f>
        <v>0</v>
      </c>
      <c r="L32" s="219"/>
      <c r="M32" s="219"/>
      <c r="N32" s="219"/>
      <c r="O32" s="219"/>
    </row>
    <row r="33" spans="1:15">
      <c r="A33" s="211"/>
      <c r="B33" s="229" t="s">
        <v>103</v>
      </c>
      <c r="C33" s="230"/>
      <c r="D33" s="230"/>
      <c r="E33" s="230"/>
      <c r="F33" s="232"/>
      <c r="G33" s="319">
        <f>IF($E$3&gt;0,VLOOKUP($E$3,METHANE!$I$24:$J$163,2,0)*((VLOOKUP($B33,DEFAULTS!$E$8:$G$69,3,FALSE)*DEFAULTS!$B$72)/(DEFAULTS!$B$73*DEFAULTS!$B$74*DEFAULTS!$B$56))*(VLOOKUP($B33,DEFAULTS!$E$8:$F$69,2,FALSE)/10^6*(1/(RESULTS!$D$5/100))),0)</f>
        <v>0</v>
      </c>
      <c r="H33" s="319">
        <f>IF($E$3&gt;0,VLOOKUP($E$3,METHANE!$I$24:$J$163,2,0)*(VLOOKUP($B33,DEFAULTS!$E$8:$F$69,2,FALSE)/10^6*(1/(RESULTS!$D$5/100))),0)</f>
        <v>0</v>
      </c>
      <c r="I33" s="319">
        <f>($H33*DEFAULTS!$B$57/DEFAULTS!$B$58)</f>
        <v>0</v>
      </c>
      <c r="J33" s="319">
        <f>($H33*DEFAULTS!$B$57)</f>
        <v>0</v>
      </c>
      <c r="K33" s="320">
        <f>($G33*DEFAULTS!$B$55*DEFAULTS!$B$53/DEFAULTS!$B$54)</f>
        <v>0</v>
      </c>
      <c r="L33" s="219"/>
      <c r="M33" s="219"/>
      <c r="N33" s="219"/>
      <c r="O33" s="219"/>
    </row>
    <row r="34" spans="1:15">
      <c r="A34" s="211"/>
      <c r="B34" s="229" t="s">
        <v>16</v>
      </c>
      <c r="C34" s="230"/>
      <c r="D34" s="230"/>
      <c r="E34" s="230"/>
      <c r="F34" s="232"/>
      <c r="G34" s="319">
        <f>IF($E$3&gt;0,VLOOKUP($E$3,METHANE!$I$24:$J$163,2,0)*((VLOOKUP($B34,DEFAULTS!$E$8:$G$69,3,FALSE)*DEFAULTS!$B$72)/(DEFAULTS!$B$73*DEFAULTS!$B$74*DEFAULTS!$B$56))*(VLOOKUP($B34,DEFAULTS!$E$8:$F$69,2,FALSE)/10^6*(1/(RESULTS!$D$5/100))),0)</f>
        <v>0</v>
      </c>
      <c r="H34" s="319">
        <f>IF($E$3&gt;0,VLOOKUP($E$3,METHANE!$I$24:$J$163,2,0)*(VLOOKUP($B34,DEFAULTS!$E$8:$F$69,2,FALSE)/10^6*(1/(RESULTS!$D$5/100))),0)</f>
        <v>0</v>
      </c>
      <c r="I34" s="319">
        <f>($H34*DEFAULTS!$B$57/DEFAULTS!$B$58)</f>
        <v>0</v>
      </c>
      <c r="J34" s="319">
        <f>($H34*DEFAULTS!$B$57)</f>
        <v>0</v>
      </c>
      <c r="K34" s="320">
        <f>($G34*DEFAULTS!$B$55*DEFAULTS!$B$53/DEFAULTS!$B$54)</f>
        <v>0</v>
      </c>
      <c r="L34" s="219"/>
      <c r="M34" s="219"/>
      <c r="N34" s="219"/>
      <c r="O34" s="219"/>
    </row>
    <row r="35" spans="1:15">
      <c r="A35" s="211"/>
      <c r="B35" s="229" t="s">
        <v>104</v>
      </c>
      <c r="C35" s="230"/>
      <c r="D35" s="230"/>
      <c r="E35" s="230"/>
      <c r="F35" s="232"/>
      <c r="G35" s="319">
        <f>IF($E$3&gt;0,VLOOKUP($E$3,METHANE!$I$24:$J$163,2,0)*((VLOOKUP($B35,DEFAULTS!$E$8:$G$69,3,FALSE)*DEFAULTS!$B$72)/(DEFAULTS!$B$73*DEFAULTS!$B$74*DEFAULTS!$B$56))*(VLOOKUP($B35,DEFAULTS!$E$8:$F$69,2,FALSE)/10^6*(1/(RESULTS!$D$5/100))),0)</f>
        <v>0</v>
      </c>
      <c r="H35" s="319">
        <f>IF($E$3&gt;0,VLOOKUP($E$3,METHANE!$I$24:$J$163,2,0)*(VLOOKUP($B35,DEFAULTS!$E$8:$F$69,2,FALSE)/10^6*(1/(RESULTS!$D$5/100))),0)</f>
        <v>0</v>
      </c>
      <c r="I35" s="319">
        <f>($H35*DEFAULTS!$B$57/DEFAULTS!$B$58)</f>
        <v>0</v>
      </c>
      <c r="J35" s="319">
        <f>($H35*DEFAULTS!$B$57)</f>
        <v>0</v>
      </c>
      <c r="K35" s="320">
        <f>($G35*DEFAULTS!$B$55*DEFAULTS!$B$53/DEFAULTS!$B$54)</f>
        <v>0</v>
      </c>
      <c r="L35" s="219"/>
      <c r="M35" s="219"/>
      <c r="N35" s="219"/>
      <c r="O35" s="219"/>
    </row>
    <row r="36" spans="1:15">
      <c r="A36" s="211"/>
      <c r="B36" s="229" t="s">
        <v>105</v>
      </c>
      <c r="C36" s="230"/>
      <c r="D36" s="230"/>
      <c r="E36" s="230"/>
      <c r="F36" s="232"/>
      <c r="G36" s="319">
        <f>IF($E$3&gt;0,VLOOKUP($E$3,METHANE!$I$24:$J$163,2,0)*((VLOOKUP($B36,DEFAULTS!$E$8:$G$69,3,FALSE)*DEFAULTS!$B$72)/(DEFAULTS!$B$73*DEFAULTS!$B$74*DEFAULTS!$B$56))*(VLOOKUP($B36,DEFAULTS!$E$8:$F$69,2,FALSE)/10^6*(1/(RESULTS!$D$5/100))),0)</f>
        <v>0</v>
      </c>
      <c r="H36" s="319">
        <f>IF($E$3&gt;0,VLOOKUP($E$3,METHANE!$I$24:$J$163,2,0)*(VLOOKUP($B36,DEFAULTS!$E$8:$F$69,2,FALSE)/10^6*(1/(RESULTS!$D$5/100))),0)</f>
        <v>0</v>
      </c>
      <c r="I36" s="319">
        <f>($H36*DEFAULTS!$B$57/DEFAULTS!$B$58)</f>
        <v>0</v>
      </c>
      <c r="J36" s="319">
        <f>($H36*DEFAULTS!$B$57)</f>
        <v>0</v>
      </c>
      <c r="K36" s="320">
        <f>($G36*DEFAULTS!$B$55*DEFAULTS!$B$53/DEFAULTS!$B$54)</f>
        <v>0</v>
      </c>
      <c r="L36" s="219"/>
      <c r="M36" s="219"/>
      <c r="N36" s="219"/>
      <c r="O36" s="219"/>
    </row>
    <row r="37" spans="1:15">
      <c r="A37" s="211"/>
      <c r="B37" s="229" t="s">
        <v>106</v>
      </c>
      <c r="C37" s="230"/>
      <c r="D37" s="230"/>
      <c r="E37" s="230"/>
      <c r="F37" s="232"/>
      <c r="G37" s="319">
        <f>IF($E$3&gt;0,VLOOKUP($E$3,METHANE!$I$24:$J$163,2,0)*((VLOOKUP($B37,DEFAULTS!$E$8:$G$69,3,FALSE)*DEFAULTS!$B$72)/(DEFAULTS!$B$73*DEFAULTS!$B$74*DEFAULTS!$B$56))*(VLOOKUP($B37,DEFAULTS!$E$8:$F$69,2,FALSE)/10^6*(1/(RESULTS!$D$5/100))),0)</f>
        <v>0</v>
      </c>
      <c r="H37" s="319">
        <f>IF($E$3&gt;0,VLOOKUP($E$3,METHANE!$I$24:$J$163,2,0)*(VLOOKUP($B37,DEFAULTS!$E$8:$F$69,2,FALSE)/10^6*(1/(RESULTS!$D$5/100))),0)</f>
        <v>0</v>
      </c>
      <c r="I37" s="319">
        <f>($H37*DEFAULTS!$B$57/DEFAULTS!$B$58)</f>
        <v>0</v>
      </c>
      <c r="J37" s="319">
        <f>($H37*DEFAULTS!$B$57)</f>
        <v>0</v>
      </c>
      <c r="K37" s="320">
        <f>($G37*DEFAULTS!$B$55*DEFAULTS!$B$53/DEFAULTS!$B$54)</f>
        <v>0</v>
      </c>
      <c r="L37" s="219"/>
      <c r="M37" s="219"/>
      <c r="N37" s="219"/>
      <c r="O37" s="219"/>
    </row>
    <row r="38" spans="1:15">
      <c r="A38" s="211"/>
      <c r="B38" s="229" t="s">
        <v>17</v>
      </c>
      <c r="C38" s="230"/>
      <c r="D38" s="230"/>
      <c r="E38" s="230"/>
      <c r="F38" s="232"/>
      <c r="G38" s="319">
        <f>IF($E$3&gt;0,VLOOKUP($E$3,METHANE!$I$24:$J$163,2,0)*((VLOOKUP($B38,DEFAULTS!$E$8:$G$69,3,FALSE)*DEFAULTS!$B$72)/(DEFAULTS!$B$73*DEFAULTS!$B$74*DEFAULTS!$B$56))*(VLOOKUP($B38,DEFAULTS!$E$8:$F$69,2,FALSE)/10^6*(1/(RESULTS!$D$5/100))),0)</f>
        <v>0</v>
      </c>
      <c r="H38" s="319">
        <f>IF($E$3&gt;0,VLOOKUP($E$3,METHANE!$I$24:$J$163,2,0)*(VLOOKUP($B38,DEFAULTS!$E$8:$F$69,2,FALSE)/10^6*(1/(RESULTS!$D$5/100))),0)</f>
        <v>0</v>
      </c>
      <c r="I38" s="319">
        <f>($H38*DEFAULTS!$B$57/DEFAULTS!$B$58)</f>
        <v>0</v>
      </c>
      <c r="J38" s="319">
        <f>($H38*DEFAULTS!$B$57)</f>
        <v>0</v>
      </c>
      <c r="K38" s="320">
        <f>($G38*DEFAULTS!$B$55*DEFAULTS!$B$53/DEFAULTS!$B$54)</f>
        <v>0</v>
      </c>
      <c r="L38" s="219"/>
      <c r="M38" s="219"/>
      <c r="N38" s="219"/>
      <c r="O38" s="219"/>
    </row>
    <row r="39" spans="1:15">
      <c r="A39" s="211"/>
      <c r="B39" s="229" t="s">
        <v>107</v>
      </c>
      <c r="C39" s="230"/>
      <c r="D39" s="230"/>
      <c r="E39" s="230"/>
      <c r="F39" s="232"/>
      <c r="G39" s="319">
        <f>IF($E$3&gt;0,VLOOKUP($E$3,METHANE!$I$24:$J$163,2,0)*((VLOOKUP($B39,DEFAULTS!$E$8:$G$69,3,FALSE)*DEFAULTS!$B$72)/(DEFAULTS!$B$73*DEFAULTS!$B$74*DEFAULTS!$B$56))*(VLOOKUP($B39,DEFAULTS!$E$8:$F$69,2,FALSE)/10^6*(1/(RESULTS!$D$5/100))),0)</f>
        <v>0</v>
      </c>
      <c r="H39" s="319">
        <f>IF($E$3&gt;0,VLOOKUP($E$3,METHANE!$I$24:$J$163,2,0)*(VLOOKUP($B39,DEFAULTS!$E$8:$F$69,2,FALSE)/10^6*(1/(RESULTS!$D$5/100))),0)</f>
        <v>0</v>
      </c>
      <c r="I39" s="319">
        <f>($H39*DEFAULTS!$B$57/DEFAULTS!$B$58)</f>
        <v>0</v>
      </c>
      <c r="J39" s="319">
        <f>($H39*DEFAULTS!$B$57)</f>
        <v>0</v>
      </c>
      <c r="K39" s="320">
        <f>($G39*DEFAULTS!$B$55*DEFAULTS!$B$53/DEFAULTS!$B$54)</f>
        <v>0</v>
      </c>
      <c r="L39" s="219"/>
      <c r="M39" s="219"/>
      <c r="N39" s="219"/>
      <c r="O39" s="219"/>
    </row>
    <row r="40" spans="1:15">
      <c r="A40" s="211"/>
      <c r="B40" s="229" t="s">
        <v>108</v>
      </c>
      <c r="C40" s="230"/>
      <c r="D40" s="230"/>
      <c r="E40" s="230"/>
      <c r="F40" s="232"/>
      <c r="G40" s="319">
        <f>IF($E$3&gt;0,VLOOKUP($E$3,METHANE!$I$24:$J$163,2,0)*((VLOOKUP($B40,DEFAULTS!$E$8:$G$69,3,FALSE)*DEFAULTS!$B$72)/(DEFAULTS!$B$73*DEFAULTS!$B$74*DEFAULTS!$B$56))*(VLOOKUP($B40,DEFAULTS!$E$8:$F$69,2,FALSE)/10^6*(1/(RESULTS!$D$5/100))),0)</f>
        <v>0</v>
      </c>
      <c r="H40" s="319">
        <f>IF($E$3&gt;0,VLOOKUP($E$3,METHANE!$I$24:$J$163,2,0)*(VLOOKUP($B40,DEFAULTS!$E$8:$F$69,2,FALSE)/10^6*(1/(RESULTS!$D$5/100))),0)</f>
        <v>0</v>
      </c>
      <c r="I40" s="319">
        <f>($H40*DEFAULTS!$B$57/DEFAULTS!$B$58)</f>
        <v>0</v>
      </c>
      <c r="J40" s="319">
        <f>($H40*DEFAULTS!$B$57)</f>
        <v>0</v>
      </c>
      <c r="K40" s="320">
        <f>($G40*DEFAULTS!$B$55*DEFAULTS!$B$53/DEFAULTS!$B$54)</f>
        <v>0</v>
      </c>
      <c r="L40" s="219"/>
      <c r="M40" s="219"/>
      <c r="N40" s="219"/>
      <c r="O40" s="219"/>
    </row>
    <row r="41" spans="1:15">
      <c r="A41" s="211"/>
      <c r="B41" s="229" t="s">
        <v>109</v>
      </c>
      <c r="C41" s="230"/>
      <c r="D41" s="230"/>
      <c r="E41" s="230"/>
      <c r="F41" s="232"/>
      <c r="G41" s="319">
        <f>IF($E$3&gt;0,VLOOKUP($E$3,METHANE!$I$24:$J$163,2,0)*((VLOOKUP($B41,DEFAULTS!$E$8:$G$69,3,FALSE)*DEFAULTS!$B$72)/(DEFAULTS!$B$73*DEFAULTS!$B$74*DEFAULTS!$B$56))*(VLOOKUP($B41,DEFAULTS!$E$8:$F$69,2,FALSE)/10^6*(1/(RESULTS!$D$5/100))),0)</f>
        <v>0</v>
      </c>
      <c r="H41" s="319">
        <f>IF($E$3&gt;0,VLOOKUP($E$3,METHANE!$I$24:$J$163,2,0)*(VLOOKUP($B41,DEFAULTS!$E$8:$F$69,2,FALSE)/10^6*(1/(RESULTS!$D$5/100))),0)</f>
        <v>0</v>
      </c>
      <c r="I41" s="319">
        <f>($H41*DEFAULTS!$B$57/DEFAULTS!$B$58)</f>
        <v>0</v>
      </c>
      <c r="J41" s="319">
        <f>($H41*DEFAULTS!$B$57)</f>
        <v>0</v>
      </c>
      <c r="K41" s="320">
        <f>($G41*DEFAULTS!$B$55*DEFAULTS!$B$53/DEFAULTS!$B$54)</f>
        <v>0</v>
      </c>
      <c r="L41" s="219"/>
      <c r="M41" s="219"/>
      <c r="N41" s="219"/>
      <c r="O41" s="219"/>
    </row>
    <row r="42" spans="1:15">
      <c r="A42" s="211"/>
      <c r="B42" s="229" t="s">
        <v>110</v>
      </c>
      <c r="C42" s="230"/>
      <c r="D42" s="230"/>
      <c r="E42" s="230"/>
      <c r="F42" s="232"/>
      <c r="G42" s="319">
        <f>IF($E$3&gt;0,VLOOKUP($E$3,METHANE!$I$24:$J$163,2,0)*((VLOOKUP($B42,DEFAULTS!$E$8:$G$69,3,FALSE)*DEFAULTS!$B$72)/(DEFAULTS!$B$73*DEFAULTS!$B$74*DEFAULTS!$B$56))*(VLOOKUP($B42,DEFAULTS!$E$8:$F$69,2,FALSE)/10^6*(1/(RESULTS!$D$5/100))),0)</f>
        <v>0</v>
      </c>
      <c r="H42" s="319">
        <f>IF($E$3&gt;0,VLOOKUP($E$3,METHANE!$I$24:$J$163,2,0)*(VLOOKUP($B42,DEFAULTS!$E$8:$F$69,2,FALSE)/10^6*(1/(RESULTS!$D$5/100))),0)</f>
        <v>0</v>
      </c>
      <c r="I42" s="319">
        <f>($H42*DEFAULTS!$B$57/DEFAULTS!$B$58)</f>
        <v>0</v>
      </c>
      <c r="J42" s="319">
        <f>($H42*DEFAULTS!$B$57)</f>
        <v>0</v>
      </c>
      <c r="K42" s="320">
        <f>($G42*DEFAULTS!$B$55*DEFAULTS!$B$53/DEFAULTS!$B$54)</f>
        <v>0</v>
      </c>
      <c r="L42" s="219"/>
      <c r="M42" s="219"/>
      <c r="N42" s="219"/>
      <c r="O42" s="219"/>
    </row>
    <row r="43" spans="1:15">
      <c r="A43" s="211"/>
      <c r="B43" s="229" t="s">
        <v>111</v>
      </c>
      <c r="C43" s="230"/>
      <c r="D43" s="230"/>
      <c r="E43" s="230"/>
      <c r="F43" s="232"/>
      <c r="G43" s="319">
        <f>IF($E$3&gt;0,VLOOKUP($E$3,METHANE!$I$24:$J$163,2,0)*((VLOOKUP($B43,DEFAULTS!$E$8:$G$69,3,FALSE)*DEFAULTS!$B$72)/(DEFAULTS!$B$73*DEFAULTS!$B$74*DEFAULTS!$B$56))*(VLOOKUP($B43,DEFAULTS!$E$8:$F$69,2,FALSE)/10^6*(1/(RESULTS!$D$5/100))),0)</f>
        <v>0</v>
      </c>
      <c r="H43" s="319">
        <f>IF($E$3&gt;0,VLOOKUP($E$3,METHANE!$I$24:$J$163,2,0)*(VLOOKUP($B43,DEFAULTS!$E$8:$F$69,2,FALSE)/10^6*(1/(RESULTS!$D$5/100))),0)</f>
        <v>0</v>
      </c>
      <c r="I43" s="319">
        <f>($H43*DEFAULTS!$B$57/DEFAULTS!$B$58)</f>
        <v>0</v>
      </c>
      <c r="J43" s="319">
        <f>($H43*DEFAULTS!$B$57)</f>
        <v>0</v>
      </c>
      <c r="K43" s="320">
        <f>($G43*DEFAULTS!$B$55*DEFAULTS!$B$53/DEFAULTS!$B$54)</f>
        <v>0</v>
      </c>
      <c r="L43" s="219"/>
      <c r="M43" s="219"/>
      <c r="N43" s="219"/>
      <c r="O43" s="219"/>
    </row>
    <row r="44" spans="1:15">
      <c r="A44" s="211"/>
      <c r="B44" s="229" t="s">
        <v>112</v>
      </c>
      <c r="C44" s="230"/>
      <c r="D44" s="230"/>
      <c r="E44" s="230"/>
      <c r="F44" s="232"/>
      <c r="G44" s="319">
        <f>IF($E$3&gt;0,VLOOKUP($E$3,METHANE!$I$24:$J$163,2,0)*((VLOOKUP($B44,DEFAULTS!$E$8:$G$69,3,FALSE)*DEFAULTS!$B$72)/(DEFAULTS!$B$73*DEFAULTS!$B$74*DEFAULTS!$B$56))*(VLOOKUP($B44,DEFAULTS!$E$8:$F$69,2,FALSE)/10^6*(1/(RESULTS!$D$5/100))),0)</f>
        <v>0</v>
      </c>
      <c r="H44" s="319">
        <f>IF($E$3&gt;0,VLOOKUP($E$3,METHANE!$I$24:$J$163,2,0)*(VLOOKUP($B44,DEFAULTS!$E$8:$F$69,2,FALSE)/10^6*(1/(RESULTS!$D$5/100))),0)</f>
        <v>0</v>
      </c>
      <c r="I44" s="319">
        <f>($H44*DEFAULTS!$B$57/DEFAULTS!$B$58)</f>
        <v>0</v>
      </c>
      <c r="J44" s="319">
        <f>($H44*DEFAULTS!$B$57)</f>
        <v>0</v>
      </c>
      <c r="K44" s="320">
        <f>($G44*DEFAULTS!$B$55*DEFAULTS!$B$53/DEFAULTS!$B$54)</f>
        <v>0</v>
      </c>
      <c r="L44" s="219"/>
      <c r="M44" s="219"/>
      <c r="N44" s="219"/>
      <c r="O44" s="219"/>
    </row>
    <row r="45" spans="1:15">
      <c r="A45" s="211"/>
      <c r="B45" s="229" t="s">
        <v>18</v>
      </c>
      <c r="C45" s="230"/>
      <c r="D45" s="230"/>
      <c r="E45" s="230"/>
      <c r="F45" s="232"/>
      <c r="G45" s="319">
        <f>IF($E$3&gt;0,VLOOKUP($E$3,METHANE!$I$24:$J$163,2,0)*((VLOOKUP($B45,DEFAULTS!$E$8:$G$69,3,FALSE)*DEFAULTS!$B$72)/(DEFAULTS!$B$73*DEFAULTS!$B$74*DEFAULTS!$B$56))*(VLOOKUP($B45,DEFAULTS!$E$8:$F$69,2,FALSE)/10^6*(1/(RESULTS!$D$5/100))),0)</f>
        <v>0</v>
      </c>
      <c r="H45" s="319">
        <f>IF($E$3&gt;0,VLOOKUP($E$3,METHANE!$I$24:$J$163,2,0)*(VLOOKUP($B45,DEFAULTS!$E$8:$F$69,2,FALSE)/10^6*(1/(RESULTS!$D$5/100))),0)</f>
        <v>0</v>
      </c>
      <c r="I45" s="319">
        <f>($H45*DEFAULTS!$B$57/DEFAULTS!$B$58)</f>
        <v>0</v>
      </c>
      <c r="J45" s="319">
        <f>($H45*DEFAULTS!$B$57)</f>
        <v>0</v>
      </c>
      <c r="K45" s="320">
        <f>($G45*DEFAULTS!$B$55*DEFAULTS!$B$53/DEFAULTS!$B$54)</f>
        <v>0</v>
      </c>
      <c r="L45" s="219"/>
      <c r="M45" s="219"/>
      <c r="N45" s="219"/>
      <c r="O45" s="219"/>
    </row>
    <row r="46" spans="1:15">
      <c r="A46" s="211"/>
      <c r="B46" s="229" t="s">
        <v>113</v>
      </c>
      <c r="C46" s="230"/>
      <c r="D46" s="230"/>
      <c r="E46" s="230"/>
      <c r="F46" s="232"/>
      <c r="G46" s="319">
        <f>IF($E$3&gt;0,VLOOKUP($E$3,METHANE!$I$24:$J$163,2,0)*((VLOOKUP($B46,DEFAULTS!$E$8:$G$69,3,FALSE)*DEFAULTS!$B$72)/(DEFAULTS!$B$73*DEFAULTS!$B$74*DEFAULTS!$B$56))*(VLOOKUP($B46,DEFAULTS!$E$8:$F$69,2,FALSE)/10^6*(1/(RESULTS!$D$5/100))),0)</f>
        <v>0</v>
      </c>
      <c r="H46" s="319">
        <f>IF($E$3&gt;0,VLOOKUP($E$3,METHANE!$I$24:$J$163,2,0)*(VLOOKUP($B46,DEFAULTS!$E$8:$F$69,2,FALSE)/10^6*(1/(RESULTS!$D$5/100))),0)</f>
        <v>0</v>
      </c>
      <c r="I46" s="319">
        <f>($H46*DEFAULTS!$B$57/DEFAULTS!$B$58)</f>
        <v>0</v>
      </c>
      <c r="J46" s="319">
        <f>($H46*DEFAULTS!$B$57)</f>
        <v>0</v>
      </c>
      <c r="K46" s="320">
        <f>($G46*DEFAULTS!$B$55*DEFAULTS!$B$53/DEFAULTS!$B$54)</f>
        <v>0</v>
      </c>
      <c r="L46" s="219"/>
      <c r="M46" s="219"/>
      <c r="N46" s="219"/>
      <c r="O46" s="219"/>
    </row>
    <row r="47" spans="1:15">
      <c r="A47" s="211"/>
      <c r="B47" s="229" t="s">
        <v>114</v>
      </c>
      <c r="C47" s="230"/>
      <c r="D47" s="230"/>
      <c r="E47" s="230"/>
      <c r="F47" s="232"/>
      <c r="G47" s="319">
        <f>IF($E$3&gt;0,VLOOKUP($E$3,METHANE!$I$24:$J$163,2,0)*((VLOOKUP($B47,DEFAULTS!$E$8:$G$69,3,FALSE)*DEFAULTS!$B$72)/(DEFAULTS!$B$73*DEFAULTS!$B$74*DEFAULTS!$B$56))*(VLOOKUP($B47,DEFAULTS!$E$8:$F$69,2,FALSE)/10^6*(1/(RESULTS!$D$5/100))),0)</f>
        <v>0</v>
      </c>
      <c r="H47" s="319">
        <f>IF($E$3&gt;0,VLOOKUP($E$3,METHANE!$I$24:$J$163,2,0)*(VLOOKUP($B47,DEFAULTS!$E$8:$F$69,2,FALSE)/10^6*(1/(RESULTS!$D$5/100))),0)</f>
        <v>0</v>
      </c>
      <c r="I47" s="319">
        <f>($H47*DEFAULTS!$B$57/DEFAULTS!$B$58)</f>
        <v>0</v>
      </c>
      <c r="J47" s="319">
        <f>($H47*DEFAULTS!$B$57)</f>
        <v>0</v>
      </c>
      <c r="K47" s="320">
        <f>($G47*DEFAULTS!$B$55*DEFAULTS!$B$53/DEFAULTS!$B$54)</f>
        <v>0</v>
      </c>
      <c r="L47" s="219"/>
      <c r="M47" s="219"/>
      <c r="N47" s="219"/>
      <c r="O47" s="219"/>
    </row>
    <row r="48" spans="1:15">
      <c r="A48" s="211"/>
      <c r="B48" s="238" t="s">
        <v>115</v>
      </c>
      <c r="C48" s="239"/>
      <c r="D48" s="239"/>
      <c r="E48" s="239"/>
      <c r="F48" s="240"/>
      <c r="G48" s="319">
        <f>IF($E$3&gt;0,VLOOKUP($E$3,METHANE!$I$24:$J$163,2,0)*((VLOOKUP($B48,DEFAULTS!$E$8:$G$69,3,FALSE)*DEFAULTS!$B$72)/(DEFAULTS!$B$73*DEFAULTS!$B$74*DEFAULTS!$B$56))*(VLOOKUP($B48,DEFAULTS!$E$8:$F$69,2,FALSE)/10^6*(1/(RESULTS!$D$5/100))),0)</f>
        <v>0</v>
      </c>
      <c r="H48" s="319">
        <f>IF($E$3&gt;0,VLOOKUP($E$3,METHANE!$I$24:$J$163,2,0)*(VLOOKUP($B48,DEFAULTS!$E$8:$F$69,2,FALSE)/10^6*(1/(RESULTS!$D$5/100))),0)</f>
        <v>0</v>
      </c>
      <c r="I48" s="319">
        <f>($H48*DEFAULTS!$B$57/DEFAULTS!$B$58)</f>
        <v>0</v>
      </c>
      <c r="J48" s="319">
        <f>($H48*DEFAULTS!$B$57)</f>
        <v>0</v>
      </c>
      <c r="K48" s="320">
        <f>($G48*DEFAULTS!$B$55*DEFAULTS!$B$53/DEFAULTS!$B$54)</f>
        <v>0</v>
      </c>
      <c r="L48" s="211"/>
      <c r="M48" s="211"/>
      <c r="N48" s="211"/>
      <c r="O48" s="211"/>
    </row>
    <row r="49" spans="1:15">
      <c r="A49" s="211"/>
      <c r="B49" s="238" t="s">
        <v>116</v>
      </c>
      <c r="C49" s="239"/>
      <c r="D49" s="239"/>
      <c r="E49" s="239"/>
      <c r="F49" s="240"/>
      <c r="G49" s="319">
        <f>IF($E$3&gt;0,VLOOKUP($E$3,METHANE!$I$24:$J$163,2,0)*((VLOOKUP($B49,DEFAULTS!$E$8:$G$69,3,FALSE)*DEFAULTS!$B$72)/(DEFAULTS!$B$73*DEFAULTS!$B$74*DEFAULTS!$B$56))*(VLOOKUP($B49,DEFAULTS!$E$8:$F$69,2,FALSE)/10^6*(1/(RESULTS!$D$5/100))),0)</f>
        <v>0</v>
      </c>
      <c r="H49" s="319">
        <f>IF($E$3&gt;0,VLOOKUP($E$3,METHANE!$I$24:$J$163,2,0)*(VLOOKUP($B49,DEFAULTS!$E$8:$F$69,2,FALSE)/10^6*(1/(RESULTS!$D$5/100))),0)</f>
        <v>0</v>
      </c>
      <c r="I49" s="319">
        <f>($H49*DEFAULTS!$B$57/DEFAULTS!$B$58)</f>
        <v>0</v>
      </c>
      <c r="J49" s="319">
        <f>($H49*DEFAULTS!$B$57)</f>
        <v>0</v>
      </c>
      <c r="K49" s="320">
        <f>($G49*DEFAULTS!$B$55*DEFAULTS!$B$53/DEFAULTS!$B$54)</f>
        <v>0</v>
      </c>
      <c r="L49" s="211"/>
      <c r="M49" s="211"/>
      <c r="N49" s="211"/>
      <c r="O49" s="211"/>
    </row>
    <row r="50" spans="1:15">
      <c r="A50" s="211"/>
      <c r="B50" s="238" t="s">
        <v>117</v>
      </c>
      <c r="C50" s="239"/>
      <c r="D50" s="239"/>
      <c r="E50" s="239"/>
      <c r="F50" s="240"/>
      <c r="G50" s="319">
        <f>IF($E$3&gt;0,VLOOKUP($E$3,METHANE!$I$24:$J$163,2,0)*((VLOOKUP($B50,DEFAULTS!$E$8:$G$69,3,FALSE)*DEFAULTS!$B$72)/(DEFAULTS!$B$73*DEFAULTS!$B$74*DEFAULTS!$B$56))*(VLOOKUP($B50,DEFAULTS!$E$8:$F$69,2,FALSE)/10^6*(1/(RESULTS!$D$5/100))),0)</f>
        <v>0</v>
      </c>
      <c r="H50" s="319">
        <f>IF($E$3&gt;0,VLOOKUP($E$3,METHANE!$I$24:$J$163,2,0)*(VLOOKUP($B50,DEFAULTS!$E$8:$F$69,2,FALSE)/10^6*(1/(RESULTS!$D$5/100))),0)</f>
        <v>0</v>
      </c>
      <c r="I50" s="319">
        <f>($H50*DEFAULTS!$B$57/DEFAULTS!$B$58)</f>
        <v>0</v>
      </c>
      <c r="J50" s="319">
        <f>($H50*DEFAULTS!$B$57)</f>
        <v>0</v>
      </c>
      <c r="K50" s="320">
        <f>($G50*DEFAULTS!$B$55*DEFAULTS!$B$53/DEFAULTS!$B$54)</f>
        <v>0</v>
      </c>
      <c r="L50" s="211"/>
      <c r="M50" s="211"/>
      <c r="N50" s="211"/>
      <c r="O50" s="211"/>
    </row>
    <row r="51" spans="1:15">
      <c r="A51" s="211"/>
      <c r="B51" s="238" t="s">
        <v>118</v>
      </c>
      <c r="C51" s="239"/>
      <c r="D51" s="239"/>
      <c r="E51" s="239"/>
      <c r="F51" s="240"/>
      <c r="G51" s="319">
        <f>IF($E$3&gt;0,VLOOKUP($E$3,METHANE!$I$24:$J$163,2,0)*((VLOOKUP($B51,DEFAULTS!$E$8:$G$69,3,FALSE)*DEFAULTS!$B$72)/(DEFAULTS!$B$73*DEFAULTS!$B$74*DEFAULTS!$B$56))*(VLOOKUP($B51,DEFAULTS!$E$8:$F$69,2,FALSE)/10^6*(1/(RESULTS!$D$5/100))),0)</f>
        <v>0</v>
      </c>
      <c r="H51" s="319">
        <f>IF($E$3&gt;0,VLOOKUP($E$3,METHANE!$I$24:$J$163,2,0)*(VLOOKUP($B51,DEFAULTS!$E$8:$F$69,2,FALSE)/10^6*(1/(RESULTS!$D$5/100))),0)</f>
        <v>0</v>
      </c>
      <c r="I51" s="319">
        <f>($H51*DEFAULTS!$B$57/DEFAULTS!$B$58)</f>
        <v>0</v>
      </c>
      <c r="J51" s="319">
        <f>($H51*DEFAULTS!$B$57)</f>
        <v>0</v>
      </c>
      <c r="K51" s="320">
        <f>($G51*DEFAULTS!$B$55*DEFAULTS!$B$53/DEFAULTS!$B$54)</f>
        <v>0</v>
      </c>
      <c r="L51" s="211"/>
      <c r="M51" s="211"/>
    </row>
    <row r="52" spans="1:15">
      <c r="A52" s="211"/>
      <c r="B52" s="238" t="s">
        <v>119</v>
      </c>
      <c r="C52" s="239"/>
      <c r="D52" s="239"/>
      <c r="E52" s="239"/>
      <c r="F52" s="240"/>
      <c r="G52" s="319">
        <f>IF($E$3&gt;0,VLOOKUP($E$3,METHANE!$I$24:$J$163,2,0)*((VLOOKUP($B52,DEFAULTS!$E$8:$G$69,3,FALSE)*DEFAULTS!$B$72)/(DEFAULTS!$B$73*DEFAULTS!$B$74*DEFAULTS!$B$56))*(VLOOKUP($B52,DEFAULTS!$E$8:$F$69,2,FALSE)/10^6*(1/(RESULTS!$D$5/100))),0)</f>
        <v>0</v>
      </c>
      <c r="H52" s="319">
        <f>IF($E$3&gt;0,VLOOKUP($E$3,METHANE!$I$24:$J$163,2,0)*(VLOOKUP($B52,DEFAULTS!$E$8:$F$69,2,FALSE)/10^6*(1/(RESULTS!$D$5/100))),0)</f>
        <v>0</v>
      </c>
      <c r="I52" s="319">
        <f>($H52*DEFAULTS!$B$57/DEFAULTS!$B$58)</f>
        <v>0</v>
      </c>
      <c r="J52" s="319">
        <f>($H52*DEFAULTS!$B$57)</f>
        <v>0</v>
      </c>
      <c r="K52" s="320">
        <f>($G52*DEFAULTS!$B$55*DEFAULTS!$B$53/DEFAULTS!$B$54)</f>
        <v>0</v>
      </c>
      <c r="L52" s="211"/>
      <c r="M52" s="211"/>
    </row>
    <row r="53" spans="1:15">
      <c r="A53" s="211"/>
      <c r="B53" s="238" t="s">
        <v>120</v>
      </c>
      <c r="C53" s="239"/>
      <c r="D53" s="239"/>
      <c r="E53" s="239"/>
      <c r="F53" s="240"/>
      <c r="G53" s="319">
        <f>IF($E$3&gt;0,VLOOKUP($E$3,METHANE!$I$24:$J$163,2,0)*((VLOOKUP($B53,DEFAULTS!$E$8:$G$69,3,FALSE)*DEFAULTS!$B$72)/(DEFAULTS!$B$73*DEFAULTS!$B$74*DEFAULTS!$B$56))*(VLOOKUP($B53,DEFAULTS!$E$8:$F$69,2,FALSE)/10^6*(1/(RESULTS!$D$5/100))),0)</f>
        <v>0</v>
      </c>
      <c r="H53" s="319">
        <f>IF($E$3&gt;0,VLOOKUP($E$3,METHANE!$I$24:$J$163,2,0)*(VLOOKUP($B53,DEFAULTS!$E$8:$F$69,2,FALSE)/10^6*(1/(RESULTS!$D$5/100))),0)</f>
        <v>0</v>
      </c>
      <c r="I53" s="319">
        <f>($H53*DEFAULTS!$B$57/DEFAULTS!$B$58)</f>
        <v>0</v>
      </c>
      <c r="J53" s="319">
        <f>($H53*DEFAULTS!$B$57)</f>
        <v>0</v>
      </c>
      <c r="K53" s="320">
        <f>($G53*DEFAULTS!$B$55*DEFAULTS!$B$53/DEFAULTS!$B$54)</f>
        <v>0</v>
      </c>
      <c r="L53" s="211"/>
      <c r="M53" s="211"/>
    </row>
    <row r="54" spans="1:15">
      <c r="A54" s="211"/>
      <c r="B54" s="238" t="s">
        <v>234</v>
      </c>
      <c r="C54" s="239"/>
      <c r="D54" s="239"/>
      <c r="E54" s="239"/>
      <c r="F54" s="240"/>
      <c r="G54" s="319">
        <f>IF($E$3&gt;0,VLOOKUP($E$3,METHANE!$I$24:$J$163,2,0)*((VLOOKUP($B54,DEFAULTS!$E$8:$G$69,3,FALSE)*DEFAULTS!$B$72)/(DEFAULTS!$B$73*DEFAULTS!$B$74*DEFAULTS!$B$56))*(VLOOKUP($B54,DEFAULTS!$E$8:$F$69,2,FALSE)/10^6*(1/(RESULTS!$D$5/100))),0)</f>
        <v>0</v>
      </c>
      <c r="H54" s="319">
        <f>IF($E$3&gt;0,VLOOKUP($E$3,METHANE!$I$24:$J$163,2,0)*(VLOOKUP($B54,DEFAULTS!$E$8:$F$69,2,FALSE)/10^6*(1/(RESULTS!$D$5/100))),0)</f>
        <v>0</v>
      </c>
      <c r="I54" s="319">
        <f>($H54*DEFAULTS!$B$57/DEFAULTS!$B$58)</f>
        <v>0</v>
      </c>
      <c r="J54" s="319">
        <f>($H54*DEFAULTS!$B$57)</f>
        <v>0</v>
      </c>
      <c r="K54" s="320">
        <f>($G54*DEFAULTS!$B$55*DEFAULTS!$B$53/DEFAULTS!$B$54)</f>
        <v>0</v>
      </c>
      <c r="L54" s="211"/>
      <c r="M54" s="211"/>
    </row>
    <row r="55" spans="1:15">
      <c r="A55" s="211"/>
      <c r="B55" s="238" t="s">
        <v>235</v>
      </c>
      <c r="C55" s="239"/>
      <c r="D55" s="239"/>
      <c r="E55" s="239"/>
      <c r="F55" s="240"/>
      <c r="G55" s="319">
        <f>IF($E$3&gt;0,VLOOKUP($E$3,METHANE!$I$24:$J$163,2,0)*((VLOOKUP($B55,DEFAULTS!$E$8:$G$69,3,FALSE)*DEFAULTS!$B$72)/(DEFAULTS!$B$73*DEFAULTS!$B$74*DEFAULTS!$B$56))*(VLOOKUP($B55,DEFAULTS!$E$8:$F$69,2,FALSE)/10^6*(1/(RESULTS!$D$5/100))),0)</f>
        <v>0</v>
      </c>
      <c r="H55" s="319">
        <f>IF($E$3&gt;0,VLOOKUP($E$3,METHANE!$I$24:$J$163,2,0)*(VLOOKUP($B55,DEFAULTS!$E$8:$F$69,2,FALSE)/10^6*(1/(RESULTS!$D$5/100))),0)</f>
        <v>0</v>
      </c>
      <c r="I55" s="319">
        <f>($H55*DEFAULTS!$B$57/DEFAULTS!$B$58)</f>
        <v>0</v>
      </c>
      <c r="J55" s="319">
        <f>($H55*DEFAULTS!$B$57)</f>
        <v>0</v>
      </c>
      <c r="K55" s="320">
        <f>($G55*DEFAULTS!$B$55*DEFAULTS!$B$53/DEFAULTS!$B$54)</f>
        <v>0</v>
      </c>
      <c r="L55" s="211"/>
      <c r="M55" s="211"/>
    </row>
    <row r="56" spans="1:15">
      <c r="A56" s="211"/>
      <c r="B56" s="238" t="s">
        <v>121</v>
      </c>
      <c r="C56" s="239"/>
      <c r="D56" s="239"/>
      <c r="E56" s="239"/>
      <c r="F56" s="240"/>
      <c r="G56" s="319">
        <f>IF($E$3&gt;0,VLOOKUP($E$3,METHANE!$I$24:$J$163,2,0)*((VLOOKUP($B56,DEFAULTS!$E$8:$G$69,3,FALSE)*DEFAULTS!$B$72)/(DEFAULTS!$B$73*DEFAULTS!$B$74*DEFAULTS!$B$56))*(VLOOKUP($B56,DEFAULTS!$E$8:$F$69,2,FALSE)/10^6*(1/(RESULTS!$D$5/100))),0)</f>
        <v>0</v>
      </c>
      <c r="H56" s="319">
        <f>IF($E$3&gt;0,VLOOKUP($E$3,METHANE!$I$24:$J$163,2,0)*(VLOOKUP($B56,DEFAULTS!$E$8:$F$69,2,FALSE)/10^6*(1/(RESULTS!$D$5/100))),0)</f>
        <v>0</v>
      </c>
      <c r="I56" s="319">
        <f>($H56*DEFAULTS!$B$57/DEFAULTS!$B$58)</f>
        <v>0</v>
      </c>
      <c r="J56" s="319">
        <f>($H56*DEFAULTS!$B$57)</f>
        <v>0</v>
      </c>
      <c r="K56" s="320">
        <f>($G56*DEFAULTS!$B$55*DEFAULTS!$B$53/DEFAULTS!$B$54)</f>
        <v>0</v>
      </c>
      <c r="L56" s="211"/>
      <c r="M56" s="211"/>
    </row>
    <row r="57" spans="1:15">
      <c r="A57" s="211"/>
      <c r="B57" s="238" t="s">
        <v>122</v>
      </c>
      <c r="C57" s="239"/>
      <c r="D57" s="239"/>
      <c r="E57" s="239"/>
      <c r="F57" s="240"/>
      <c r="G57" s="319">
        <f>IF($E$3&gt;0,VLOOKUP($E$3,METHANE!$I$24:$J$163,2,0)*((VLOOKUP($B57,DEFAULTS!$E$8:$G$69,3,FALSE)*DEFAULTS!$B$72)/(DEFAULTS!$B$73*DEFAULTS!$B$74*DEFAULTS!$B$56))*(VLOOKUP($B57,DEFAULTS!$E$8:$F$69,2,FALSE)/10^6*(1/(RESULTS!$D$5/100))),0)</f>
        <v>0</v>
      </c>
      <c r="H57" s="319">
        <f>IF($E$3&gt;0,VLOOKUP($E$3,METHANE!$I$24:$J$163,2,0)*(VLOOKUP($B57,DEFAULTS!$E$8:$F$69,2,FALSE)/10^6*(1/(RESULTS!$D$5/100))),0)</f>
        <v>0</v>
      </c>
      <c r="I57" s="319">
        <f>($H57*DEFAULTS!$B$57/DEFAULTS!$B$58)</f>
        <v>0</v>
      </c>
      <c r="J57" s="319">
        <f>($H57*DEFAULTS!$B$57)</f>
        <v>0</v>
      </c>
      <c r="K57" s="320">
        <f>($G57*DEFAULTS!$B$55*DEFAULTS!$B$53/DEFAULTS!$B$54)</f>
        <v>0</v>
      </c>
      <c r="L57" s="211"/>
      <c r="M57" s="211"/>
    </row>
    <row r="58" spans="1:15" ht="13.5" thickBot="1">
      <c r="A58" s="211"/>
      <c r="B58" s="241" t="s">
        <v>123</v>
      </c>
      <c r="C58" s="242"/>
      <c r="D58" s="242"/>
      <c r="E58" s="242"/>
      <c r="F58" s="243"/>
      <c r="G58" s="319">
        <f>IF($E$3&gt;0,VLOOKUP($E$3,METHANE!$I$24:$J$163,2,0)*((VLOOKUP($B58,DEFAULTS!$E$8:$G$69,3,FALSE)*DEFAULTS!$B$72)/(DEFAULTS!$B$73*DEFAULTS!$B$74*DEFAULTS!$B$56))*(VLOOKUP($B58,DEFAULTS!$E$8:$F$69,2,FALSE)/10^6*(1/(RESULTS!$D$5/100))),0)</f>
        <v>0</v>
      </c>
      <c r="H58" s="319">
        <f>IF($E$3&gt;0,VLOOKUP($E$3,METHANE!$I$24:$J$163,2,0)*(VLOOKUP($B58,DEFAULTS!$E$8:$F$69,2,FALSE)/10^6*(1/(RESULTS!$D$5/100))),0)</f>
        <v>0</v>
      </c>
      <c r="I58" s="321">
        <f>($H58*DEFAULTS!$B$57/DEFAULTS!$B$58)</f>
        <v>0</v>
      </c>
      <c r="J58" s="321">
        <f>($H58*DEFAULTS!$B$57)</f>
        <v>0</v>
      </c>
      <c r="K58" s="322">
        <f>($G58*DEFAULTS!$B$55*DEFAULTS!$B$53/DEFAULTS!$B$54)</f>
        <v>0</v>
      </c>
      <c r="L58" s="211"/>
      <c r="M58" s="211"/>
    </row>
    <row r="59" spans="1:15">
      <c r="A59" s="211"/>
      <c r="B59" s="238" t="str">
        <f>IF(DEFAULTS!E60="","",DEFAULTS!E60)</f>
        <v/>
      </c>
      <c r="C59" s="367"/>
      <c r="D59" s="367"/>
      <c r="E59" s="367"/>
      <c r="F59" s="368"/>
      <c r="G59" s="369">
        <f>IF(ISERROR(IF($E$3&gt;0,VLOOKUP($E$3,METHANE!$I$24:$J$163,2,0)*((VLOOKUP($B59,DEFAULTS!$E$8:$G$69,3,FALSE)*DEFAULTS!$B$72)/(DEFAULTS!$B$73*DEFAULTS!$B$74*DEFAULTS!$B$56))*(VLOOKUP($B59,DEFAULTS!$E$8:$F$69,2,FALSE)/10^6*(1/(RESULTS!$D$5/100))),0)),"",IF($E$3&gt;0,VLOOKUP($E$3,METHANE!$I$24:$J$163,2,0)*((VLOOKUP($B59,DEFAULTS!$E$8:$G$69,3,FALSE)*DEFAULTS!$B$72)/(DEFAULTS!$B$73*DEFAULTS!$B$74*DEFAULTS!$B$56))*(VLOOKUP($B59,DEFAULTS!$E$8:$F$69,2,FALSE)/10^6*(1/(RESULTS!$D$5/100))),0))</f>
        <v>0</v>
      </c>
      <c r="H59" s="369">
        <f>IF(ISERROR(IF($E$3&gt;0,VLOOKUP($E$3,METHANE!$I$24:$J$163,2,0)*(VLOOKUP($B59,DEFAULTS!$E$8:$F$69,2,FALSE)/10^6*(1/(RESULTS!$D$5/100))),0)),"",IF($E$3&gt;0,VLOOKUP($E$3,METHANE!$I$24:$J$163,2,0)*(VLOOKUP($B59,DEFAULTS!$E$8:$F$69,2,FALSE)/10^4*(1/RESULTS!$D$5)),0))</f>
        <v>0</v>
      </c>
      <c r="I59" s="369">
        <f>IF(ISERROR(($H59*DEFAULTS!$B$57/DEFAULTS!$B$58)),"",($H59*DEFAULTS!$B$57/DEFAULTS!$B$58))</f>
        <v>0</v>
      </c>
      <c r="J59" s="369">
        <f>IF(ISERROR(($H59*DEFAULTS!$B$57)),"",($H59*DEFAULTS!$B$57))</f>
        <v>0</v>
      </c>
      <c r="K59" s="370">
        <f>IF(ISERROR(($G59*DEFAULTS!$B$55*DEFAULTS!$B$53/DEFAULTS!$B$54)),"",($G59*DEFAULTS!$B$55*DEFAULTS!$B$53/DEFAULTS!$B$54))</f>
        <v>0</v>
      </c>
      <c r="L59" s="211"/>
      <c r="M59" s="211"/>
    </row>
    <row r="60" spans="1:15">
      <c r="A60" s="211"/>
      <c r="B60" s="238" t="str">
        <f>IF(DEFAULTS!E61="","",DEFAULTS!E61)</f>
        <v/>
      </c>
      <c r="C60" s="239"/>
      <c r="D60" s="239"/>
      <c r="E60" s="239"/>
      <c r="F60" s="240"/>
      <c r="G60" s="319">
        <f>IF(ISERROR(IF($E$3&gt;0,VLOOKUP($E$3,METHANE!$I$24:$J$163,2,0)*((VLOOKUP($B60,DEFAULTS!$E$8:$G$69,3,FALSE)*DEFAULTS!$B$72)/(DEFAULTS!$B$73*DEFAULTS!$B$74*DEFAULTS!$B$56))*(VLOOKUP($B60,DEFAULTS!$E$8:$F$69,2,FALSE)/10^6*(1/(RESULTS!$D$5/100))),0)),"",IF($E$3&gt;0,VLOOKUP($E$3,METHANE!$I$24:$J$163,2,0)*((VLOOKUP($B60,DEFAULTS!$E$8:$G$69,3,FALSE)*DEFAULTS!$B$72)/(DEFAULTS!$B$73*DEFAULTS!$B$74*DEFAULTS!$B$56))*(VLOOKUP($B60,DEFAULTS!$E$8:$F$69,2,FALSE)/10^6*(1/(RESULTS!$D$5/100))),0))</f>
        <v>0</v>
      </c>
      <c r="H60" s="319">
        <f>IF(ISERROR(IF($E$3&gt;0,VLOOKUP($E$3,METHANE!$I$24:$J$163,2,0)*(VLOOKUP($B60,DEFAULTS!$E$8:$F$69,2,FALSE)/10^6*(1/(RESULTS!$D$5/100))),0)),"",IF($E$3&gt;0,VLOOKUP($E$3,METHANE!$I$24:$J$163,2,0)*(VLOOKUP($B60,DEFAULTS!$E$8:$F$69,2,FALSE)/10^4*(1/RESULTS!$D$5)),0))</f>
        <v>0</v>
      </c>
      <c r="I60" s="319">
        <f>IF(ISERROR(($H60*DEFAULTS!$B$57/DEFAULTS!$B$58)),"",($H60*DEFAULTS!$B$57/DEFAULTS!$B$58))</f>
        <v>0</v>
      </c>
      <c r="J60" s="319">
        <f>IF(ISERROR(($H60*DEFAULTS!$B$57)),"",($H60*DEFAULTS!$B$57))</f>
        <v>0</v>
      </c>
      <c r="K60" s="320">
        <f>IF(ISERROR(($G60*DEFAULTS!$B$55*DEFAULTS!$B$53/DEFAULTS!$B$54)),"",($G60*DEFAULTS!$B$55*DEFAULTS!$B$53/DEFAULTS!$B$54))</f>
        <v>0</v>
      </c>
      <c r="L60" s="211"/>
      <c r="M60" s="211"/>
    </row>
    <row r="61" spans="1:15">
      <c r="A61" s="211"/>
      <c r="B61" s="238" t="str">
        <f>IF(DEFAULTS!E62="","",DEFAULTS!E62)</f>
        <v/>
      </c>
      <c r="C61" s="239"/>
      <c r="D61" s="239"/>
      <c r="E61" s="239"/>
      <c r="F61" s="240"/>
      <c r="G61" s="319">
        <f>IF(ISERROR(IF($E$3&gt;0,VLOOKUP($E$3,METHANE!$I$24:$J$163,2,0)*((VLOOKUP($B61,DEFAULTS!$E$8:$G$69,3,FALSE)*DEFAULTS!$B$72)/(DEFAULTS!$B$73*DEFAULTS!$B$74*DEFAULTS!$B$56))*(VLOOKUP($B61,DEFAULTS!$E$8:$F$69,2,FALSE)/10^6*(1/(RESULTS!$D$5/100))),0)),"",IF($E$3&gt;0,VLOOKUP($E$3,METHANE!$I$24:$J$163,2,0)*((VLOOKUP($B61,DEFAULTS!$E$8:$G$69,3,FALSE)*DEFAULTS!$B$72)/(DEFAULTS!$B$73*DEFAULTS!$B$74*DEFAULTS!$B$56))*(VLOOKUP($B61,DEFAULTS!$E$8:$F$69,2,FALSE)/10^6*(1/(RESULTS!$D$5/100))),0))</f>
        <v>0</v>
      </c>
      <c r="H61" s="319">
        <f>IF(ISERROR(IF($E$3&gt;0,VLOOKUP($E$3,METHANE!$I$24:$J$163,2,0)*(VLOOKUP($B61,DEFAULTS!$E$8:$F$69,2,FALSE)/10^6*(1/(RESULTS!$D$5/100))),0)),"",IF($E$3&gt;0,VLOOKUP($E$3,METHANE!$I$24:$J$163,2,0)*(VLOOKUP($B61,DEFAULTS!$E$8:$F$69,2,FALSE)/10^4*(1/RESULTS!$D$5)),0))</f>
        <v>0</v>
      </c>
      <c r="I61" s="319">
        <f>IF(ISERROR(($H61*DEFAULTS!$B$57/DEFAULTS!$B$58)),"",($H61*DEFAULTS!$B$57/DEFAULTS!$B$58))</f>
        <v>0</v>
      </c>
      <c r="J61" s="319">
        <f>IF(ISERROR(($H61*DEFAULTS!$B$57)),"",($H61*DEFAULTS!$B$57))</f>
        <v>0</v>
      </c>
      <c r="K61" s="320">
        <f>IF(ISERROR(($G61*DEFAULTS!$B$55*DEFAULTS!$B$53/DEFAULTS!$B$54)),"",($G61*DEFAULTS!$B$55*DEFAULTS!$B$53/DEFAULTS!$B$54))</f>
        <v>0</v>
      </c>
      <c r="L61" s="211"/>
      <c r="M61" s="211"/>
    </row>
    <row r="62" spans="1:15">
      <c r="A62" s="211"/>
      <c r="B62" s="238" t="str">
        <f>IF(DEFAULTS!E63="","",DEFAULTS!E63)</f>
        <v/>
      </c>
      <c r="C62" s="239"/>
      <c r="D62" s="239"/>
      <c r="E62" s="239"/>
      <c r="F62" s="240"/>
      <c r="G62" s="319">
        <f>IF(ISERROR(IF($E$3&gt;0,VLOOKUP($E$3,METHANE!$I$24:$J$163,2,0)*((VLOOKUP($B62,DEFAULTS!$E$8:$G$69,3,FALSE)*DEFAULTS!$B$72)/(DEFAULTS!$B$73*DEFAULTS!$B$74*DEFAULTS!$B$56))*(VLOOKUP($B62,DEFAULTS!$E$8:$F$69,2,FALSE)/10^6*(1/(RESULTS!$D$5/100))),0)),"",IF($E$3&gt;0,VLOOKUP($E$3,METHANE!$I$24:$J$163,2,0)*((VLOOKUP($B62,DEFAULTS!$E$8:$G$69,3,FALSE)*DEFAULTS!$B$72)/(DEFAULTS!$B$73*DEFAULTS!$B$74*DEFAULTS!$B$56))*(VLOOKUP($B62,DEFAULTS!$E$8:$F$69,2,FALSE)/10^6*(1/(RESULTS!$D$5/100))),0))</f>
        <v>0</v>
      </c>
      <c r="H62" s="319">
        <f>IF(ISERROR(IF($E$3&gt;0,VLOOKUP($E$3,METHANE!$I$24:$J$163,2,0)*(VLOOKUP($B62,DEFAULTS!$E$8:$F$69,2,FALSE)/10^6*(1/(RESULTS!$D$5/100))),0)),"",IF($E$3&gt;0,VLOOKUP($E$3,METHANE!$I$24:$J$163,2,0)*(VLOOKUP($B62,DEFAULTS!$E$8:$F$69,2,FALSE)/10^4*(1/RESULTS!$D$5)),0))</f>
        <v>0</v>
      </c>
      <c r="I62" s="319">
        <f>IF(ISERROR(($H62*DEFAULTS!$B$57/DEFAULTS!$B$58)),"",($H62*DEFAULTS!$B$57/DEFAULTS!$B$58))</f>
        <v>0</v>
      </c>
      <c r="J62" s="319">
        <f>IF(ISERROR(($H62*DEFAULTS!$B$57)),"",($H62*DEFAULTS!$B$57))</f>
        <v>0</v>
      </c>
      <c r="K62" s="320">
        <f>IF(ISERROR(($G62*DEFAULTS!$B$55*DEFAULTS!$B$53/DEFAULTS!$B$54)),"",($G62*DEFAULTS!$B$55*DEFAULTS!$B$53/DEFAULTS!$B$54))</f>
        <v>0</v>
      </c>
      <c r="L62" s="211"/>
      <c r="M62" s="211"/>
    </row>
    <row r="63" spans="1:15">
      <c r="A63" s="211"/>
      <c r="B63" s="238" t="str">
        <f>IF(DEFAULTS!E64="","",DEFAULTS!E64)</f>
        <v/>
      </c>
      <c r="C63" s="239"/>
      <c r="D63" s="239"/>
      <c r="E63" s="239"/>
      <c r="F63" s="240"/>
      <c r="G63" s="319">
        <f>IF(ISERROR(IF($E$3&gt;0,VLOOKUP($E$3,METHANE!$I$24:$J$163,2,0)*((VLOOKUP($B63,DEFAULTS!$E$8:$G$69,3,FALSE)*DEFAULTS!$B$72)/(DEFAULTS!$B$73*DEFAULTS!$B$74*DEFAULTS!$B$56))*(VLOOKUP($B63,DEFAULTS!$E$8:$F$69,2,FALSE)/10^6*(1/(RESULTS!$D$5/100))),0)),"",IF($E$3&gt;0,VLOOKUP($E$3,METHANE!$I$24:$J$163,2,0)*((VLOOKUP($B63,DEFAULTS!$E$8:$G$69,3,FALSE)*DEFAULTS!$B$72)/(DEFAULTS!$B$73*DEFAULTS!$B$74*DEFAULTS!$B$56))*(VLOOKUP($B63,DEFAULTS!$E$8:$F$69,2,FALSE)/10^6*(1/(RESULTS!$D$5/100))),0))</f>
        <v>0</v>
      </c>
      <c r="H63" s="319">
        <f>IF(ISERROR(IF($E$3&gt;0,VLOOKUP($E$3,METHANE!$I$24:$J$163,2,0)*(VLOOKUP($B63,DEFAULTS!$E$8:$F$69,2,FALSE)/10^6*(1/(RESULTS!$D$5/100))),0)),"",IF($E$3&gt;0,VLOOKUP($E$3,METHANE!$I$24:$J$163,2,0)*(VLOOKUP($B63,DEFAULTS!$E$8:$F$69,2,FALSE)/10^4*(1/RESULTS!$D$5)),0))</f>
        <v>0</v>
      </c>
      <c r="I63" s="319">
        <f>IF(ISERROR(($H63*DEFAULTS!$B$57/DEFAULTS!$B$58)),"",($H63*DEFAULTS!$B$57/DEFAULTS!$B$58))</f>
        <v>0</v>
      </c>
      <c r="J63" s="319">
        <f>IF(ISERROR(($H63*DEFAULTS!$B$57)),"",($H63*DEFAULTS!$B$57))</f>
        <v>0</v>
      </c>
      <c r="K63" s="320">
        <f>IF(ISERROR(($G63*DEFAULTS!$B$55*DEFAULTS!$B$53/DEFAULTS!$B$54)),"",($G63*DEFAULTS!$B$55*DEFAULTS!$B$53/DEFAULTS!$B$54))</f>
        <v>0</v>
      </c>
      <c r="L63" s="211"/>
      <c r="M63" s="211"/>
    </row>
    <row r="64" spans="1:15">
      <c r="A64" s="211"/>
      <c r="B64" s="238" t="str">
        <f>IF(DEFAULTS!E65="","",DEFAULTS!E65)</f>
        <v/>
      </c>
      <c r="C64" s="239"/>
      <c r="D64" s="239"/>
      <c r="E64" s="239"/>
      <c r="F64" s="240"/>
      <c r="G64" s="319">
        <f>IF(ISERROR(IF($E$3&gt;0,VLOOKUP($E$3,METHANE!$I$24:$J$163,2,0)*((VLOOKUP($B64,DEFAULTS!$E$8:$G$69,3,FALSE)*DEFAULTS!$B$72)/(DEFAULTS!$B$73*DEFAULTS!$B$74*DEFAULTS!$B$56))*(VLOOKUP($B64,DEFAULTS!$E$8:$F$69,2,FALSE)/10^6*(1/(RESULTS!$D$5/100))),0)),"",IF($E$3&gt;0,VLOOKUP($E$3,METHANE!$I$24:$J$163,2,0)*((VLOOKUP($B64,DEFAULTS!$E$8:$G$69,3,FALSE)*DEFAULTS!$B$72)/(DEFAULTS!$B$73*DEFAULTS!$B$74*DEFAULTS!$B$56))*(VLOOKUP($B64,DEFAULTS!$E$8:$F$69,2,FALSE)/10^6*(1/(RESULTS!$D$5/100))),0))</f>
        <v>0</v>
      </c>
      <c r="H64" s="319">
        <f>IF(ISERROR(IF($E$3&gt;0,VLOOKUP($E$3,METHANE!$I$24:$J$163,2,0)*(VLOOKUP($B64,DEFAULTS!$E$8:$F$69,2,FALSE)/10^6*(1/(RESULTS!$D$5/100))),0)),"",IF($E$3&gt;0,VLOOKUP($E$3,METHANE!$I$24:$J$163,2,0)*(VLOOKUP($B64,DEFAULTS!$E$8:$F$69,2,FALSE)/10^4*(1/RESULTS!$D$5)),0))</f>
        <v>0</v>
      </c>
      <c r="I64" s="319">
        <f>IF(ISERROR(($H64*DEFAULTS!$B$57/DEFAULTS!$B$58)),"",($H64*DEFAULTS!$B$57/DEFAULTS!$B$58))</f>
        <v>0</v>
      </c>
      <c r="J64" s="319">
        <f>IF(ISERROR(($H64*DEFAULTS!$B$57)),"",($H64*DEFAULTS!$B$57))</f>
        <v>0</v>
      </c>
      <c r="K64" s="320">
        <f>IF(ISERROR(($G64*DEFAULTS!$B$55*DEFAULTS!$B$53/DEFAULTS!$B$54)),"",($G64*DEFAULTS!$B$55*DEFAULTS!$B$53/DEFAULTS!$B$54))</f>
        <v>0</v>
      </c>
      <c r="L64" s="211"/>
      <c r="M64" s="211"/>
    </row>
    <row r="65" spans="1:13">
      <c r="A65" s="211"/>
      <c r="B65" s="238" t="str">
        <f>IF(DEFAULTS!E66="","",DEFAULTS!E66)</f>
        <v/>
      </c>
      <c r="C65" s="239"/>
      <c r="D65" s="239"/>
      <c r="E65" s="239"/>
      <c r="F65" s="240"/>
      <c r="G65" s="319">
        <f>IF(ISERROR(IF($E$3&gt;0,VLOOKUP($E$3,METHANE!$I$24:$J$163,2,0)*((VLOOKUP($B65,DEFAULTS!$E$8:$G$69,3,FALSE)*DEFAULTS!$B$72)/(DEFAULTS!$B$73*DEFAULTS!$B$74*DEFAULTS!$B$56))*(VLOOKUP($B65,DEFAULTS!$E$8:$F$69,2,FALSE)/10^6*(1/(RESULTS!$D$5/100))),0)),"",IF($E$3&gt;0,VLOOKUP($E$3,METHANE!$I$24:$J$163,2,0)*((VLOOKUP($B65,DEFAULTS!$E$8:$G$69,3,FALSE)*DEFAULTS!$B$72)/(DEFAULTS!$B$73*DEFAULTS!$B$74*DEFAULTS!$B$56))*(VLOOKUP($B65,DEFAULTS!$E$8:$F$69,2,FALSE)/10^6*(1/(RESULTS!$D$5/100))),0))</f>
        <v>0</v>
      </c>
      <c r="H65" s="319">
        <f>IF(ISERROR(IF($E$3&gt;0,VLOOKUP($E$3,METHANE!$I$24:$J$163,2,0)*(VLOOKUP($B65,DEFAULTS!$E$8:$F$69,2,FALSE)/10^6*(1/(RESULTS!$D$5/100))),0)),"",IF($E$3&gt;0,VLOOKUP($E$3,METHANE!$I$24:$J$163,2,0)*(VLOOKUP($B65,DEFAULTS!$E$8:$F$69,2,FALSE)/10^4*(1/RESULTS!$D$5)),0))</f>
        <v>0</v>
      </c>
      <c r="I65" s="319">
        <f>IF(ISERROR(($H65*DEFAULTS!$B$57/DEFAULTS!$B$58)),"",($H65*DEFAULTS!$B$57/DEFAULTS!$B$58))</f>
        <v>0</v>
      </c>
      <c r="J65" s="319">
        <f>IF(ISERROR(($H65*DEFAULTS!$B$57)),"",($H65*DEFAULTS!$B$57))</f>
        <v>0</v>
      </c>
      <c r="K65" s="320">
        <f>IF(ISERROR(($G65*DEFAULTS!$B$55*DEFAULTS!$B$53/DEFAULTS!$B$54)),"",($G65*DEFAULTS!$B$55*DEFAULTS!$B$53/DEFAULTS!$B$54))</f>
        <v>0</v>
      </c>
      <c r="L65" s="211"/>
      <c r="M65" s="211"/>
    </row>
    <row r="66" spans="1:13">
      <c r="A66" s="211"/>
      <c r="B66" s="238" t="str">
        <f>IF(DEFAULTS!E67="","",DEFAULTS!E67)</f>
        <v/>
      </c>
      <c r="C66" s="239"/>
      <c r="D66" s="239"/>
      <c r="E66" s="239"/>
      <c r="F66" s="240"/>
      <c r="G66" s="319">
        <f>IF(ISERROR(IF($E$3&gt;0,VLOOKUP($E$3,METHANE!$I$24:$J$163,2,0)*((VLOOKUP($B66,DEFAULTS!$E$8:$G$69,3,FALSE)*DEFAULTS!$B$72)/(DEFAULTS!$B$73*DEFAULTS!$B$74*DEFAULTS!$B$56))*(VLOOKUP($B66,DEFAULTS!$E$8:$F$69,2,FALSE)/10^6*(1/(RESULTS!$D$5/100))),0)),"",IF($E$3&gt;0,VLOOKUP($E$3,METHANE!$I$24:$J$163,2,0)*((VLOOKUP($B66,DEFAULTS!$E$8:$G$69,3,FALSE)*DEFAULTS!$B$72)/(DEFAULTS!$B$73*DEFAULTS!$B$74*DEFAULTS!$B$56))*(VLOOKUP($B66,DEFAULTS!$E$8:$F$69,2,FALSE)/10^6*(1/(RESULTS!$D$5/100))),0))</f>
        <v>0</v>
      </c>
      <c r="H66" s="319">
        <f>IF(ISERROR(IF($E$3&gt;0,VLOOKUP($E$3,METHANE!$I$24:$J$163,2,0)*(VLOOKUP($B66,DEFAULTS!$E$8:$F$69,2,FALSE)/10^6*(1/(RESULTS!$D$5/100))),0)),"",IF($E$3&gt;0,VLOOKUP($E$3,METHANE!$I$24:$J$163,2,0)*(VLOOKUP($B66,DEFAULTS!$E$8:$F$69,2,FALSE)/10^4*(1/RESULTS!$D$5)),0))</f>
        <v>0</v>
      </c>
      <c r="I66" s="319">
        <f>IF(ISERROR(($H66*DEFAULTS!$B$57/DEFAULTS!$B$58)),"",($H66*DEFAULTS!$B$57/DEFAULTS!$B$58))</f>
        <v>0</v>
      </c>
      <c r="J66" s="319">
        <f>IF(ISERROR(($H66*DEFAULTS!$B$57)),"",($H66*DEFAULTS!$B$57))</f>
        <v>0</v>
      </c>
      <c r="K66" s="320">
        <f>IF(ISERROR(($G66*DEFAULTS!$B$55*DEFAULTS!$B$53/DEFAULTS!$B$54)),"",($G66*DEFAULTS!$B$55*DEFAULTS!$B$53/DEFAULTS!$B$54))</f>
        <v>0</v>
      </c>
      <c r="L66" s="211"/>
      <c r="M66" s="211"/>
    </row>
    <row r="67" spans="1:13">
      <c r="A67" s="211"/>
      <c r="B67" s="238" t="str">
        <f>IF(DEFAULTS!E68="","",DEFAULTS!E68)</f>
        <v/>
      </c>
      <c r="C67" s="239"/>
      <c r="D67" s="239"/>
      <c r="E67" s="239"/>
      <c r="F67" s="239"/>
      <c r="G67" s="319">
        <f>IF(ISERROR(IF($E$3&gt;0,VLOOKUP($E$3,METHANE!$I$24:$J$163,2,0)*((VLOOKUP($B67,DEFAULTS!$E$8:$G$69,3,FALSE)*DEFAULTS!$B$72)/(DEFAULTS!$B$73*DEFAULTS!$B$74*DEFAULTS!$B$56))*(VLOOKUP($B67,DEFAULTS!$E$8:$F$69,2,FALSE)/10^6*(1/(RESULTS!$D$5/100))),0)),"",IF($E$3&gt;0,VLOOKUP($E$3,METHANE!$I$24:$J$163,2,0)*((VLOOKUP($B67,DEFAULTS!$E$8:$G$69,3,FALSE)*DEFAULTS!$B$72)/(DEFAULTS!$B$73*DEFAULTS!$B$74*DEFAULTS!$B$56))*(VLOOKUP($B67,DEFAULTS!$E$8:$F$69,2,FALSE)/10^6*(1/(RESULTS!$D$5/100))),0))</f>
        <v>0</v>
      </c>
      <c r="H67" s="319">
        <f>IF(ISERROR(IF($E$3&gt;0,VLOOKUP($E$3,METHANE!$I$24:$J$163,2,0)*(VLOOKUP($B67,DEFAULTS!$E$8:$F$69,2,FALSE)/10^6*(1/(RESULTS!$D$5/100))),0)),"",IF($E$3&gt;0,VLOOKUP($E$3,METHANE!$I$24:$J$163,2,0)*(VLOOKUP($B67,DEFAULTS!$E$8:$F$69,2,FALSE)/10^4*(1/RESULTS!$D$5)),0))</f>
        <v>0</v>
      </c>
      <c r="I67" s="319">
        <f>IF(ISERROR(($H67*DEFAULTS!$B$57/DEFAULTS!$B$58)),"",($H67*DEFAULTS!$B$57/DEFAULTS!$B$58))</f>
        <v>0</v>
      </c>
      <c r="J67" s="319">
        <f>IF(ISERROR(($H67*DEFAULTS!$B$57)),"",($H67*DEFAULTS!$B$57))</f>
        <v>0</v>
      </c>
      <c r="K67" s="320">
        <f>IF(ISERROR(($G67*DEFAULTS!$B$55*DEFAULTS!$B$53/DEFAULTS!$B$54)),"",($G67*DEFAULTS!$B$55*DEFAULTS!$B$53/DEFAULTS!$B$54))</f>
        <v>0</v>
      </c>
      <c r="L67" s="211"/>
      <c r="M67" s="211"/>
    </row>
    <row r="68" spans="1:13" ht="13.5" thickBot="1">
      <c r="A68" s="211"/>
      <c r="B68" s="241" t="str">
        <f>IF(DEFAULTS!E69="","",DEFAULTS!E69)</f>
        <v/>
      </c>
      <c r="C68" s="242"/>
      <c r="D68" s="242"/>
      <c r="E68" s="242"/>
      <c r="F68" s="242"/>
      <c r="G68" s="321">
        <f>IF(ISERROR(IF($E$3&gt;0,VLOOKUP($E$3,METHANE!$I$24:$J$163,2,0)*((VLOOKUP($B68,DEFAULTS!$E$8:$G$69,3,FALSE)*DEFAULTS!$B$72)/(DEFAULTS!$B$73*DEFAULTS!$B$74*DEFAULTS!$B$56))*(VLOOKUP($B68,DEFAULTS!$E$8:$F$69,2,FALSE)/10^6*(1/(RESULTS!$D$5/100))),0)),"",IF($E$3&gt;0,VLOOKUP($E$3,METHANE!$I$24:$J$163,2,0)*((VLOOKUP($B68,DEFAULTS!$E$8:$G$69,3,FALSE)*DEFAULTS!$B$72)/(DEFAULTS!$B$73*DEFAULTS!$B$74*DEFAULTS!$B$56))*(VLOOKUP($B68,DEFAULTS!$E$8:$F$69,2,FALSE)/10^6*(1/(RESULTS!$D$5/100))),0))</f>
        <v>0</v>
      </c>
      <c r="H68" s="321">
        <f>IF(ISERROR(IF($E$3&gt;0,VLOOKUP($E$3,METHANE!$I$24:$J$163,2,0)*(VLOOKUP($B68,DEFAULTS!$E$8:$F$69,2,FALSE)/10^6*(1/(RESULTS!$D$5/100))),0)),"",IF($E$3&gt;0,VLOOKUP($E$3,METHANE!$I$24:$J$163,2,0)*(VLOOKUP($B68,DEFAULTS!$E$8:$F$69,2,FALSE)/10^4*(1/RESULTS!$D$5)),0))</f>
        <v>0</v>
      </c>
      <c r="I68" s="321">
        <f>IF(ISERROR(($H68*DEFAULTS!$B$57/DEFAULTS!$B$58)),"",($H68*DEFAULTS!$B$57/DEFAULTS!$B$58))</f>
        <v>0</v>
      </c>
      <c r="J68" s="321">
        <f>IF(ISERROR(($H68*DEFAULTS!$B$57)),"",($H68*DEFAULTS!$B$57))</f>
        <v>0</v>
      </c>
      <c r="K68" s="322">
        <f>IF(ISERROR(($G68*DEFAULTS!$B$55*DEFAULTS!$B$53/DEFAULTS!$B$54)),"",($G68*DEFAULTS!$B$55*DEFAULTS!$B$53/DEFAULTS!$B$54))</f>
        <v>0</v>
      </c>
      <c r="L68" s="211"/>
      <c r="M68" s="211"/>
    </row>
    <row r="69" spans="1:13">
      <c r="A69" s="211"/>
      <c r="B69" s="211"/>
      <c r="C69" s="211"/>
      <c r="D69" s="211"/>
      <c r="E69" s="211"/>
      <c r="F69" s="211"/>
      <c r="G69" s="211"/>
      <c r="H69" s="211"/>
      <c r="I69" s="211"/>
      <c r="J69" s="211"/>
      <c r="K69" s="211"/>
      <c r="L69" s="211"/>
      <c r="M69" s="211"/>
    </row>
    <row r="70" spans="1:13">
      <c r="A70" s="211"/>
      <c r="B70" s="211"/>
      <c r="C70" s="211"/>
      <c r="D70" s="211"/>
      <c r="E70" s="211"/>
      <c r="F70" s="211"/>
      <c r="G70" s="211"/>
      <c r="H70" s="211"/>
      <c r="I70" s="211"/>
      <c r="J70" s="211"/>
      <c r="K70" s="211"/>
      <c r="L70" s="211"/>
      <c r="M70" s="211"/>
    </row>
    <row r="71" spans="1:13">
      <c r="A71" s="211"/>
      <c r="B71" s="211"/>
      <c r="C71" s="211"/>
      <c r="D71" s="211"/>
      <c r="E71" s="211"/>
      <c r="F71" s="211"/>
      <c r="G71" s="211"/>
      <c r="H71" s="211"/>
      <c r="I71" s="211"/>
      <c r="J71" s="211"/>
      <c r="K71" s="211"/>
      <c r="L71" s="211"/>
      <c r="M71" s="211"/>
    </row>
    <row r="72" spans="1:13">
      <c r="A72" s="211"/>
      <c r="B72" s="211"/>
      <c r="C72" s="211"/>
      <c r="D72" s="211"/>
      <c r="E72" s="211"/>
      <c r="F72" s="211"/>
      <c r="G72" s="211"/>
      <c r="H72" s="211"/>
      <c r="I72" s="211"/>
      <c r="J72" s="211"/>
      <c r="K72" s="211"/>
      <c r="L72" s="211"/>
      <c r="M72" s="211"/>
    </row>
    <row r="73" spans="1:13">
      <c r="A73" s="211"/>
      <c r="B73" s="211"/>
      <c r="C73" s="211"/>
      <c r="D73" s="211"/>
      <c r="E73" s="211"/>
      <c r="F73" s="211"/>
      <c r="G73" s="211"/>
      <c r="H73" s="211"/>
      <c r="I73" s="211"/>
      <c r="J73" s="211"/>
      <c r="K73" s="211"/>
      <c r="L73" s="211"/>
      <c r="M73" s="211"/>
    </row>
    <row r="74" spans="1:13">
      <c r="A74" s="211"/>
      <c r="B74" s="211"/>
      <c r="C74" s="211"/>
      <c r="D74" s="211"/>
      <c r="E74" s="211"/>
      <c r="F74" s="211"/>
      <c r="G74" s="211"/>
      <c r="H74" s="211"/>
      <c r="I74" s="211"/>
      <c r="J74" s="211"/>
      <c r="K74" s="211"/>
      <c r="L74" s="211"/>
      <c r="M74" s="211"/>
    </row>
    <row r="75" spans="1:13">
      <c r="A75" s="211"/>
      <c r="B75" s="211"/>
      <c r="C75" s="211"/>
      <c r="D75" s="211"/>
      <c r="E75" s="211"/>
      <c r="F75" s="211"/>
      <c r="G75" s="211"/>
      <c r="H75" s="211"/>
      <c r="I75" s="211"/>
      <c r="J75" s="211"/>
      <c r="K75" s="211"/>
      <c r="L75" s="211"/>
      <c r="M75" s="211"/>
    </row>
    <row r="76" spans="1:13">
      <c r="A76" s="211"/>
      <c r="B76" s="211"/>
      <c r="C76" s="211"/>
      <c r="D76" s="211"/>
      <c r="E76" s="211"/>
      <c r="F76" s="211"/>
      <c r="G76" s="211"/>
      <c r="H76" s="211"/>
      <c r="I76" s="211"/>
      <c r="J76" s="211"/>
      <c r="K76" s="211"/>
      <c r="L76" s="211"/>
      <c r="M76" s="211"/>
    </row>
    <row r="77" spans="1:13">
      <c r="A77" s="211"/>
      <c r="B77" s="211"/>
      <c r="C77" s="211"/>
      <c r="D77" s="211"/>
      <c r="E77" s="211"/>
      <c r="F77" s="211"/>
      <c r="G77" s="211"/>
      <c r="H77" s="211"/>
      <c r="I77" s="211"/>
      <c r="J77" s="211"/>
      <c r="K77" s="211"/>
      <c r="L77" s="211"/>
      <c r="M77" s="211"/>
    </row>
    <row r="78" spans="1:13">
      <c r="A78" s="211"/>
      <c r="B78" s="211"/>
      <c r="C78" s="211"/>
      <c r="D78" s="211"/>
      <c r="E78" s="211"/>
      <c r="F78" s="211"/>
      <c r="G78" s="211"/>
      <c r="H78" s="211"/>
      <c r="I78" s="211"/>
      <c r="J78" s="211"/>
      <c r="K78" s="211"/>
      <c r="L78" s="211"/>
      <c r="M78" s="211"/>
    </row>
    <row r="79" spans="1:13">
      <c r="A79" s="211"/>
      <c r="B79" s="211"/>
      <c r="C79" s="211"/>
      <c r="D79" s="211"/>
      <c r="E79" s="211"/>
      <c r="F79" s="211"/>
      <c r="G79" s="211"/>
      <c r="H79" s="211"/>
      <c r="I79" s="211"/>
      <c r="J79" s="211"/>
      <c r="K79" s="211"/>
      <c r="L79" s="211"/>
      <c r="M79" s="211"/>
    </row>
    <row r="80" spans="1:13">
      <c r="A80" s="211"/>
      <c r="B80" s="211"/>
      <c r="C80" s="211"/>
      <c r="D80" s="211"/>
      <c r="E80" s="211"/>
      <c r="F80" s="211"/>
      <c r="G80" s="211"/>
      <c r="H80" s="211"/>
      <c r="I80" s="211"/>
      <c r="J80" s="211"/>
      <c r="K80" s="211"/>
      <c r="L80" s="211"/>
      <c r="M80" s="211"/>
    </row>
    <row r="81" spans="1:13">
      <c r="A81" s="211"/>
      <c r="B81" s="211"/>
      <c r="C81" s="211"/>
      <c r="D81" s="211"/>
      <c r="E81" s="211"/>
      <c r="F81" s="211"/>
      <c r="G81" s="211"/>
      <c r="H81" s="211"/>
      <c r="I81" s="211"/>
      <c r="J81" s="211"/>
      <c r="K81" s="211"/>
      <c r="L81" s="211"/>
      <c r="M81" s="211"/>
    </row>
    <row r="82" spans="1:13">
      <c r="A82" s="211"/>
      <c r="B82" s="211"/>
      <c r="C82" s="211"/>
      <c r="D82" s="211"/>
      <c r="E82" s="211"/>
      <c r="F82" s="211"/>
      <c r="G82" s="211"/>
      <c r="H82" s="211"/>
      <c r="I82" s="211"/>
      <c r="J82" s="211"/>
      <c r="K82" s="211"/>
      <c r="L82" s="211"/>
      <c r="M82" s="211"/>
    </row>
    <row r="83" spans="1:13">
      <c r="A83" s="211"/>
      <c r="B83" s="211"/>
      <c r="C83" s="211"/>
      <c r="D83" s="211"/>
      <c r="E83" s="211"/>
      <c r="F83" s="211"/>
      <c r="G83" s="211"/>
      <c r="H83" s="211"/>
      <c r="I83" s="211"/>
      <c r="J83" s="211"/>
      <c r="K83" s="211"/>
      <c r="L83" s="211"/>
      <c r="M83" s="211"/>
    </row>
    <row r="84" spans="1:13">
      <c r="A84" s="211"/>
      <c r="B84" s="211"/>
      <c r="C84" s="211"/>
      <c r="D84" s="211"/>
      <c r="E84" s="211"/>
      <c r="F84" s="211"/>
      <c r="G84" s="211"/>
      <c r="H84" s="211"/>
      <c r="I84" s="211"/>
      <c r="J84" s="211"/>
      <c r="K84" s="211"/>
      <c r="L84" s="211"/>
      <c r="M84" s="211"/>
    </row>
    <row r="85" spans="1:13">
      <c r="A85" s="211"/>
      <c r="B85" s="211"/>
      <c r="C85" s="211"/>
      <c r="D85" s="211"/>
      <c r="E85" s="211"/>
      <c r="F85" s="211"/>
      <c r="G85" s="211"/>
      <c r="H85" s="211"/>
      <c r="I85" s="211"/>
      <c r="J85" s="211"/>
      <c r="K85" s="211"/>
      <c r="L85" s="211"/>
      <c r="M85" s="211"/>
    </row>
    <row r="86" spans="1:13">
      <c r="A86" s="211"/>
      <c r="B86" s="211"/>
      <c r="C86" s="211"/>
      <c r="D86" s="211"/>
      <c r="E86" s="211"/>
      <c r="F86" s="211"/>
      <c r="G86" s="211"/>
      <c r="H86" s="211"/>
      <c r="I86" s="211"/>
      <c r="J86" s="211"/>
      <c r="K86" s="211"/>
      <c r="L86" s="211"/>
      <c r="M86" s="211"/>
    </row>
    <row r="87" spans="1:13">
      <c r="A87" s="211"/>
      <c r="B87" s="211"/>
      <c r="C87" s="211"/>
      <c r="D87" s="211"/>
      <c r="E87" s="211"/>
      <c r="F87" s="211"/>
      <c r="G87" s="211"/>
      <c r="H87" s="211"/>
      <c r="I87" s="211"/>
      <c r="J87" s="211"/>
      <c r="K87" s="211"/>
      <c r="L87" s="211"/>
      <c r="M87" s="211"/>
    </row>
    <row r="88" spans="1:13">
      <c r="A88" s="211"/>
      <c r="B88" s="211"/>
      <c r="C88" s="211"/>
      <c r="D88" s="211"/>
      <c r="E88" s="211"/>
      <c r="F88" s="211"/>
      <c r="G88" s="211"/>
      <c r="H88" s="211"/>
      <c r="I88" s="211"/>
      <c r="J88" s="211"/>
      <c r="K88" s="211"/>
      <c r="L88" s="211"/>
      <c r="M88" s="211"/>
    </row>
    <row r="89" spans="1:13">
      <c r="A89" s="211"/>
      <c r="B89" s="211"/>
      <c r="C89" s="211"/>
      <c r="D89" s="211"/>
      <c r="E89" s="211"/>
      <c r="F89" s="211"/>
      <c r="G89" s="211"/>
      <c r="H89" s="211"/>
      <c r="I89" s="211"/>
      <c r="J89" s="211"/>
      <c r="K89" s="211"/>
      <c r="L89" s="211"/>
      <c r="M89" s="211"/>
    </row>
    <row r="90" spans="1:13">
      <c r="A90" s="211"/>
      <c r="B90" s="211"/>
      <c r="C90" s="211"/>
      <c r="D90" s="211"/>
      <c r="E90" s="211"/>
      <c r="F90" s="211"/>
      <c r="G90" s="211"/>
      <c r="H90" s="211"/>
      <c r="I90" s="211"/>
      <c r="J90" s="211"/>
      <c r="K90" s="211"/>
      <c r="L90" s="211"/>
      <c r="M90" s="211"/>
    </row>
    <row r="91" spans="1:13">
      <c r="A91" s="211"/>
      <c r="B91" s="211"/>
      <c r="C91" s="211"/>
      <c r="D91" s="211"/>
      <c r="E91" s="211"/>
      <c r="F91" s="211"/>
      <c r="G91" s="211"/>
      <c r="H91" s="211"/>
      <c r="I91" s="211"/>
      <c r="J91" s="211"/>
      <c r="K91" s="211"/>
      <c r="L91" s="211"/>
      <c r="M91" s="211"/>
    </row>
    <row r="92" spans="1:13">
      <c r="A92" s="211"/>
      <c r="B92" s="211"/>
      <c r="C92" s="211"/>
      <c r="D92" s="211"/>
      <c r="E92" s="211"/>
      <c r="F92" s="211"/>
      <c r="G92" s="211"/>
      <c r="H92" s="211"/>
      <c r="I92" s="211"/>
      <c r="J92" s="211"/>
      <c r="K92" s="211"/>
      <c r="L92" s="211"/>
      <c r="M92" s="211"/>
    </row>
    <row r="93" spans="1:13">
      <c r="A93" s="211"/>
      <c r="B93" s="211"/>
      <c r="C93" s="211"/>
      <c r="D93" s="211"/>
      <c r="E93" s="211"/>
      <c r="F93" s="211"/>
      <c r="G93" s="211"/>
      <c r="H93" s="211"/>
      <c r="I93" s="211"/>
      <c r="J93" s="211"/>
      <c r="K93" s="211"/>
      <c r="L93" s="211"/>
      <c r="M93" s="211"/>
    </row>
    <row r="94" spans="1:13">
      <c r="A94" s="211"/>
      <c r="B94" s="211"/>
      <c r="C94" s="211"/>
      <c r="D94" s="211"/>
      <c r="E94" s="211"/>
      <c r="F94" s="211"/>
      <c r="G94" s="211"/>
      <c r="H94" s="211"/>
      <c r="I94" s="211"/>
      <c r="J94" s="211"/>
      <c r="K94" s="211"/>
      <c r="L94" s="211"/>
      <c r="M94" s="211"/>
    </row>
    <row r="95" spans="1:13">
      <c r="A95" s="211"/>
      <c r="B95" s="211"/>
      <c r="C95" s="211"/>
      <c r="D95" s="211"/>
      <c r="E95" s="211"/>
      <c r="F95" s="211"/>
      <c r="G95" s="211"/>
      <c r="H95" s="211"/>
      <c r="I95" s="211"/>
      <c r="J95" s="211"/>
      <c r="K95" s="211"/>
      <c r="L95" s="211"/>
      <c r="M95" s="211"/>
    </row>
    <row r="96" spans="1:13">
      <c r="A96" s="211"/>
      <c r="B96" s="211"/>
      <c r="C96" s="211"/>
      <c r="D96" s="211"/>
      <c r="E96" s="211"/>
      <c r="F96" s="211"/>
      <c r="G96" s="211"/>
      <c r="H96" s="211"/>
      <c r="I96" s="211"/>
      <c r="J96" s="211"/>
      <c r="K96" s="211"/>
      <c r="L96" s="211"/>
      <c r="M96" s="211"/>
    </row>
    <row r="97" spans="1:13">
      <c r="A97" s="211"/>
      <c r="B97" s="211"/>
      <c r="C97" s="211"/>
      <c r="D97" s="211"/>
      <c r="E97" s="211"/>
      <c r="F97" s="211"/>
      <c r="G97" s="211"/>
      <c r="H97" s="211"/>
      <c r="I97" s="211"/>
      <c r="J97" s="211"/>
      <c r="K97" s="211"/>
      <c r="L97" s="211"/>
      <c r="M97" s="211"/>
    </row>
    <row r="98" spans="1:13">
      <c r="A98" s="211"/>
      <c r="B98" s="211"/>
      <c r="C98" s="211"/>
      <c r="D98" s="211"/>
      <c r="E98" s="211"/>
      <c r="F98" s="211"/>
      <c r="G98" s="211"/>
      <c r="H98" s="211"/>
      <c r="I98" s="211"/>
      <c r="J98" s="211"/>
      <c r="K98" s="211"/>
      <c r="L98" s="211"/>
      <c r="M98" s="211"/>
    </row>
    <row r="99" spans="1:13">
      <c r="A99" s="211"/>
      <c r="B99" s="211"/>
      <c r="C99" s="211"/>
      <c r="D99" s="211"/>
      <c r="E99" s="211"/>
      <c r="F99" s="211"/>
      <c r="G99" s="211"/>
      <c r="H99" s="211"/>
      <c r="I99" s="211"/>
      <c r="J99" s="211"/>
      <c r="K99" s="211"/>
      <c r="L99" s="211"/>
      <c r="M99" s="211"/>
    </row>
    <row r="100" spans="1:13">
      <c r="A100" s="211"/>
      <c r="B100" s="211"/>
      <c r="C100" s="211"/>
      <c r="D100" s="211"/>
      <c r="E100" s="211"/>
      <c r="F100" s="211"/>
      <c r="G100" s="211"/>
      <c r="H100" s="211"/>
      <c r="I100" s="211"/>
      <c r="J100" s="211"/>
      <c r="K100" s="211"/>
      <c r="L100" s="211"/>
      <c r="M100" s="211"/>
    </row>
    <row r="101" spans="1:13">
      <c r="A101" s="211"/>
      <c r="B101" s="211"/>
      <c r="C101" s="211"/>
      <c r="D101" s="211"/>
      <c r="E101" s="211"/>
      <c r="F101" s="211"/>
      <c r="G101" s="211"/>
      <c r="H101" s="211"/>
      <c r="I101" s="211"/>
      <c r="J101" s="211"/>
      <c r="K101" s="211"/>
      <c r="L101" s="211"/>
      <c r="M101" s="211"/>
    </row>
    <row r="102" spans="1:13">
      <c r="A102" s="211"/>
      <c r="B102" s="211"/>
      <c r="C102" s="211"/>
      <c r="D102" s="211"/>
      <c r="E102" s="211"/>
      <c r="F102" s="211"/>
      <c r="G102" s="211"/>
      <c r="H102" s="211"/>
      <c r="I102" s="211"/>
      <c r="J102" s="211"/>
      <c r="K102" s="211"/>
      <c r="L102" s="211"/>
      <c r="M102" s="211"/>
    </row>
    <row r="103" spans="1:13">
      <c r="A103" s="211"/>
      <c r="B103" s="211"/>
      <c r="C103" s="211"/>
      <c r="D103" s="211"/>
      <c r="E103" s="211"/>
      <c r="F103" s="211"/>
      <c r="G103" s="211"/>
      <c r="H103" s="211"/>
      <c r="I103" s="211"/>
      <c r="J103" s="211"/>
      <c r="K103" s="211"/>
      <c r="L103" s="211"/>
      <c r="M103" s="211"/>
    </row>
    <row r="104" spans="1:13">
      <c r="A104" s="211"/>
      <c r="B104" s="211"/>
      <c r="C104" s="211"/>
      <c r="D104" s="211"/>
      <c r="E104" s="211"/>
      <c r="F104" s="211"/>
      <c r="G104" s="211"/>
      <c r="H104" s="211"/>
      <c r="I104" s="211"/>
      <c r="J104" s="211"/>
      <c r="K104" s="211"/>
      <c r="L104" s="211"/>
      <c r="M104" s="211"/>
    </row>
    <row r="105" spans="1:13">
      <c r="A105" s="211"/>
      <c r="B105" s="211"/>
      <c r="C105" s="211"/>
      <c r="D105" s="211"/>
      <c r="E105" s="211"/>
      <c r="F105" s="211"/>
      <c r="G105" s="211"/>
      <c r="H105" s="211"/>
      <c r="I105" s="211"/>
      <c r="J105" s="211"/>
      <c r="K105" s="211"/>
      <c r="L105" s="211"/>
      <c r="M105" s="211"/>
    </row>
    <row r="106" spans="1:13">
      <c r="A106" s="211"/>
      <c r="B106" s="211"/>
      <c r="C106" s="211"/>
      <c r="D106" s="211"/>
      <c r="E106" s="211"/>
      <c r="F106" s="211"/>
      <c r="G106" s="211"/>
      <c r="H106" s="211"/>
      <c r="I106" s="211"/>
      <c r="J106" s="211"/>
      <c r="K106" s="211"/>
      <c r="L106" s="211"/>
      <c r="M106" s="211"/>
    </row>
    <row r="107" spans="1:13">
      <c r="A107" s="211"/>
      <c r="B107" s="211"/>
      <c r="C107" s="211"/>
      <c r="D107" s="211"/>
      <c r="E107" s="211"/>
      <c r="F107" s="211"/>
      <c r="G107" s="211"/>
      <c r="H107" s="211"/>
      <c r="I107" s="211"/>
      <c r="J107" s="211"/>
      <c r="K107" s="211"/>
      <c r="L107" s="211"/>
      <c r="M107" s="211"/>
    </row>
    <row r="108" spans="1:13">
      <c r="A108" s="211"/>
      <c r="B108" s="211"/>
      <c r="C108" s="211"/>
      <c r="D108" s="211"/>
      <c r="E108" s="211"/>
      <c r="F108" s="211"/>
      <c r="G108" s="211"/>
      <c r="H108" s="211"/>
      <c r="I108" s="211"/>
      <c r="J108" s="211"/>
      <c r="K108" s="211"/>
      <c r="L108" s="211"/>
      <c r="M108" s="211"/>
    </row>
    <row r="109" spans="1:13">
      <c r="A109" s="211"/>
      <c r="B109" s="211"/>
      <c r="C109" s="211"/>
      <c r="D109" s="211"/>
      <c r="E109" s="211"/>
      <c r="F109" s="211"/>
      <c r="G109" s="211"/>
      <c r="H109" s="211"/>
      <c r="I109" s="211"/>
      <c r="J109" s="211"/>
      <c r="K109" s="211"/>
      <c r="L109" s="211"/>
      <c r="M109" s="211"/>
    </row>
    <row r="110" spans="1:13">
      <c r="B110" s="211"/>
      <c r="C110" s="211"/>
      <c r="D110" s="211"/>
    </row>
    <row r="111" spans="1:13">
      <c r="B111" s="211"/>
      <c r="C111" s="211"/>
      <c r="D111" s="211"/>
    </row>
  </sheetData>
  <sheetProtection password="A4D6" sheet="1" objects="1" scenarios="1"/>
  <mergeCells count="3">
    <mergeCell ref="G5:K5"/>
    <mergeCell ref="B5:F6"/>
    <mergeCell ref="G1:I1"/>
  </mergeCells>
  <phoneticPr fontId="51" type="noConversion"/>
  <printOptions horizontalCentered="1"/>
  <pageMargins left="0.2" right="0.2" top="0.5" bottom="0.5" header="0.2" footer="0.2"/>
  <pageSetup scale="80" orientation="portrait" blackAndWhite="1" horizontalDpi="300" verticalDpi="300" r:id="rId1"/>
  <headerFooter alignWithMargins="0">
    <oddHeader>&amp;L&amp;F&amp;R&amp;D</oddHeader>
    <oddFooter>&amp;CINVENTORY -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P635"/>
  <sheetViews>
    <sheetView showGridLines="0" zoomScaleNormal="80" workbookViewId="0"/>
  </sheetViews>
  <sheetFormatPr defaultRowHeight="12.75"/>
  <cols>
    <col min="1" max="1" width="5.140625" customWidth="1"/>
    <col min="2" max="2" width="20.85546875" customWidth="1"/>
    <col min="3" max="7" width="18" customWidth="1"/>
    <col min="8" max="8" width="15.85546875" customWidth="1"/>
    <col min="9" max="9" width="13.5703125" customWidth="1"/>
  </cols>
  <sheetData>
    <row r="1" spans="8:9">
      <c r="I1" s="271"/>
    </row>
    <row r="2" spans="8:9">
      <c r="I2" s="271"/>
    </row>
    <row r="3" spans="8:9">
      <c r="I3" s="271"/>
    </row>
    <row r="4" spans="8:9">
      <c r="H4" s="271"/>
      <c r="I4" s="271"/>
    </row>
    <row r="5" spans="8:9">
      <c r="H5" s="271"/>
      <c r="I5" s="271"/>
    </row>
    <row r="6" spans="8:9">
      <c r="H6" s="271"/>
      <c r="I6" s="271"/>
    </row>
    <row r="7" spans="8:9">
      <c r="H7" s="271"/>
      <c r="I7" s="271"/>
    </row>
    <row r="8" spans="8:9">
      <c r="H8" s="271"/>
      <c r="I8" s="271"/>
    </row>
    <row r="9" spans="8:9">
      <c r="H9" s="271"/>
      <c r="I9" s="271"/>
    </row>
    <row r="10" spans="8:9">
      <c r="H10" s="271"/>
      <c r="I10" s="271"/>
    </row>
    <row r="11" spans="8:9">
      <c r="H11" s="271"/>
      <c r="I11" s="271"/>
    </row>
    <row r="12" spans="8:9">
      <c r="H12" s="271"/>
      <c r="I12" s="271"/>
    </row>
    <row r="13" spans="8:9">
      <c r="H13" s="271"/>
      <c r="I13" s="271"/>
    </row>
    <row r="14" spans="8:9">
      <c r="H14" s="271"/>
      <c r="I14" s="271"/>
    </row>
    <row r="15" spans="8:9">
      <c r="H15" s="271"/>
      <c r="I15" s="271"/>
    </row>
    <row r="16" spans="8:9">
      <c r="H16" s="271"/>
      <c r="I16" s="271"/>
    </row>
    <row r="17" spans="1:16">
      <c r="H17" s="271"/>
      <c r="I17" s="271"/>
    </row>
    <row r="18" spans="1:16">
      <c r="H18" s="271"/>
      <c r="I18" s="271"/>
    </row>
    <row r="19" spans="1:16">
      <c r="H19" s="271"/>
      <c r="I19" s="271"/>
    </row>
    <row r="20" spans="1:16">
      <c r="H20" s="271"/>
      <c r="I20" s="271"/>
    </row>
    <row r="21" spans="1:16">
      <c r="H21" s="271"/>
      <c r="I21" s="271"/>
    </row>
    <row r="22" spans="1:16">
      <c r="A22" s="310"/>
      <c r="B22" s="149"/>
      <c r="C22" s="149"/>
      <c r="D22" s="149"/>
      <c r="E22" s="149"/>
      <c r="F22" s="149"/>
      <c r="G22" s="149"/>
      <c r="H22" s="271"/>
      <c r="I22" s="271"/>
    </row>
    <row r="23" spans="1:16">
      <c r="B23" s="149"/>
      <c r="C23" s="149"/>
      <c r="D23" s="149"/>
      <c r="E23" s="149"/>
      <c r="F23" s="149"/>
      <c r="G23" s="149"/>
      <c r="H23" s="271"/>
      <c r="I23" s="271"/>
    </row>
    <row r="24" spans="1:16">
      <c r="B24" s="149"/>
      <c r="C24" s="149"/>
      <c r="D24" s="149"/>
      <c r="E24" s="149"/>
      <c r="F24" s="149"/>
      <c r="G24" s="149"/>
      <c r="H24" s="271"/>
      <c r="I24" s="271"/>
    </row>
    <row r="25" spans="1:16">
      <c r="A25" s="293"/>
      <c r="B25" s="293"/>
      <c r="C25" s="293"/>
      <c r="D25" s="293"/>
      <c r="E25" s="293"/>
      <c r="F25" s="293"/>
      <c r="G25" s="293"/>
      <c r="H25" s="271"/>
      <c r="I25" s="271"/>
    </row>
    <row r="26" spans="1:16" ht="26.25">
      <c r="A26" s="285" t="s">
        <v>0</v>
      </c>
      <c r="B26" s="149"/>
      <c r="C26" s="335"/>
      <c r="D26" s="149"/>
      <c r="E26" s="149"/>
      <c r="F26" s="149"/>
      <c r="G26" s="149"/>
      <c r="H26" s="271"/>
      <c r="I26" s="271"/>
      <c r="J26" s="271"/>
      <c r="K26" s="271"/>
    </row>
    <row r="27" spans="1:16">
      <c r="H27" s="271"/>
      <c r="I27" s="271"/>
    </row>
    <row r="28" spans="1:16" ht="15.75">
      <c r="C28" s="286" t="s">
        <v>1</v>
      </c>
      <c r="D28" s="287" t="str">
        <f>IF('USER INPUTS'!$E$1="","",'USER INPUTS'!$E$1)</f>
        <v>TPA Muara Fajar 2 Kota Pekanbaru</v>
      </c>
      <c r="H28" s="271"/>
      <c r="I28" s="271"/>
    </row>
    <row r="29" spans="1:16">
      <c r="H29" s="271"/>
      <c r="I29" s="271"/>
    </row>
    <row r="30" spans="1:16" ht="15.75">
      <c r="C30" s="286" t="s">
        <v>2</v>
      </c>
      <c r="D30" s="683">
        <f ca="1">TODAY()</f>
        <v>45183</v>
      </c>
      <c r="E30" s="683"/>
      <c r="H30" s="271"/>
      <c r="I30" s="271"/>
    </row>
    <row r="31" spans="1:16" s="9" customFormat="1" ht="15.75" customHeight="1">
      <c r="A31"/>
      <c r="B31"/>
      <c r="E31" s="336"/>
      <c r="G31" s="336"/>
      <c r="H31" s="336"/>
      <c r="I31" s="337"/>
      <c r="J31" s="337"/>
      <c r="K31" s="337"/>
      <c r="L31" s="337"/>
      <c r="M31" s="337"/>
    </row>
    <row r="32" spans="1:16" ht="12.75" customHeight="1">
      <c r="A32" s="686" t="s">
        <v>172</v>
      </c>
      <c r="B32" s="686"/>
      <c r="C32" s="686"/>
      <c r="D32" s="307"/>
      <c r="E32" s="307"/>
      <c r="F32" s="293"/>
      <c r="G32" s="338"/>
      <c r="H32" s="338"/>
      <c r="I32" s="337"/>
      <c r="J32" s="339"/>
      <c r="K32" s="339"/>
      <c r="L32" s="339"/>
      <c r="M32" s="339"/>
      <c r="N32" s="294"/>
      <c r="O32" s="294"/>
      <c r="P32" s="294"/>
    </row>
    <row r="33" spans="1:10" ht="15.75" customHeight="1">
      <c r="A33" s="687" t="str">
        <f>'INPUT REVIEW'!$B$23</f>
        <v/>
      </c>
      <c r="B33" s="687"/>
      <c r="C33" s="687"/>
      <c r="D33" s="687"/>
      <c r="E33" s="687"/>
      <c r="F33" s="687"/>
      <c r="G33" s="687"/>
      <c r="H33" s="307"/>
      <c r="I33" s="271"/>
    </row>
    <row r="34" spans="1:10" ht="15.75" customHeight="1">
      <c r="A34" s="687"/>
      <c r="B34" s="687"/>
      <c r="C34" s="687"/>
      <c r="D34" s="687"/>
      <c r="E34" s="687"/>
      <c r="F34" s="687"/>
      <c r="G34" s="687"/>
      <c r="H34" s="307"/>
      <c r="I34" s="271"/>
    </row>
    <row r="35" spans="1:10" ht="12.75" customHeight="1">
      <c r="A35" s="687"/>
      <c r="B35" s="687"/>
      <c r="C35" s="687"/>
      <c r="D35" s="687"/>
      <c r="E35" s="687"/>
      <c r="F35" s="687"/>
      <c r="G35" s="687"/>
      <c r="H35" s="307"/>
      <c r="I35" s="271"/>
    </row>
    <row r="36" spans="1:10" ht="12.75" customHeight="1">
      <c r="A36" s="687"/>
      <c r="B36" s="687"/>
      <c r="C36" s="687"/>
      <c r="D36" s="687"/>
      <c r="E36" s="687"/>
      <c r="F36" s="687"/>
      <c r="G36" s="687"/>
      <c r="H36" s="307"/>
      <c r="I36" s="292"/>
    </row>
    <row r="37" spans="1:10" ht="12.75" customHeight="1">
      <c r="A37" s="687"/>
      <c r="B37" s="687"/>
      <c r="C37" s="687"/>
      <c r="D37" s="687"/>
      <c r="E37" s="687"/>
      <c r="F37" s="687"/>
      <c r="G37" s="687"/>
      <c r="H37" s="307"/>
      <c r="I37" s="292"/>
    </row>
    <row r="38" spans="1:10" ht="12.75" customHeight="1">
      <c r="A38" s="687"/>
      <c r="B38" s="687"/>
      <c r="C38" s="687"/>
      <c r="D38" s="687"/>
      <c r="E38" s="687"/>
      <c r="F38" s="687"/>
      <c r="G38" s="687"/>
      <c r="H38" s="307"/>
      <c r="I38" s="292"/>
    </row>
    <row r="39" spans="1:10" ht="12.75" customHeight="1">
      <c r="A39" s="392"/>
      <c r="B39" s="392"/>
      <c r="C39" s="392"/>
      <c r="D39" s="392"/>
      <c r="E39" s="392"/>
      <c r="F39" s="392"/>
      <c r="G39" s="392"/>
      <c r="H39" s="307"/>
      <c r="I39" s="292"/>
    </row>
    <row r="40" spans="1:10" ht="15.75">
      <c r="A40" s="686" t="s">
        <v>197</v>
      </c>
      <c r="B40" s="686"/>
      <c r="C40" s="686"/>
      <c r="D40" s="340"/>
      <c r="E40" s="340"/>
      <c r="F40" s="340"/>
      <c r="G40" s="340"/>
      <c r="H40" s="338"/>
      <c r="I40" s="271"/>
    </row>
    <row r="41" spans="1:10" ht="15.75">
      <c r="A41" s="386"/>
      <c r="B41" s="386"/>
      <c r="C41" s="386"/>
      <c r="D41" s="340"/>
      <c r="E41" s="340"/>
      <c r="F41" s="340"/>
      <c r="G41" s="340"/>
      <c r="H41" s="338"/>
      <c r="I41" s="271"/>
    </row>
    <row r="42" spans="1:10" ht="15">
      <c r="A42" s="120" t="str">
        <f>METHANE!A3</f>
        <v>First-Order Decomposition Rate Equation:</v>
      </c>
      <c r="B42" s="311"/>
      <c r="C42" s="312"/>
      <c r="D42" s="312"/>
      <c r="F42" s="309"/>
      <c r="G42" s="309"/>
      <c r="H42" s="307"/>
      <c r="I42" s="292"/>
    </row>
    <row r="43" spans="1:10" ht="15">
      <c r="A43" s="120"/>
      <c r="B43" s="311"/>
      <c r="C43" s="312"/>
      <c r="D43" s="312"/>
      <c r="F43" s="309"/>
      <c r="G43" s="309"/>
      <c r="H43" s="307"/>
      <c r="I43" s="292"/>
    </row>
    <row r="44" spans="1:10" ht="12.75" customHeight="1">
      <c r="A44" s="120" t="str">
        <f>METHANE!A4</f>
        <v>Where,</v>
      </c>
      <c r="B44" s="311"/>
      <c r="C44" s="311"/>
      <c r="F44" s="309"/>
      <c r="G44" s="309"/>
      <c r="H44" s="307"/>
      <c r="I44" s="292"/>
    </row>
    <row r="45" spans="1:10" ht="12.75" customHeight="1">
      <c r="A45" s="511" t="s">
        <v>343</v>
      </c>
      <c r="B45" s="311"/>
      <c r="C45" s="313"/>
      <c r="D45" s="313"/>
      <c r="E45" s="313"/>
      <c r="F45" s="511"/>
      <c r="G45" s="511"/>
      <c r="H45" s="120"/>
      <c r="I45" s="120"/>
      <c r="J45" s="120"/>
    </row>
    <row r="46" spans="1:10" ht="12.75" customHeight="1">
      <c r="A46" s="120" t="s">
        <v>325</v>
      </c>
      <c r="B46" s="311"/>
      <c r="C46" s="311"/>
      <c r="D46" s="313"/>
      <c r="E46" s="511" t="s">
        <v>332</v>
      </c>
      <c r="F46" s="511"/>
      <c r="G46" s="511"/>
      <c r="H46" s="515"/>
      <c r="I46" s="515"/>
      <c r="J46" s="515"/>
    </row>
    <row r="47" spans="1:10" ht="12.75" customHeight="1">
      <c r="A47" s="120" t="s">
        <v>308</v>
      </c>
      <c r="B47" s="311"/>
      <c r="C47" s="311"/>
      <c r="D47" s="313"/>
      <c r="E47" s="696" t="s">
        <v>333</v>
      </c>
      <c r="F47" s="696"/>
      <c r="G47" s="696"/>
      <c r="H47" s="515"/>
      <c r="I47" s="515"/>
      <c r="J47" s="515"/>
    </row>
    <row r="48" spans="1:10" ht="12.75" customHeight="1">
      <c r="A48" s="120" t="s">
        <v>324</v>
      </c>
      <c r="B48" s="311"/>
      <c r="C48" s="311"/>
      <c r="D48" s="313"/>
      <c r="E48" s="696"/>
      <c r="F48" s="696"/>
      <c r="G48" s="696"/>
      <c r="H48" s="101"/>
      <c r="I48" s="101"/>
      <c r="J48" s="101"/>
    </row>
    <row r="49" spans="1:10" ht="12.75" customHeight="1">
      <c r="A49" s="511" t="s">
        <v>334</v>
      </c>
      <c r="B49" s="313"/>
      <c r="C49" s="313"/>
      <c r="D49" s="101"/>
      <c r="E49" s="101"/>
      <c r="F49" s="515"/>
      <c r="G49" s="515"/>
      <c r="H49" s="512"/>
      <c r="I49" s="513"/>
      <c r="J49" s="101"/>
    </row>
    <row r="50" spans="1:10" ht="12.75" customHeight="1">
      <c r="A50" s="511" t="s">
        <v>342</v>
      </c>
      <c r="B50" s="313"/>
      <c r="C50" s="313"/>
      <c r="D50" s="101"/>
      <c r="E50" s="101"/>
      <c r="F50" s="514"/>
      <c r="G50" s="514"/>
      <c r="H50" s="512"/>
      <c r="I50" s="513"/>
      <c r="J50" s="101"/>
    </row>
    <row r="51" spans="1:10" ht="12.75" customHeight="1">
      <c r="A51" s="120"/>
      <c r="B51" s="313"/>
      <c r="C51" s="313"/>
      <c r="F51" s="309"/>
      <c r="G51" s="309"/>
      <c r="H51" s="307"/>
      <c r="I51" s="292"/>
    </row>
    <row r="52" spans="1:10" ht="12.75" customHeight="1">
      <c r="A52" s="684" t="s">
        <v>238</v>
      </c>
      <c r="B52" s="684"/>
      <c r="C52" s="684"/>
      <c r="D52" s="684"/>
      <c r="E52" s="684"/>
      <c r="F52" s="684"/>
      <c r="G52" s="684"/>
      <c r="H52" s="291"/>
      <c r="I52" s="291"/>
    </row>
    <row r="53" spans="1:10">
      <c r="A53" s="684"/>
      <c r="B53" s="684"/>
      <c r="C53" s="684"/>
      <c r="D53" s="684"/>
      <c r="E53" s="684"/>
      <c r="F53" s="684"/>
      <c r="G53" s="684"/>
      <c r="H53" s="291"/>
      <c r="I53" s="291"/>
    </row>
    <row r="54" spans="1:10">
      <c r="A54" s="684"/>
      <c r="B54" s="684"/>
      <c r="C54" s="684"/>
      <c r="D54" s="684"/>
      <c r="E54" s="684"/>
      <c r="F54" s="684"/>
      <c r="G54" s="684"/>
      <c r="H54" s="291"/>
      <c r="I54" s="291"/>
    </row>
    <row r="55" spans="1:10">
      <c r="A55" s="684"/>
      <c r="B55" s="684"/>
      <c r="C55" s="684"/>
      <c r="D55" s="684"/>
      <c r="E55" s="684"/>
      <c r="F55" s="684"/>
      <c r="G55" s="684"/>
      <c r="H55" s="291"/>
      <c r="I55" s="291"/>
    </row>
    <row r="56" spans="1:10">
      <c r="A56" s="684"/>
      <c r="B56" s="684"/>
      <c r="C56" s="684"/>
      <c r="D56" s="684"/>
      <c r="E56" s="684"/>
      <c r="F56" s="684"/>
      <c r="G56" s="684"/>
      <c r="H56" s="291"/>
      <c r="I56" s="291"/>
    </row>
    <row r="57" spans="1:10" ht="12.75" customHeight="1">
      <c r="A57" s="291"/>
      <c r="B57" s="291"/>
      <c r="C57" s="291"/>
      <c r="D57" s="291"/>
      <c r="E57" s="291"/>
      <c r="F57" s="291"/>
      <c r="G57" s="291"/>
      <c r="H57" s="291"/>
      <c r="I57" s="291"/>
      <c r="J57" s="290"/>
    </row>
    <row r="58" spans="1:10" ht="12.75" customHeight="1">
      <c r="A58" s="697" t="s">
        <v>338</v>
      </c>
      <c r="B58" s="697"/>
      <c r="C58" s="697"/>
      <c r="D58" s="697"/>
      <c r="E58" s="697"/>
      <c r="F58" s="697"/>
      <c r="G58" s="697"/>
      <c r="H58" s="288"/>
      <c r="I58" s="288"/>
      <c r="J58" s="290"/>
    </row>
    <row r="59" spans="1:10">
      <c r="A59" s="697"/>
      <c r="B59" s="697"/>
      <c r="C59" s="697"/>
      <c r="D59" s="697"/>
      <c r="E59" s="697"/>
      <c r="F59" s="697"/>
      <c r="G59" s="697"/>
      <c r="H59" s="288"/>
      <c r="I59" s="288"/>
      <c r="J59" s="290"/>
    </row>
    <row r="60" spans="1:10">
      <c r="A60" s="697"/>
      <c r="B60" s="697"/>
      <c r="C60" s="697"/>
      <c r="D60" s="697"/>
      <c r="E60" s="697"/>
      <c r="F60" s="697"/>
      <c r="G60" s="697"/>
      <c r="H60" s="288"/>
      <c r="I60" s="288"/>
      <c r="J60" s="290"/>
    </row>
    <row r="61" spans="1:10">
      <c r="A61" s="697"/>
      <c r="B61" s="697"/>
      <c r="C61" s="697"/>
      <c r="D61" s="697"/>
      <c r="E61" s="697"/>
      <c r="F61" s="697"/>
      <c r="G61" s="697"/>
      <c r="H61" s="288"/>
      <c r="I61" s="288"/>
      <c r="J61" s="290"/>
    </row>
    <row r="62" spans="1:10" ht="12.75" customHeight="1">
      <c r="A62" s="697"/>
      <c r="B62" s="697"/>
      <c r="C62" s="697"/>
      <c r="D62" s="697"/>
      <c r="E62" s="697"/>
      <c r="F62" s="697"/>
      <c r="G62" s="697"/>
      <c r="H62" s="288"/>
      <c r="I62" s="288"/>
      <c r="J62" s="290"/>
    </row>
    <row r="63" spans="1:10" ht="12.75" customHeight="1">
      <c r="A63" s="697"/>
      <c r="B63" s="697"/>
      <c r="C63" s="697"/>
      <c r="D63" s="697"/>
      <c r="E63" s="697"/>
      <c r="F63" s="697"/>
      <c r="G63" s="697"/>
      <c r="H63" s="288"/>
      <c r="I63" s="288"/>
      <c r="J63" s="290"/>
    </row>
    <row r="64" spans="1:10">
      <c r="A64" s="288"/>
      <c r="B64" s="288"/>
      <c r="C64" s="288"/>
      <c r="D64" s="288"/>
      <c r="E64" s="288"/>
      <c r="F64" s="288"/>
      <c r="G64" s="288"/>
      <c r="H64" s="288"/>
      <c r="I64" s="288"/>
      <c r="J64" s="290"/>
    </row>
    <row r="65" spans="1:10">
      <c r="A65" s="288"/>
      <c r="B65" s="288"/>
      <c r="C65" s="288"/>
      <c r="D65" s="288"/>
      <c r="E65" s="288"/>
      <c r="F65" s="288"/>
      <c r="G65" s="288"/>
      <c r="H65" s="288"/>
      <c r="I65" s="288"/>
      <c r="J65" s="290"/>
    </row>
    <row r="66" spans="1:10" ht="18">
      <c r="A66" s="308" t="s">
        <v>239</v>
      </c>
    </row>
    <row r="67" spans="1:10">
      <c r="E67" s="699" t="str">
        <f>METHANE!F14</f>
        <v/>
      </c>
      <c r="F67" s="699"/>
      <c r="G67" s="699"/>
    </row>
    <row r="68" spans="1:10">
      <c r="A68" s="302" t="s">
        <v>174</v>
      </c>
      <c r="B68" s="101"/>
      <c r="C68" s="101"/>
      <c r="D68" s="101"/>
      <c r="E68" s="699"/>
      <c r="F68" s="699"/>
      <c r="G68" s="699"/>
      <c r="H68" s="101"/>
    </row>
    <row r="69" spans="1:10">
      <c r="A69" s="120" t="s">
        <v>3</v>
      </c>
      <c r="B69" s="101"/>
      <c r="C69" s="101"/>
      <c r="D69" s="301">
        <f>'INPUT REVIEW'!$F$4</f>
        <v>2018</v>
      </c>
      <c r="E69" s="699"/>
      <c r="F69" s="699"/>
      <c r="G69" s="699"/>
      <c r="H69" s="101"/>
    </row>
    <row r="70" spans="1:10">
      <c r="A70" s="120" t="s">
        <v>304</v>
      </c>
      <c r="B70" s="101"/>
      <c r="C70" s="101"/>
      <c r="D70" s="301">
        <f>'INPUT REVIEW'!$F$5</f>
        <v>2048</v>
      </c>
      <c r="E70" s="699"/>
      <c r="F70" s="699"/>
      <c r="G70" s="699"/>
      <c r="H70" s="101"/>
    </row>
    <row r="71" spans="1:10">
      <c r="A71" s="436" t="s">
        <v>327</v>
      </c>
      <c r="B71" s="101"/>
      <c r="C71" s="101"/>
      <c r="D71" s="543">
        <f>'INPUT REVIEW'!$F$6</f>
        <v>2048</v>
      </c>
      <c r="E71" s="699"/>
      <c r="F71" s="699"/>
      <c r="G71" s="699"/>
      <c r="H71" s="101"/>
    </row>
    <row r="72" spans="1:10">
      <c r="A72" s="120" t="s">
        <v>35</v>
      </c>
      <c r="B72" s="101"/>
      <c r="C72" s="101"/>
      <c r="D72" s="295" t="str">
        <f>'INPUT REVIEW'!$F$7</f>
        <v>No</v>
      </c>
      <c r="E72" s="101"/>
      <c r="F72" s="428"/>
      <c r="G72" s="428"/>
      <c r="H72" s="101"/>
    </row>
    <row r="73" spans="1:10">
      <c r="A73" s="120" t="s">
        <v>6</v>
      </c>
      <c r="B73" s="101"/>
      <c r="C73" s="101"/>
      <c r="D73" s="296" t="str">
        <f>'INPUT REVIEW'!$F$8</f>
        <v/>
      </c>
      <c r="E73" s="297" t="str">
        <f>'USER INPUTS'!$E$8</f>
        <v>megagrams</v>
      </c>
      <c r="G73" s="516"/>
      <c r="H73" s="101"/>
    </row>
    <row r="74" spans="1:10">
      <c r="A74" s="101"/>
      <c r="B74" s="101"/>
      <c r="C74" s="101"/>
      <c r="D74" s="101"/>
      <c r="E74" s="101"/>
      <c r="F74" s="101"/>
      <c r="G74" s="101"/>
      <c r="H74" s="101"/>
    </row>
    <row r="75" spans="1:10">
      <c r="A75" s="302" t="s">
        <v>175</v>
      </c>
      <c r="B75" s="101"/>
      <c r="C75" s="101"/>
      <c r="D75" s="101"/>
      <c r="E75" s="101"/>
      <c r="F75" s="101"/>
      <c r="G75" s="101"/>
      <c r="H75" s="101"/>
    </row>
    <row r="76" spans="1:10" ht="14.25">
      <c r="A76" s="120" t="s">
        <v>176</v>
      </c>
      <c r="B76" s="101"/>
      <c r="C76" s="101"/>
      <c r="D76" s="298">
        <f>'INPUT REVIEW'!$F$11</f>
        <v>0.04</v>
      </c>
      <c r="E76" s="299" t="s">
        <v>78</v>
      </c>
      <c r="G76" s="120"/>
      <c r="H76" s="101"/>
    </row>
    <row r="77" spans="1:10" ht="15.75">
      <c r="A77" s="120" t="s">
        <v>178</v>
      </c>
      <c r="B77" s="101"/>
      <c r="C77" s="101"/>
      <c r="D77" s="296">
        <f>'INPUT REVIEW'!$F$12</f>
        <v>100</v>
      </c>
      <c r="E77" s="300" t="s">
        <v>344</v>
      </c>
      <c r="G77" s="120"/>
      <c r="H77" s="101"/>
    </row>
    <row r="78" spans="1:10">
      <c r="A78" s="120" t="s">
        <v>177</v>
      </c>
      <c r="B78" s="101"/>
      <c r="C78" s="101"/>
      <c r="D78" s="296">
        <f>'INPUT REVIEW'!$F$13</f>
        <v>600</v>
      </c>
      <c r="E78" s="299" t="s">
        <v>202</v>
      </c>
      <c r="G78" s="120"/>
      <c r="H78" s="101"/>
    </row>
    <row r="79" spans="1:10">
      <c r="A79" s="120" t="s">
        <v>179</v>
      </c>
      <c r="B79" s="101"/>
      <c r="C79" s="101"/>
      <c r="D79" s="301">
        <f>'INPUT REVIEW'!$F$14</f>
        <v>60</v>
      </c>
      <c r="E79" s="299" t="s">
        <v>165</v>
      </c>
      <c r="G79" s="120"/>
      <c r="H79" s="101"/>
    </row>
    <row r="80" spans="1:10">
      <c r="A80" s="101"/>
      <c r="B80" s="101"/>
      <c r="C80" s="101"/>
      <c r="D80" s="101"/>
      <c r="E80" s="101"/>
      <c r="F80" s="101"/>
      <c r="G80" s="120"/>
      <c r="H80" s="101"/>
    </row>
    <row r="81" spans="1:8">
      <c r="A81" s="302" t="s">
        <v>180</v>
      </c>
      <c r="B81" s="101"/>
      <c r="C81" s="101"/>
      <c r="D81" s="101"/>
      <c r="E81" s="101"/>
      <c r="F81" s="101"/>
      <c r="G81" s="101"/>
      <c r="H81" s="101"/>
    </row>
    <row r="82" spans="1:8">
      <c r="A82" s="120" t="s">
        <v>206</v>
      </c>
      <c r="B82" s="101"/>
      <c r="C82" s="289" t="str">
        <f>'INPUT REVIEW'!$D$17</f>
        <v/>
      </c>
      <c r="D82" s="120"/>
      <c r="E82" s="101"/>
      <c r="F82" s="101"/>
      <c r="G82" s="101"/>
      <c r="H82" s="101"/>
    </row>
    <row r="83" spans="1:8">
      <c r="A83" s="120" t="s">
        <v>207</v>
      </c>
      <c r="B83" s="101"/>
      <c r="C83" s="289" t="str">
        <f>'INPUT REVIEW'!$D$18</f>
        <v/>
      </c>
      <c r="D83" s="120"/>
      <c r="E83" s="101"/>
      <c r="F83" s="101"/>
      <c r="G83" s="101"/>
      <c r="H83" s="101"/>
    </row>
    <row r="84" spans="1:8">
      <c r="A84" s="120" t="s">
        <v>208</v>
      </c>
      <c r="B84" s="101"/>
      <c r="C84" s="289" t="str">
        <f>'INPUT REVIEW'!$D$19</f>
        <v>Carbon dioxide</v>
      </c>
      <c r="D84" s="120"/>
      <c r="E84" s="101"/>
      <c r="F84" s="101"/>
      <c r="G84" s="101"/>
      <c r="H84" s="101"/>
    </row>
    <row r="85" spans="1:8">
      <c r="A85" s="120" t="s">
        <v>209</v>
      </c>
      <c r="B85" s="101"/>
      <c r="C85" s="289" t="str">
        <f>'INPUT REVIEW'!$D$20</f>
        <v/>
      </c>
      <c r="D85" s="120"/>
      <c r="E85" s="101"/>
      <c r="F85" s="101"/>
      <c r="G85" s="101"/>
      <c r="H85" s="101"/>
    </row>
    <row r="86" spans="1:8">
      <c r="A86" s="120"/>
      <c r="B86" s="101"/>
      <c r="C86" s="289"/>
      <c r="D86" s="120"/>
      <c r="E86" s="101"/>
      <c r="F86" s="101"/>
      <c r="G86" s="101"/>
      <c r="H86" s="101"/>
    </row>
    <row r="87" spans="1:8" ht="13.5" thickBot="1">
      <c r="A87" s="9" t="s">
        <v>181</v>
      </c>
    </row>
    <row r="88" spans="1:8">
      <c r="A88" s="668" t="s">
        <v>5</v>
      </c>
      <c r="B88" s="664" t="s">
        <v>54</v>
      </c>
      <c r="C88" s="664"/>
      <c r="D88" s="664" t="s">
        <v>53</v>
      </c>
      <c r="E88" s="685"/>
    </row>
    <row r="89" spans="1:8">
      <c r="A89" s="669"/>
      <c r="B89" s="53" t="s">
        <v>50</v>
      </c>
      <c r="C89" s="53" t="s">
        <v>169</v>
      </c>
      <c r="D89" s="53" t="s">
        <v>250</v>
      </c>
      <c r="E89" s="303" t="s">
        <v>251</v>
      </c>
    </row>
    <row r="90" spans="1:8">
      <c r="A90" s="154">
        <f>RESULTS!A9</f>
        <v>2018</v>
      </c>
      <c r="B90" s="71">
        <f>'INPUT REVIEW'!L5</f>
        <v>189082</v>
      </c>
      <c r="C90" s="71">
        <f>'INPUT REVIEW'!M5</f>
        <v>207990.2</v>
      </c>
      <c r="D90" s="72">
        <f>RESULTS!D9</f>
        <v>0</v>
      </c>
      <c r="E90" s="304">
        <f>RESULTS!E9</f>
        <v>0</v>
      </c>
    </row>
    <row r="91" spans="1:8">
      <c r="A91" s="68">
        <f>RESULTS!A10</f>
        <v>2019</v>
      </c>
      <c r="B91" s="71">
        <f>'INPUT REVIEW'!L6</f>
        <v>293489</v>
      </c>
      <c r="C91" s="71">
        <f>'INPUT REVIEW'!M6</f>
        <v>322837.90000000002</v>
      </c>
      <c r="D91" s="66">
        <f>RESULTS!D10</f>
        <v>189082</v>
      </c>
      <c r="E91" s="305">
        <f>RESULTS!E10</f>
        <v>207990.2</v>
      </c>
    </row>
    <row r="92" spans="1:8">
      <c r="A92" s="68">
        <f>RESULTS!A11</f>
        <v>2020</v>
      </c>
      <c r="B92" s="71">
        <f>'INPUT REVIEW'!L7</f>
        <v>283523</v>
      </c>
      <c r="C92" s="71">
        <f>'INPUT REVIEW'!M7</f>
        <v>311875.3</v>
      </c>
      <c r="D92" s="66">
        <f>RESULTS!D11</f>
        <v>482571</v>
      </c>
      <c r="E92" s="305">
        <f>RESULTS!E11</f>
        <v>530828.10000000009</v>
      </c>
    </row>
    <row r="93" spans="1:8">
      <c r="A93" s="68">
        <f>RESULTS!A12</f>
        <v>2021</v>
      </c>
      <c r="B93" s="71">
        <f>'INPUT REVIEW'!L8</f>
        <v>143321</v>
      </c>
      <c r="C93" s="71">
        <f>'INPUT REVIEW'!M8</f>
        <v>157653.1</v>
      </c>
      <c r="D93" s="66">
        <f>RESULTS!D12</f>
        <v>766094</v>
      </c>
      <c r="E93" s="305">
        <f>RESULTS!E12</f>
        <v>842703.4</v>
      </c>
    </row>
    <row r="94" spans="1:8">
      <c r="A94" s="68">
        <f>RESULTS!A13</f>
        <v>2022</v>
      </c>
      <c r="B94" s="71">
        <f>'INPUT REVIEW'!L9</f>
        <v>227851</v>
      </c>
      <c r="C94" s="71">
        <f>'INPUT REVIEW'!M9</f>
        <v>250636.10000000003</v>
      </c>
      <c r="D94" s="66">
        <f>RESULTS!D13</f>
        <v>909415</v>
      </c>
      <c r="E94" s="305">
        <f>RESULTS!E13</f>
        <v>1000356.5000000001</v>
      </c>
    </row>
    <row r="95" spans="1:8">
      <c r="A95" s="68">
        <f>RESULTS!A14</f>
        <v>2023</v>
      </c>
      <c r="B95" s="71">
        <f>'INPUT REVIEW'!L10</f>
        <v>238727</v>
      </c>
      <c r="C95" s="71">
        <f>'INPUT REVIEW'!M10</f>
        <v>262599.7</v>
      </c>
      <c r="D95" s="66">
        <f>RESULTS!D14</f>
        <v>1137266</v>
      </c>
      <c r="E95" s="305">
        <f>RESULTS!E14</f>
        <v>1250992.6000000001</v>
      </c>
    </row>
    <row r="96" spans="1:8">
      <c r="A96" s="68">
        <f>RESULTS!A15</f>
        <v>2024</v>
      </c>
      <c r="B96" s="71">
        <f>'INPUT REVIEW'!L11</f>
        <v>250122</v>
      </c>
      <c r="C96" s="71">
        <f>'INPUT REVIEW'!M11</f>
        <v>275134.2</v>
      </c>
      <c r="D96" s="66">
        <f>RESULTS!D15</f>
        <v>1375993</v>
      </c>
      <c r="E96" s="305">
        <f>RESULTS!E15</f>
        <v>1513592.3</v>
      </c>
    </row>
    <row r="97" spans="1:5">
      <c r="A97" s="68">
        <f>RESULTS!A16</f>
        <v>2025</v>
      </c>
      <c r="B97" s="71">
        <f>'INPUT REVIEW'!L12</f>
        <v>262060</v>
      </c>
      <c r="C97" s="71">
        <f>'INPUT REVIEW'!M12</f>
        <v>288266</v>
      </c>
      <c r="D97" s="66">
        <f>RESULTS!D16</f>
        <v>1626115</v>
      </c>
      <c r="E97" s="305">
        <f>RESULTS!E16</f>
        <v>1788726.5</v>
      </c>
    </row>
    <row r="98" spans="1:5">
      <c r="A98" s="68">
        <f>RESULTS!A17</f>
        <v>2026</v>
      </c>
      <c r="B98" s="71">
        <f>'INPUT REVIEW'!L13</f>
        <v>274569</v>
      </c>
      <c r="C98" s="71">
        <f>'INPUT REVIEW'!M13</f>
        <v>302025.90000000002</v>
      </c>
      <c r="D98" s="66">
        <f>RESULTS!D17</f>
        <v>1888175</v>
      </c>
      <c r="E98" s="305">
        <f>RESULTS!E17</f>
        <v>2076992.5000000002</v>
      </c>
    </row>
    <row r="99" spans="1:5">
      <c r="A99" s="68">
        <f>RESULTS!A18</f>
        <v>2027</v>
      </c>
      <c r="B99" s="71">
        <f>'INPUT REVIEW'!L14</f>
        <v>287675</v>
      </c>
      <c r="C99" s="71">
        <f>'INPUT REVIEW'!M14</f>
        <v>316442.5</v>
      </c>
      <c r="D99" s="66">
        <f>RESULTS!D18</f>
        <v>2162744</v>
      </c>
      <c r="E99" s="305">
        <f>RESULTS!E18</f>
        <v>2379018.4</v>
      </c>
    </row>
    <row r="100" spans="1:5">
      <c r="A100" s="68">
        <f>RESULTS!A19</f>
        <v>2028</v>
      </c>
      <c r="B100" s="71">
        <f>'INPUT REVIEW'!L15</f>
        <v>301406</v>
      </c>
      <c r="C100" s="71">
        <f>'INPUT REVIEW'!M15</f>
        <v>331546.59999999998</v>
      </c>
      <c r="D100" s="66">
        <f>RESULTS!D19</f>
        <v>2450419</v>
      </c>
      <c r="E100" s="305">
        <f>RESULTS!E19</f>
        <v>2695460.9</v>
      </c>
    </row>
    <row r="101" spans="1:5">
      <c r="A101" s="68">
        <f>RESULTS!A20</f>
        <v>2029</v>
      </c>
      <c r="B101" s="71">
        <f>'INPUT REVIEW'!L16</f>
        <v>315793</v>
      </c>
      <c r="C101" s="71">
        <f>'INPUT REVIEW'!M16</f>
        <v>347372.3</v>
      </c>
      <c r="D101" s="66">
        <f>RESULTS!D20</f>
        <v>2751825</v>
      </c>
      <c r="E101" s="305">
        <f>RESULTS!E20</f>
        <v>3027007.5</v>
      </c>
    </row>
    <row r="102" spans="1:5">
      <c r="A102" s="68">
        <f>RESULTS!A21</f>
        <v>2030</v>
      </c>
      <c r="B102" s="71">
        <f>'INPUT REVIEW'!L17</f>
        <v>330866</v>
      </c>
      <c r="C102" s="71">
        <f>'INPUT REVIEW'!M17</f>
        <v>363952.6</v>
      </c>
      <c r="D102" s="66">
        <f>RESULTS!D21</f>
        <v>3067618</v>
      </c>
      <c r="E102" s="305">
        <f>RESULTS!E21</f>
        <v>3374379.8</v>
      </c>
    </row>
    <row r="103" spans="1:5">
      <c r="A103" s="68">
        <f>RESULTS!A22</f>
        <v>2031</v>
      </c>
      <c r="B103" s="71">
        <f>'INPUT REVIEW'!L18</f>
        <v>346659</v>
      </c>
      <c r="C103" s="71">
        <f>'INPUT REVIEW'!M18</f>
        <v>381324.9</v>
      </c>
      <c r="D103" s="66">
        <f>RESULTS!D22</f>
        <v>3398484</v>
      </c>
      <c r="E103" s="305">
        <f>RESULTS!E22</f>
        <v>3738332.4</v>
      </c>
    </row>
    <row r="104" spans="1:5">
      <c r="A104" s="68">
        <f>RESULTS!A23</f>
        <v>2032</v>
      </c>
      <c r="B104" s="71">
        <f>'INPUT REVIEW'!L19</f>
        <v>363206</v>
      </c>
      <c r="C104" s="71">
        <f>'INPUT REVIEW'!M19</f>
        <v>399526.6</v>
      </c>
      <c r="D104" s="66">
        <f>RESULTS!D23</f>
        <v>3745143</v>
      </c>
      <c r="E104" s="305">
        <f>RESULTS!E23</f>
        <v>4119657.3000000003</v>
      </c>
    </row>
    <row r="105" spans="1:5">
      <c r="A105" s="68">
        <f>RESULTS!A24</f>
        <v>2033</v>
      </c>
      <c r="B105" s="71">
        <f>'INPUT REVIEW'!L20</f>
        <v>380542</v>
      </c>
      <c r="C105" s="71">
        <f>'INPUT REVIEW'!M20</f>
        <v>418596.2</v>
      </c>
      <c r="D105" s="66">
        <f>RESULTS!D24</f>
        <v>4108349</v>
      </c>
      <c r="E105" s="305">
        <f>RESULTS!E24</f>
        <v>4519183.9000000004</v>
      </c>
    </row>
    <row r="106" spans="1:5">
      <c r="A106" s="68">
        <f>RESULTS!A25</f>
        <v>2034</v>
      </c>
      <c r="B106" s="71">
        <f>'INPUT REVIEW'!L21</f>
        <v>398706</v>
      </c>
      <c r="C106" s="71">
        <f>'INPUT REVIEW'!M21</f>
        <v>438576.6</v>
      </c>
      <c r="D106" s="66">
        <f>RESULTS!D25</f>
        <v>4488891</v>
      </c>
      <c r="E106" s="305">
        <f>RESULTS!E25</f>
        <v>4937780.0999999996</v>
      </c>
    </row>
    <row r="107" spans="1:5">
      <c r="A107" s="68">
        <f>RESULTS!A26</f>
        <v>2035</v>
      </c>
      <c r="B107" s="71">
        <f>'INPUT REVIEW'!L22</f>
        <v>417737</v>
      </c>
      <c r="C107" s="71">
        <f>'INPUT REVIEW'!M22</f>
        <v>459510.7</v>
      </c>
      <c r="D107" s="66">
        <f>RESULTS!D26</f>
        <v>4887597</v>
      </c>
      <c r="E107" s="305">
        <f>RESULTS!E26</f>
        <v>5376356.7000000002</v>
      </c>
    </row>
    <row r="108" spans="1:5">
      <c r="A108" s="68">
        <f>RESULTS!A27</f>
        <v>2036</v>
      </c>
      <c r="B108" s="71">
        <f>'INPUT REVIEW'!L23</f>
        <v>437677</v>
      </c>
      <c r="C108" s="71">
        <f>'INPUT REVIEW'!M23</f>
        <v>481444.7</v>
      </c>
      <c r="D108" s="66">
        <f>RESULTS!D27</f>
        <v>5305334</v>
      </c>
      <c r="E108" s="305">
        <f>RESULTS!E27</f>
        <v>5835867.4000000004</v>
      </c>
    </row>
    <row r="109" spans="1:5">
      <c r="A109" s="68">
        <f>RESULTS!A28</f>
        <v>2037</v>
      </c>
      <c r="B109" s="71">
        <f>'INPUT REVIEW'!L24</f>
        <v>458568</v>
      </c>
      <c r="C109" s="71">
        <f>'INPUT REVIEW'!M24</f>
        <v>504424.80000000005</v>
      </c>
      <c r="D109" s="66">
        <f>RESULTS!D28</f>
        <v>5743011</v>
      </c>
      <c r="E109" s="305">
        <f>RESULTS!E28</f>
        <v>6317312.0999999996</v>
      </c>
    </row>
    <row r="110" spans="1:5">
      <c r="A110" s="68">
        <f>RESULTS!A29</f>
        <v>2038</v>
      </c>
      <c r="B110" s="71">
        <f>'INPUT REVIEW'!L25</f>
        <v>480456</v>
      </c>
      <c r="C110" s="71">
        <f>'INPUT REVIEW'!M25</f>
        <v>528501.60000000009</v>
      </c>
      <c r="D110" s="66">
        <f>RESULTS!D29</f>
        <v>6201579</v>
      </c>
      <c r="E110" s="305">
        <f>RESULTS!E29</f>
        <v>6821736.9000000004</v>
      </c>
    </row>
    <row r="111" spans="1:5">
      <c r="A111" s="68">
        <f>RESULTS!A30</f>
        <v>2039</v>
      </c>
      <c r="B111" s="71">
        <f>'INPUT REVIEW'!L26</f>
        <v>503389</v>
      </c>
      <c r="C111" s="71">
        <f>'INPUT REVIEW'!M26</f>
        <v>553727.9</v>
      </c>
      <c r="D111" s="66">
        <f>RESULTS!D30</f>
        <v>6682035</v>
      </c>
      <c r="E111" s="305">
        <f>RESULTS!E30</f>
        <v>7350238.5</v>
      </c>
    </row>
    <row r="112" spans="1:5">
      <c r="A112" s="68">
        <f>RESULTS!A31</f>
        <v>2040</v>
      </c>
      <c r="B112" s="71">
        <f>'INPUT REVIEW'!L27</f>
        <v>527417</v>
      </c>
      <c r="C112" s="71">
        <f>'INPUT REVIEW'!M27</f>
        <v>580158.69999999995</v>
      </c>
      <c r="D112" s="66">
        <f>RESULTS!D31</f>
        <v>7185424</v>
      </c>
      <c r="E112" s="305">
        <f>RESULTS!E31</f>
        <v>7903966.4000000004</v>
      </c>
    </row>
    <row r="113" spans="1:5">
      <c r="A113" s="68">
        <f>RESULTS!A32</f>
        <v>2041</v>
      </c>
      <c r="B113" s="71">
        <f>'INPUT REVIEW'!L28</f>
        <v>552592</v>
      </c>
      <c r="C113" s="71">
        <f>'INPUT REVIEW'!M28</f>
        <v>607851.19999999995</v>
      </c>
      <c r="D113" s="66">
        <f>RESULTS!D32</f>
        <v>7712841</v>
      </c>
      <c r="E113" s="305">
        <f>RESULTS!E32</f>
        <v>8484125.1000000015</v>
      </c>
    </row>
    <row r="114" spans="1:5">
      <c r="A114" s="68">
        <f>RESULTS!A33</f>
        <v>2042</v>
      </c>
      <c r="B114" s="71">
        <f>'INPUT REVIEW'!L29</f>
        <v>578968</v>
      </c>
      <c r="C114" s="71">
        <f>'INPUT REVIEW'!M29</f>
        <v>636864.80000000005</v>
      </c>
      <c r="D114" s="66">
        <f>RESULTS!D33</f>
        <v>8265433</v>
      </c>
      <c r="E114" s="305">
        <f>RESULTS!E33</f>
        <v>9091976.3000000007</v>
      </c>
    </row>
    <row r="115" spans="1:5">
      <c r="A115" s="68">
        <f>RESULTS!A34</f>
        <v>2043</v>
      </c>
      <c r="B115" s="71">
        <f>'INPUT REVIEW'!L30</f>
        <v>606603</v>
      </c>
      <c r="C115" s="71">
        <f>'INPUT REVIEW'!M30</f>
        <v>667263.30000000005</v>
      </c>
      <c r="D115" s="66">
        <f>RESULTS!D34</f>
        <v>8844401</v>
      </c>
      <c r="E115" s="305">
        <f>RESULTS!E34</f>
        <v>9728841.0999999996</v>
      </c>
    </row>
    <row r="116" spans="1:5">
      <c r="A116" s="68">
        <f>RESULTS!A35</f>
        <v>2044</v>
      </c>
      <c r="B116" s="71">
        <f>'INPUT REVIEW'!L31</f>
        <v>635558</v>
      </c>
      <c r="C116" s="71">
        <f>'INPUT REVIEW'!M31</f>
        <v>699113.8</v>
      </c>
      <c r="D116" s="66">
        <f>RESULTS!D35</f>
        <v>9451004</v>
      </c>
      <c r="E116" s="305">
        <f>RESULTS!E35</f>
        <v>10396104.4</v>
      </c>
    </row>
    <row r="117" spans="1:5">
      <c r="A117" s="68">
        <f>RESULTS!A36</f>
        <v>2045</v>
      </c>
      <c r="B117" s="71">
        <f>'INPUT REVIEW'!L32</f>
        <v>665894</v>
      </c>
      <c r="C117" s="71">
        <f>'INPUT REVIEW'!M32</f>
        <v>732483.4</v>
      </c>
      <c r="D117" s="66">
        <f>RESULTS!D36</f>
        <v>10086562</v>
      </c>
      <c r="E117" s="305">
        <f>RESULTS!E36</f>
        <v>11095218.199999999</v>
      </c>
    </row>
    <row r="118" spans="1:5">
      <c r="A118" s="68">
        <f>RESULTS!A37</f>
        <v>2046</v>
      </c>
      <c r="B118" s="71">
        <f>'INPUT REVIEW'!L33</f>
        <v>697679</v>
      </c>
      <c r="C118" s="71">
        <f>'INPUT REVIEW'!M33</f>
        <v>767446.9</v>
      </c>
      <c r="D118" s="66">
        <f>RESULTS!D37</f>
        <v>10752456</v>
      </c>
      <c r="E118" s="305">
        <f>RESULTS!E37</f>
        <v>11827701.6</v>
      </c>
    </row>
    <row r="119" spans="1:5">
      <c r="A119" s="68">
        <f>RESULTS!A38</f>
        <v>2047</v>
      </c>
      <c r="B119" s="71">
        <f>'INPUT REVIEW'!L34</f>
        <v>730980</v>
      </c>
      <c r="C119" s="71">
        <f>'INPUT REVIEW'!M34</f>
        <v>804078</v>
      </c>
      <c r="D119" s="66">
        <f>RESULTS!D38</f>
        <v>11450135</v>
      </c>
      <c r="E119" s="305">
        <f>RESULTS!E38</f>
        <v>12595148.5</v>
      </c>
    </row>
    <row r="120" spans="1:5">
      <c r="A120" s="68">
        <f>RESULTS!A39</f>
        <v>2048</v>
      </c>
      <c r="B120" s="71">
        <f>'INPUT REVIEW'!L35</f>
        <v>765871</v>
      </c>
      <c r="C120" s="71">
        <f>'INPUT REVIEW'!M35</f>
        <v>842458.1</v>
      </c>
      <c r="D120" s="66">
        <f>RESULTS!D39</f>
        <v>12181115</v>
      </c>
      <c r="E120" s="305">
        <f>RESULTS!E39</f>
        <v>13399226.5</v>
      </c>
    </row>
    <row r="121" spans="1:5">
      <c r="A121" s="68">
        <f>RESULTS!A40</f>
        <v>2049</v>
      </c>
      <c r="B121" s="71">
        <f>'INPUT REVIEW'!L36</f>
        <v>0</v>
      </c>
      <c r="C121" s="71">
        <f>'INPUT REVIEW'!M36</f>
        <v>0</v>
      </c>
      <c r="D121" s="66">
        <f>RESULTS!D40</f>
        <v>12946986</v>
      </c>
      <c r="E121" s="305">
        <f>RESULTS!E40</f>
        <v>14241684.6</v>
      </c>
    </row>
    <row r="122" spans="1:5">
      <c r="A122" s="68">
        <f>RESULTS!A41</f>
        <v>2050</v>
      </c>
      <c r="B122" s="71">
        <f>'INPUT REVIEW'!L37</f>
        <v>0</v>
      </c>
      <c r="C122" s="71">
        <f>'INPUT REVIEW'!M37</f>
        <v>0</v>
      </c>
      <c r="D122" s="66">
        <f>RESULTS!D41</f>
        <v>12946986</v>
      </c>
      <c r="E122" s="305">
        <f>RESULTS!E41</f>
        <v>14241684.6</v>
      </c>
    </row>
    <row r="123" spans="1:5">
      <c r="A123" s="68">
        <f>RESULTS!A42</f>
        <v>2051</v>
      </c>
      <c r="B123" s="71">
        <f>'INPUT REVIEW'!L38</f>
        <v>0</v>
      </c>
      <c r="C123" s="71">
        <f>'INPUT REVIEW'!M38</f>
        <v>0</v>
      </c>
      <c r="D123" s="66">
        <f>RESULTS!D42</f>
        <v>12946986</v>
      </c>
      <c r="E123" s="305">
        <f>RESULTS!E42</f>
        <v>14241684.6</v>
      </c>
    </row>
    <row r="124" spans="1:5">
      <c r="A124" s="68">
        <f>RESULTS!A43</f>
        <v>2052</v>
      </c>
      <c r="B124" s="71">
        <f>'INPUT REVIEW'!L39</f>
        <v>0</v>
      </c>
      <c r="C124" s="71">
        <f>'INPUT REVIEW'!M39</f>
        <v>0</v>
      </c>
      <c r="D124" s="66">
        <f>RESULTS!D43</f>
        <v>12946986</v>
      </c>
      <c r="E124" s="305">
        <f>RESULTS!E43</f>
        <v>14241684.6</v>
      </c>
    </row>
    <row r="125" spans="1:5">
      <c r="A125" s="68">
        <f>RESULTS!A44</f>
        <v>2053</v>
      </c>
      <c r="B125" s="71">
        <f>'INPUT REVIEW'!L40</f>
        <v>0</v>
      </c>
      <c r="C125" s="71">
        <f>'INPUT REVIEW'!M40</f>
        <v>0</v>
      </c>
      <c r="D125" s="66">
        <f>RESULTS!D44</f>
        <v>12946986</v>
      </c>
      <c r="E125" s="305">
        <f>RESULTS!E44</f>
        <v>14241684.6</v>
      </c>
    </row>
    <row r="126" spans="1:5">
      <c r="A126" s="68">
        <f>RESULTS!A45</f>
        <v>2054</v>
      </c>
      <c r="B126" s="71">
        <f>'INPUT REVIEW'!L41</f>
        <v>0</v>
      </c>
      <c r="C126" s="71">
        <f>'INPUT REVIEW'!M41</f>
        <v>0</v>
      </c>
      <c r="D126" s="66">
        <f>RESULTS!D45</f>
        <v>12946986</v>
      </c>
      <c r="E126" s="305">
        <f>RESULTS!E45</f>
        <v>14241684.6</v>
      </c>
    </row>
    <row r="127" spans="1:5">
      <c r="A127" s="68">
        <f>RESULTS!A46</f>
        <v>2055</v>
      </c>
      <c r="B127" s="71">
        <f>'INPUT REVIEW'!L42</f>
        <v>0</v>
      </c>
      <c r="C127" s="71">
        <f>'INPUT REVIEW'!M42</f>
        <v>0</v>
      </c>
      <c r="D127" s="66">
        <f>RESULTS!D46</f>
        <v>12946986</v>
      </c>
      <c r="E127" s="305">
        <f>RESULTS!E46</f>
        <v>14241684.6</v>
      </c>
    </row>
    <row r="128" spans="1:5">
      <c r="A128" s="68">
        <f>RESULTS!A47</f>
        <v>2056</v>
      </c>
      <c r="B128" s="71">
        <f>'INPUT REVIEW'!L43</f>
        <v>0</v>
      </c>
      <c r="C128" s="71">
        <f>'INPUT REVIEW'!M43</f>
        <v>0</v>
      </c>
      <c r="D128" s="66">
        <f>RESULTS!D47</f>
        <v>12946986</v>
      </c>
      <c r="E128" s="305">
        <f>RESULTS!E47</f>
        <v>14241684.6</v>
      </c>
    </row>
    <row r="129" spans="1:5">
      <c r="A129" s="68">
        <f>RESULTS!A48</f>
        <v>2057</v>
      </c>
      <c r="B129" s="66">
        <f>'INPUT REVIEW'!L44</f>
        <v>0</v>
      </c>
      <c r="C129" s="66">
        <f>'INPUT REVIEW'!M44</f>
        <v>0</v>
      </c>
      <c r="D129" s="66">
        <f>RESULTS!D48</f>
        <v>12946986</v>
      </c>
      <c r="E129" s="305">
        <f>RESULTS!E48</f>
        <v>14241684.6</v>
      </c>
    </row>
    <row r="130" spans="1:5" ht="14.25" customHeight="1">
      <c r="A130" s="362"/>
      <c r="B130" s="363"/>
      <c r="C130" s="363"/>
      <c r="D130" s="363"/>
      <c r="E130" s="363"/>
    </row>
    <row r="131" spans="1:5">
      <c r="A131" s="362"/>
      <c r="B131" s="363"/>
      <c r="C131" s="363"/>
      <c r="D131" s="363"/>
      <c r="E131" s="363"/>
    </row>
    <row r="132" spans="1:5" ht="13.5" thickBot="1">
      <c r="A132" s="9" t="s">
        <v>335</v>
      </c>
    </row>
    <row r="133" spans="1:5">
      <c r="A133" s="668" t="s">
        <v>5</v>
      </c>
      <c r="B133" s="664" t="s">
        <v>54</v>
      </c>
      <c r="C133" s="664"/>
      <c r="D133" s="664" t="s">
        <v>53</v>
      </c>
      <c r="E133" s="685"/>
    </row>
    <row r="134" spans="1:5">
      <c r="A134" s="669"/>
      <c r="B134" s="53" t="s">
        <v>50</v>
      </c>
      <c r="C134" s="53" t="s">
        <v>169</v>
      </c>
      <c r="D134" s="53" t="s">
        <v>250</v>
      </c>
      <c r="E134" s="303" t="s">
        <v>251</v>
      </c>
    </row>
    <row r="135" spans="1:5">
      <c r="A135" s="154">
        <f>RESULTS!A49</f>
        <v>2058</v>
      </c>
      <c r="B135" s="71">
        <f>'INPUT REVIEW'!L45</f>
        <v>0</v>
      </c>
      <c r="C135" s="71">
        <f>'INPUT REVIEW'!M45</f>
        <v>0</v>
      </c>
      <c r="D135" s="72">
        <f>RESULTS!D49</f>
        <v>12946986</v>
      </c>
      <c r="E135" s="304">
        <f>RESULTS!E49</f>
        <v>14241684.6</v>
      </c>
    </row>
    <row r="136" spans="1:5">
      <c r="A136" s="68">
        <f>RESULTS!A50</f>
        <v>2059</v>
      </c>
      <c r="B136" s="71">
        <f>'INPUT REVIEW'!L46</f>
        <v>0</v>
      </c>
      <c r="C136" s="71">
        <f>'INPUT REVIEW'!M46</f>
        <v>0</v>
      </c>
      <c r="D136" s="66">
        <f>RESULTS!D50</f>
        <v>12946986</v>
      </c>
      <c r="E136" s="305">
        <f>RESULTS!E50</f>
        <v>14241684.6</v>
      </c>
    </row>
    <row r="137" spans="1:5">
      <c r="A137" s="68">
        <f>RESULTS!A51</f>
        <v>2060</v>
      </c>
      <c r="B137" s="71">
        <f>'INPUT REVIEW'!L47</f>
        <v>0</v>
      </c>
      <c r="C137" s="71">
        <f>'INPUT REVIEW'!M47</f>
        <v>0</v>
      </c>
      <c r="D137" s="66">
        <f>RESULTS!D51</f>
        <v>12946986</v>
      </c>
      <c r="E137" s="305">
        <f>RESULTS!E51</f>
        <v>14241684.6</v>
      </c>
    </row>
    <row r="138" spans="1:5">
      <c r="A138" s="68">
        <f>RESULTS!A52</f>
        <v>2061</v>
      </c>
      <c r="B138" s="71">
        <f>'INPUT REVIEW'!L48</f>
        <v>0</v>
      </c>
      <c r="C138" s="71">
        <f>'INPUT REVIEW'!M48</f>
        <v>0</v>
      </c>
      <c r="D138" s="66">
        <f>RESULTS!D52</f>
        <v>12946986</v>
      </c>
      <c r="E138" s="305">
        <f>RESULTS!E52</f>
        <v>14241684.6</v>
      </c>
    </row>
    <row r="139" spans="1:5">
      <c r="A139" s="68">
        <f>RESULTS!A53</f>
        <v>2062</v>
      </c>
      <c r="B139" s="71">
        <f>'INPUT REVIEW'!L49</f>
        <v>0</v>
      </c>
      <c r="C139" s="71">
        <f>'INPUT REVIEW'!M49</f>
        <v>0</v>
      </c>
      <c r="D139" s="66">
        <f>RESULTS!D53</f>
        <v>12946986</v>
      </c>
      <c r="E139" s="305">
        <f>RESULTS!E53</f>
        <v>14241684.6</v>
      </c>
    </row>
    <row r="140" spans="1:5">
      <c r="A140" s="68">
        <f>RESULTS!A54</f>
        <v>2063</v>
      </c>
      <c r="B140" s="71">
        <f>'INPUT REVIEW'!L50</f>
        <v>0</v>
      </c>
      <c r="C140" s="71">
        <f>'INPUT REVIEW'!M50</f>
        <v>0</v>
      </c>
      <c r="D140" s="66">
        <f>RESULTS!D54</f>
        <v>12946986</v>
      </c>
      <c r="E140" s="305">
        <f>RESULTS!E54</f>
        <v>14241684.6</v>
      </c>
    </row>
    <row r="141" spans="1:5">
      <c r="A141" s="68">
        <f>RESULTS!A55</f>
        <v>2064</v>
      </c>
      <c r="B141" s="71">
        <f>'INPUT REVIEW'!L51</f>
        <v>0</v>
      </c>
      <c r="C141" s="71">
        <f>'INPUT REVIEW'!M51</f>
        <v>0</v>
      </c>
      <c r="D141" s="66">
        <f>RESULTS!D55</f>
        <v>12946986</v>
      </c>
      <c r="E141" s="305">
        <f>RESULTS!E55</f>
        <v>14241684.6</v>
      </c>
    </row>
    <row r="142" spans="1:5">
      <c r="A142" s="68">
        <f>RESULTS!A56</f>
        <v>2065</v>
      </c>
      <c r="B142" s="71">
        <f>'INPUT REVIEW'!L52</f>
        <v>0</v>
      </c>
      <c r="C142" s="71">
        <f>'INPUT REVIEW'!M52</f>
        <v>0</v>
      </c>
      <c r="D142" s="66">
        <f>RESULTS!D56</f>
        <v>12946986</v>
      </c>
      <c r="E142" s="305">
        <f>RESULTS!E56</f>
        <v>14241684.6</v>
      </c>
    </row>
    <row r="143" spans="1:5">
      <c r="A143" s="68">
        <f>RESULTS!A57</f>
        <v>2066</v>
      </c>
      <c r="B143" s="71">
        <f>'INPUT REVIEW'!L53</f>
        <v>0</v>
      </c>
      <c r="C143" s="71">
        <f>'INPUT REVIEW'!M53</f>
        <v>0</v>
      </c>
      <c r="D143" s="66">
        <f>RESULTS!D57</f>
        <v>12946986</v>
      </c>
      <c r="E143" s="305">
        <f>RESULTS!E57</f>
        <v>14241684.6</v>
      </c>
    </row>
    <row r="144" spans="1:5">
      <c r="A144" s="68">
        <f>RESULTS!A58</f>
        <v>2067</v>
      </c>
      <c r="B144" s="71">
        <f>'INPUT REVIEW'!L54</f>
        <v>0</v>
      </c>
      <c r="C144" s="71">
        <f>'INPUT REVIEW'!M54</f>
        <v>0</v>
      </c>
      <c r="D144" s="66">
        <f>RESULTS!D58</f>
        <v>12946986</v>
      </c>
      <c r="E144" s="305">
        <f>RESULTS!E58</f>
        <v>14241684.6</v>
      </c>
    </row>
    <row r="145" spans="1:5">
      <c r="A145" s="68">
        <f>RESULTS!A59</f>
        <v>2068</v>
      </c>
      <c r="B145" s="71">
        <f>'INPUT REVIEW'!L55</f>
        <v>0</v>
      </c>
      <c r="C145" s="71">
        <f>'INPUT REVIEW'!M55</f>
        <v>0</v>
      </c>
      <c r="D145" s="66">
        <f>RESULTS!D59</f>
        <v>12946986</v>
      </c>
      <c r="E145" s="305">
        <f>RESULTS!E59</f>
        <v>14241684.6</v>
      </c>
    </row>
    <row r="146" spans="1:5">
      <c r="A146" s="68">
        <f>RESULTS!A60</f>
        <v>2069</v>
      </c>
      <c r="B146" s="71">
        <f>'INPUT REVIEW'!L56</f>
        <v>0</v>
      </c>
      <c r="C146" s="71">
        <f>'INPUT REVIEW'!M56</f>
        <v>0</v>
      </c>
      <c r="D146" s="66">
        <f>RESULTS!D60</f>
        <v>12946986</v>
      </c>
      <c r="E146" s="305">
        <f>RESULTS!E60</f>
        <v>14241684.6</v>
      </c>
    </row>
    <row r="147" spans="1:5">
      <c r="A147" s="68">
        <f>RESULTS!A61</f>
        <v>2070</v>
      </c>
      <c r="B147" s="71">
        <f>'INPUT REVIEW'!L57</f>
        <v>0</v>
      </c>
      <c r="C147" s="71">
        <f>'INPUT REVIEW'!M57</f>
        <v>0</v>
      </c>
      <c r="D147" s="66">
        <f>RESULTS!D61</f>
        <v>12946986</v>
      </c>
      <c r="E147" s="305">
        <f>RESULTS!E61</f>
        <v>14241684.6</v>
      </c>
    </row>
    <row r="148" spans="1:5">
      <c r="A148" s="68">
        <f>RESULTS!A62</f>
        <v>2071</v>
      </c>
      <c r="B148" s="71">
        <f>'INPUT REVIEW'!L58</f>
        <v>0</v>
      </c>
      <c r="C148" s="71">
        <f>'INPUT REVIEW'!M58</f>
        <v>0</v>
      </c>
      <c r="D148" s="66">
        <f>RESULTS!D62</f>
        <v>12946986</v>
      </c>
      <c r="E148" s="305">
        <f>RESULTS!E62</f>
        <v>14241684.6</v>
      </c>
    </row>
    <row r="149" spans="1:5">
      <c r="A149" s="68">
        <f>RESULTS!A63</f>
        <v>2072</v>
      </c>
      <c r="B149" s="71">
        <f>'INPUT REVIEW'!L59</f>
        <v>0</v>
      </c>
      <c r="C149" s="71">
        <f>'INPUT REVIEW'!M59</f>
        <v>0</v>
      </c>
      <c r="D149" s="66">
        <f>RESULTS!D63</f>
        <v>12946986</v>
      </c>
      <c r="E149" s="305">
        <f>RESULTS!E63</f>
        <v>14241684.6</v>
      </c>
    </row>
    <row r="150" spans="1:5">
      <c r="A150" s="68">
        <f>RESULTS!A64</f>
        <v>2073</v>
      </c>
      <c r="B150" s="71">
        <f>'INPUT REVIEW'!L60</f>
        <v>0</v>
      </c>
      <c r="C150" s="71">
        <f>'INPUT REVIEW'!M60</f>
        <v>0</v>
      </c>
      <c r="D150" s="66">
        <f>RESULTS!D64</f>
        <v>12946986</v>
      </c>
      <c r="E150" s="305">
        <f>RESULTS!E64</f>
        <v>14241684.6</v>
      </c>
    </row>
    <row r="151" spans="1:5">
      <c r="A151" s="68">
        <f>RESULTS!A65</f>
        <v>2074</v>
      </c>
      <c r="B151" s="71">
        <f>'INPUT REVIEW'!L61</f>
        <v>0</v>
      </c>
      <c r="C151" s="71">
        <f>'INPUT REVIEW'!M61</f>
        <v>0</v>
      </c>
      <c r="D151" s="66">
        <f>RESULTS!D65</f>
        <v>12946986</v>
      </c>
      <c r="E151" s="305">
        <f>RESULTS!E65</f>
        <v>14241684.6</v>
      </c>
    </row>
    <row r="152" spans="1:5">
      <c r="A152" s="68">
        <f>RESULTS!A66</f>
        <v>2075</v>
      </c>
      <c r="B152" s="71">
        <f>'INPUT REVIEW'!L62</f>
        <v>0</v>
      </c>
      <c r="C152" s="71">
        <f>'INPUT REVIEW'!M62</f>
        <v>0</v>
      </c>
      <c r="D152" s="66">
        <f>RESULTS!D66</f>
        <v>12946986</v>
      </c>
      <c r="E152" s="305">
        <f>RESULTS!E66</f>
        <v>14241684.6</v>
      </c>
    </row>
    <row r="153" spans="1:5">
      <c r="A153" s="68">
        <f>RESULTS!A67</f>
        <v>2076</v>
      </c>
      <c r="B153" s="71">
        <f>'INPUT REVIEW'!L63</f>
        <v>0</v>
      </c>
      <c r="C153" s="71">
        <f>'INPUT REVIEW'!M63</f>
        <v>0</v>
      </c>
      <c r="D153" s="66">
        <f>RESULTS!D67</f>
        <v>12946986</v>
      </c>
      <c r="E153" s="305">
        <f>RESULTS!E67</f>
        <v>14241684.6</v>
      </c>
    </row>
    <row r="154" spans="1:5">
      <c r="A154" s="68">
        <f>RESULTS!A68</f>
        <v>2077</v>
      </c>
      <c r="B154" s="71">
        <f>'INPUT REVIEW'!L64</f>
        <v>0</v>
      </c>
      <c r="C154" s="71">
        <f>'INPUT REVIEW'!M64</f>
        <v>0</v>
      </c>
      <c r="D154" s="66">
        <f>RESULTS!D68</f>
        <v>12946986</v>
      </c>
      <c r="E154" s="305">
        <f>RESULTS!E68</f>
        <v>14241684.6</v>
      </c>
    </row>
    <row r="155" spans="1:5">
      <c r="A155" s="68">
        <f>RESULTS!A69</f>
        <v>2078</v>
      </c>
      <c r="B155" s="71">
        <f>'INPUT REVIEW'!L65</f>
        <v>0</v>
      </c>
      <c r="C155" s="71">
        <f>'INPUT REVIEW'!M65</f>
        <v>0</v>
      </c>
      <c r="D155" s="66">
        <f>RESULTS!D69</f>
        <v>12946986</v>
      </c>
      <c r="E155" s="305">
        <f>RESULTS!E69</f>
        <v>14241684.6</v>
      </c>
    </row>
    <row r="156" spans="1:5">
      <c r="A156" s="68">
        <f>RESULTS!A70</f>
        <v>2079</v>
      </c>
      <c r="B156" s="71">
        <f>'INPUT REVIEW'!L66</f>
        <v>0</v>
      </c>
      <c r="C156" s="71">
        <f>'INPUT REVIEW'!M66</f>
        <v>0</v>
      </c>
      <c r="D156" s="66">
        <f>RESULTS!D70</f>
        <v>12946986</v>
      </c>
      <c r="E156" s="305">
        <f>RESULTS!E70</f>
        <v>14241684.6</v>
      </c>
    </row>
    <row r="157" spans="1:5">
      <c r="A157" s="68">
        <f>RESULTS!A71</f>
        <v>2080</v>
      </c>
      <c r="B157" s="71">
        <f>'INPUT REVIEW'!L67</f>
        <v>0</v>
      </c>
      <c r="C157" s="71">
        <f>'INPUT REVIEW'!M67</f>
        <v>0</v>
      </c>
      <c r="D157" s="66">
        <f>RESULTS!D71</f>
        <v>12946986</v>
      </c>
      <c r="E157" s="305">
        <f>RESULTS!E71</f>
        <v>14241684.6</v>
      </c>
    </row>
    <row r="158" spans="1:5">
      <c r="A158" s="68">
        <f>RESULTS!A72</f>
        <v>2081</v>
      </c>
      <c r="B158" s="71">
        <f>'INPUT REVIEW'!L68</f>
        <v>0</v>
      </c>
      <c r="C158" s="71">
        <f>'INPUT REVIEW'!M68</f>
        <v>0</v>
      </c>
      <c r="D158" s="66">
        <f>RESULTS!D72</f>
        <v>12946986</v>
      </c>
      <c r="E158" s="305">
        <f>RESULTS!E72</f>
        <v>14241684.6</v>
      </c>
    </row>
    <row r="159" spans="1:5">
      <c r="A159" s="68">
        <f>RESULTS!A73</f>
        <v>2082</v>
      </c>
      <c r="B159" s="71">
        <f>'INPUT REVIEW'!L69</f>
        <v>0</v>
      </c>
      <c r="C159" s="71">
        <f>'INPUT REVIEW'!M69</f>
        <v>0</v>
      </c>
      <c r="D159" s="66">
        <f>RESULTS!D73</f>
        <v>12946986</v>
      </c>
      <c r="E159" s="305">
        <f>RESULTS!E73</f>
        <v>14241684.6</v>
      </c>
    </row>
    <row r="160" spans="1:5">
      <c r="A160" s="68">
        <f>RESULTS!A74</f>
        <v>2083</v>
      </c>
      <c r="B160" s="71">
        <f>'INPUT REVIEW'!L70</f>
        <v>0</v>
      </c>
      <c r="C160" s="71">
        <f>'INPUT REVIEW'!M70</f>
        <v>0</v>
      </c>
      <c r="D160" s="66">
        <f>RESULTS!D74</f>
        <v>12946986</v>
      </c>
      <c r="E160" s="305">
        <f>RESULTS!E74</f>
        <v>14241684.6</v>
      </c>
    </row>
    <row r="161" spans="1:5">
      <c r="A161" s="68">
        <f>RESULTS!A75</f>
        <v>2084</v>
      </c>
      <c r="B161" s="71">
        <f>'INPUT REVIEW'!L71</f>
        <v>0</v>
      </c>
      <c r="C161" s="71">
        <f>'INPUT REVIEW'!M71</f>
        <v>0</v>
      </c>
      <c r="D161" s="66">
        <f>RESULTS!D75</f>
        <v>12946986</v>
      </c>
      <c r="E161" s="305">
        <f>RESULTS!E75</f>
        <v>14241684.6</v>
      </c>
    </row>
    <row r="162" spans="1:5">
      <c r="A162" s="68">
        <f>RESULTS!A76</f>
        <v>2085</v>
      </c>
      <c r="B162" s="71">
        <f>'INPUT REVIEW'!L72</f>
        <v>0</v>
      </c>
      <c r="C162" s="71">
        <f>'INPUT REVIEW'!M72</f>
        <v>0</v>
      </c>
      <c r="D162" s="66">
        <f>RESULTS!D76</f>
        <v>12946986</v>
      </c>
      <c r="E162" s="305">
        <f>RESULTS!E76</f>
        <v>14241684.6</v>
      </c>
    </row>
    <row r="163" spans="1:5">
      <c r="A163" s="68">
        <f>RESULTS!A77</f>
        <v>2086</v>
      </c>
      <c r="B163" s="71">
        <f>'INPUT REVIEW'!L73</f>
        <v>0</v>
      </c>
      <c r="C163" s="71">
        <f>'INPUT REVIEW'!M73</f>
        <v>0</v>
      </c>
      <c r="D163" s="66">
        <f>RESULTS!D77</f>
        <v>12946986</v>
      </c>
      <c r="E163" s="305">
        <f>RESULTS!E77</f>
        <v>14241684.6</v>
      </c>
    </row>
    <row r="164" spans="1:5">
      <c r="A164" s="68">
        <f>RESULTS!A78</f>
        <v>2087</v>
      </c>
      <c r="B164" s="71">
        <f>'INPUT REVIEW'!L74</f>
        <v>0</v>
      </c>
      <c r="C164" s="71">
        <f>'INPUT REVIEW'!M74</f>
        <v>0</v>
      </c>
      <c r="D164" s="66">
        <f>RESULTS!D78</f>
        <v>12946986</v>
      </c>
      <c r="E164" s="305">
        <f>RESULTS!E78</f>
        <v>14241684.6</v>
      </c>
    </row>
    <row r="165" spans="1:5">
      <c r="A165" s="68">
        <f>RESULTS!A79</f>
        <v>2088</v>
      </c>
      <c r="B165" s="71">
        <f>'INPUT REVIEW'!L75</f>
        <v>0</v>
      </c>
      <c r="C165" s="71">
        <f>'INPUT REVIEW'!M75</f>
        <v>0</v>
      </c>
      <c r="D165" s="66">
        <f>RESULTS!D79</f>
        <v>12946986</v>
      </c>
      <c r="E165" s="305">
        <f>RESULTS!E79</f>
        <v>14241684.6</v>
      </c>
    </row>
    <row r="166" spans="1:5">
      <c r="A166" s="68">
        <f>RESULTS!A80</f>
        <v>2089</v>
      </c>
      <c r="B166" s="71">
        <f>'INPUT REVIEW'!L76</f>
        <v>0</v>
      </c>
      <c r="C166" s="71">
        <f>'INPUT REVIEW'!M76</f>
        <v>0</v>
      </c>
      <c r="D166" s="66">
        <f>RESULTS!D80</f>
        <v>12946986</v>
      </c>
      <c r="E166" s="305">
        <f>RESULTS!E80</f>
        <v>14241684.6</v>
      </c>
    </row>
    <row r="167" spans="1:5">
      <c r="A167" s="68">
        <f>RESULTS!A81</f>
        <v>2090</v>
      </c>
      <c r="B167" s="71">
        <f>'INPUT REVIEW'!L77</f>
        <v>0</v>
      </c>
      <c r="C167" s="71">
        <f>'INPUT REVIEW'!M77</f>
        <v>0</v>
      </c>
      <c r="D167" s="66">
        <f>RESULTS!D81</f>
        <v>12946986</v>
      </c>
      <c r="E167" s="305">
        <f>RESULTS!E81</f>
        <v>14241684.6</v>
      </c>
    </row>
    <row r="168" spans="1:5">
      <c r="A168" s="68">
        <f>RESULTS!A82</f>
        <v>2091</v>
      </c>
      <c r="B168" s="71">
        <f>'INPUT REVIEW'!L78</f>
        <v>0</v>
      </c>
      <c r="C168" s="71">
        <f>'INPUT REVIEW'!M78</f>
        <v>0</v>
      </c>
      <c r="D168" s="66">
        <f>RESULTS!D82</f>
        <v>12946986</v>
      </c>
      <c r="E168" s="305">
        <f>RESULTS!E82</f>
        <v>14241684.6</v>
      </c>
    </row>
    <row r="169" spans="1:5">
      <c r="A169" s="68">
        <f>RESULTS!A83</f>
        <v>2092</v>
      </c>
      <c r="B169" s="71">
        <f>'INPUT REVIEW'!L79</f>
        <v>0</v>
      </c>
      <c r="C169" s="71">
        <f>'INPUT REVIEW'!M79</f>
        <v>0</v>
      </c>
      <c r="D169" s="66">
        <f>RESULTS!D83</f>
        <v>12946986</v>
      </c>
      <c r="E169" s="305">
        <f>RESULTS!E83</f>
        <v>14241684.6</v>
      </c>
    </row>
    <row r="170" spans="1:5">
      <c r="A170" s="68">
        <f>RESULTS!A84</f>
        <v>2093</v>
      </c>
      <c r="B170" s="71">
        <f>'INPUT REVIEW'!L80</f>
        <v>0</v>
      </c>
      <c r="C170" s="71">
        <f>'INPUT REVIEW'!M80</f>
        <v>0</v>
      </c>
      <c r="D170" s="66">
        <f>RESULTS!D84</f>
        <v>12946986</v>
      </c>
      <c r="E170" s="305">
        <f>RESULTS!E84</f>
        <v>14241684.6</v>
      </c>
    </row>
    <row r="171" spans="1:5">
      <c r="A171" s="68">
        <f>RESULTS!A85</f>
        <v>2094</v>
      </c>
      <c r="B171" s="71">
        <f>'INPUT REVIEW'!L81</f>
        <v>0</v>
      </c>
      <c r="C171" s="71">
        <f>'INPUT REVIEW'!M81</f>
        <v>0</v>
      </c>
      <c r="D171" s="66">
        <f>RESULTS!D85</f>
        <v>12946986</v>
      </c>
      <c r="E171" s="305">
        <f>RESULTS!E85</f>
        <v>14241684.6</v>
      </c>
    </row>
    <row r="172" spans="1:5">
      <c r="A172" s="68">
        <f>RESULTS!A86</f>
        <v>2095</v>
      </c>
      <c r="B172" s="71">
        <f>'INPUT REVIEW'!L82</f>
        <v>0</v>
      </c>
      <c r="C172" s="71">
        <f>'INPUT REVIEW'!M82</f>
        <v>0</v>
      </c>
      <c r="D172" s="66">
        <f>RESULTS!D86</f>
        <v>12946986</v>
      </c>
      <c r="E172" s="305">
        <f>RESULTS!E86</f>
        <v>14241684.6</v>
      </c>
    </row>
    <row r="173" spans="1:5">
      <c r="A173" s="68">
        <f>RESULTS!A87</f>
        <v>2096</v>
      </c>
      <c r="B173" s="71">
        <f>'INPUT REVIEW'!L83</f>
        <v>0</v>
      </c>
      <c r="C173" s="71">
        <f>'INPUT REVIEW'!M83</f>
        <v>0</v>
      </c>
      <c r="D173" s="66">
        <f>RESULTS!D87</f>
        <v>12946986</v>
      </c>
      <c r="E173" s="305">
        <f>RESULTS!E87</f>
        <v>14241684.6</v>
      </c>
    </row>
    <row r="174" spans="1:5" ht="13.5" thickBot="1">
      <c r="A174" s="69">
        <f>RESULTS!A88</f>
        <v>2097</v>
      </c>
      <c r="B174" s="70">
        <f>'INPUT REVIEW'!L84</f>
        <v>0</v>
      </c>
      <c r="C174" s="70">
        <f>'INPUT REVIEW'!M84</f>
        <v>0</v>
      </c>
      <c r="D174" s="70">
        <f>RESULTS!D88</f>
        <v>12946986</v>
      </c>
      <c r="E174" s="306">
        <f>RESULTS!E88</f>
        <v>14241684.6</v>
      </c>
    </row>
    <row r="175" spans="1:5">
      <c r="A175" s="362"/>
      <c r="B175" s="363"/>
      <c r="C175" s="363"/>
      <c r="D175" s="363"/>
      <c r="E175" s="363"/>
    </row>
    <row r="176" spans="1:5" ht="16.5" customHeight="1"/>
    <row r="177" spans="1:7" ht="18">
      <c r="A177" s="443" t="s">
        <v>297</v>
      </c>
      <c r="B177" s="444"/>
      <c r="C177" s="444"/>
      <c r="D177" s="444"/>
      <c r="E177" s="444"/>
      <c r="F177" s="444"/>
      <c r="G177" s="353"/>
    </row>
    <row r="178" spans="1:7" ht="12.75" customHeight="1">
      <c r="A178" s="445"/>
      <c r="B178" s="445"/>
      <c r="C178" s="445"/>
      <c r="D178" s="445"/>
      <c r="E178" s="689" t="s">
        <v>336</v>
      </c>
      <c r="F178" s="689"/>
      <c r="G178" s="435"/>
    </row>
    <row r="179" spans="1:7" ht="13.5" customHeight="1" thickBot="1">
      <c r="A179" s="446"/>
      <c r="B179" s="688" t="s">
        <v>302</v>
      </c>
      <c r="C179" s="688"/>
      <c r="D179" s="688"/>
      <c r="E179" s="690"/>
      <c r="F179" s="690"/>
      <c r="G179" s="435"/>
    </row>
    <row r="180" spans="1:7">
      <c r="A180" s="447"/>
      <c r="B180" s="448"/>
      <c r="C180" s="449" t="s">
        <v>217</v>
      </c>
      <c r="D180" s="449"/>
      <c r="E180" s="450" t="s">
        <v>217</v>
      </c>
      <c r="F180" s="451"/>
      <c r="G180" s="353"/>
    </row>
    <row r="181" spans="1:7">
      <c r="A181" s="452"/>
      <c r="B181" s="517" t="s">
        <v>10</v>
      </c>
      <c r="C181" s="520" t="s">
        <v>318</v>
      </c>
      <c r="D181" s="518" t="s">
        <v>11</v>
      </c>
      <c r="E181" s="521" t="s">
        <v>318</v>
      </c>
      <c r="F181" s="519" t="s">
        <v>11</v>
      </c>
    </row>
    <row r="182" spans="1:7" ht="12.75" customHeight="1">
      <c r="A182" s="691" t="s">
        <v>64</v>
      </c>
      <c r="B182" s="453" t="s">
        <v>45</v>
      </c>
      <c r="C182" s="522"/>
      <c r="D182" s="454">
        <f>DEFAULTS!G107</f>
        <v>0</v>
      </c>
      <c r="E182" s="455"/>
      <c r="F182" s="456"/>
    </row>
    <row r="183" spans="1:7" ht="12.75" customHeight="1">
      <c r="A183" s="692"/>
      <c r="B183" s="457" t="s">
        <v>43</v>
      </c>
      <c r="C183" s="523"/>
      <c r="D183" s="458">
        <v>16.04</v>
      </c>
      <c r="E183" s="459"/>
      <c r="F183" s="460"/>
    </row>
    <row r="184" spans="1:7">
      <c r="A184" s="692"/>
      <c r="B184" s="461" t="s">
        <v>44</v>
      </c>
      <c r="C184" s="524"/>
      <c r="D184" s="462">
        <v>44.01</v>
      </c>
      <c r="E184" s="459"/>
      <c r="F184" s="460"/>
    </row>
    <row r="185" spans="1:7">
      <c r="A185" s="698"/>
      <c r="B185" s="463" t="s">
        <v>60</v>
      </c>
      <c r="C185" s="464">
        <v>4000</v>
      </c>
      <c r="D185" s="465">
        <v>86.18</v>
      </c>
      <c r="E185" s="466"/>
      <c r="F185" s="467"/>
    </row>
    <row r="186" spans="1:7" ht="38.25" customHeight="1">
      <c r="A186" s="691" t="s">
        <v>65</v>
      </c>
      <c r="B186" s="468" t="s">
        <v>86</v>
      </c>
      <c r="C186" s="469">
        <v>0.48</v>
      </c>
      <c r="D186" s="469">
        <v>133.41</v>
      </c>
      <c r="E186" s="470" t="str">
        <f>IF(POLLUTANTS!F14&gt;0,POLLUTANTS!F14,"")</f>
        <v/>
      </c>
      <c r="F186" s="471" t="str">
        <f>IF(POLLUTANTS!G14&gt;0,POLLUTANTS!G14,"")</f>
        <v/>
      </c>
    </row>
    <row r="187" spans="1:7" ht="38.25">
      <c r="A187" s="692"/>
      <c r="B187" s="472" t="s">
        <v>87</v>
      </c>
      <c r="C187" s="473">
        <v>1.1000000000000001</v>
      </c>
      <c r="D187" s="473">
        <v>167.85</v>
      </c>
      <c r="E187" s="529" t="str">
        <f>IF(POLLUTANTS!F15&gt;0,POLLUTANTS!F15,"")</f>
        <v/>
      </c>
      <c r="F187" s="530" t="str">
        <f>IF(POLLUTANTS!G15&gt;0,POLLUTANTS!G15,"")</f>
        <v/>
      </c>
    </row>
    <row r="188" spans="1:7" ht="38.25">
      <c r="A188" s="692"/>
      <c r="B188" s="472" t="s">
        <v>88</v>
      </c>
      <c r="C188" s="473">
        <v>2.4</v>
      </c>
      <c r="D188" s="473">
        <v>98.97</v>
      </c>
      <c r="E188" s="529" t="str">
        <f>IF(POLLUTANTS!F16&gt;0,POLLUTANTS!F16,"")</f>
        <v/>
      </c>
      <c r="F188" s="530" t="str">
        <f>IF(POLLUTANTS!G16&gt;0,POLLUTANTS!G16,"")</f>
        <v/>
      </c>
    </row>
    <row r="189" spans="1:7" ht="38.25">
      <c r="A189" s="692"/>
      <c r="B189" s="472" t="s">
        <v>89</v>
      </c>
      <c r="C189" s="474">
        <v>0.2</v>
      </c>
      <c r="D189" s="473">
        <v>96.94</v>
      </c>
      <c r="E189" s="529" t="str">
        <f>IF(POLLUTANTS!F17&gt;0,POLLUTANTS!F17,"")</f>
        <v/>
      </c>
      <c r="F189" s="530" t="str">
        <f>IF(POLLUTANTS!G17&gt;0,POLLUTANTS!G17,"")</f>
        <v/>
      </c>
    </row>
    <row r="190" spans="1:7" ht="38.25">
      <c r="A190" s="692"/>
      <c r="B190" s="472" t="s">
        <v>90</v>
      </c>
      <c r="C190" s="473">
        <v>0.41</v>
      </c>
      <c r="D190" s="473">
        <v>98.96</v>
      </c>
      <c r="E190" s="529" t="str">
        <f>IF(POLLUTANTS!F18&gt;0,POLLUTANTS!F18,"")</f>
        <v/>
      </c>
      <c r="F190" s="530" t="str">
        <f>IF(POLLUTANTS!G18&gt;0,POLLUTANTS!G18,"")</f>
        <v/>
      </c>
    </row>
    <row r="191" spans="1:7" ht="38.25">
      <c r="A191" s="692"/>
      <c r="B191" s="472" t="s">
        <v>91</v>
      </c>
      <c r="C191" s="473">
        <v>0.18</v>
      </c>
      <c r="D191" s="473">
        <v>112.99</v>
      </c>
      <c r="E191" s="529" t="str">
        <f>IF(POLLUTANTS!F19&gt;0,POLLUTANTS!F19,"")</f>
        <v/>
      </c>
      <c r="F191" s="530" t="str">
        <f>IF(POLLUTANTS!G19&gt;0,POLLUTANTS!G19,"")</f>
        <v/>
      </c>
    </row>
    <row r="192" spans="1:7" ht="25.5">
      <c r="A192" s="692"/>
      <c r="B192" s="472" t="s">
        <v>92</v>
      </c>
      <c r="C192" s="473">
        <v>50</v>
      </c>
      <c r="D192" s="473">
        <v>60.11</v>
      </c>
      <c r="E192" s="529" t="str">
        <f>IF(POLLUTANTS!F20&gt;0,POLLUTANTS!F20,"")</f>
        <v/>
      </c>
      <c r="F192" s="530" t="str">
        <f>IF(POLLUTANTS!G20&gt;0,POLLUTANTS!G20,"")</f>
        <v/>
      </c>
    </row>
    <row r="193" spans="1:6">
      <c r="A193" s="692"/>
      <c r="B193" s="472" t="s">
        <v>13</v>
      </c>
      <c r="C193" s="475">
        <v>7</v>
      </c>
      <c r="D193" s="473">
        <v>58.08</v>
      </c>
      <c r="E193" s="529" t="str">
        <f>IF(POLLUTANTS!F21&gt;0,POLLUTANTS!F21,"")</f>
        <v/>
      </c>
      <c r="F193" s="530" t="str">
        <f>IF(POLLUTANTS!G21&gt;0,POLLUTANTS!G21,"")</f>
        <v/>
      </c>
    </row>
    <row r="194" spans="1:6" ht="25.5">
      <c r="A194" s="692"/>
      <c r="B194" s="472" t="s">
        <v>93</v>
      </c>
      <c r="C194" s="473">
        <v>6.3</v>
      </c>
      <c r="D194" s="473">
        <v>53.06</v>
      </c>
      <c r="E194" s="529" t="str">
        <f>IF(POLLUTANTS!F22&gt;0,POLLUTANTS!F22,"")</f>
        <v/>
      </c>
      <c r="F194" s="530" t="str">
        <f>IF(POLLUTANTS!G22&gt;0,POLLUTANTS!G22,"")</f>
        <v/>
      </c>
    </row>
    <row r="195" spans="1:6" ht="38.25">
      <c r="A195" s="692"/>
      <c r="B195" s="472" t="s">
        <v>232</v>
      </c>
      <c r="C195" s="473">
        <v>1.9</v>
      </c>
      <c r="D195" s="473">
        <v>78.11</v>
      </c>
      <c r="E195" s="529" t="str">
        <f>IF(POLLUTANTS!F23&gt;0,POLLUTANTS!F23,"")</f>
        <v/>
      </c>
      <c r="F195" s="530" t="str">
        <f>IF(POLLUTANTS!G23&gt;0,POLLUTANTS!G23,"")</f>
        <v/>
      </c>
    </row>
    <row r="196" spans="1:6" ht="25.5">
      <c r="A196" s="692"/>
      <c r="B196" s="476" t="s">
        <v>233</v>
      </c>
      <c r="C196" s="473">
        <v>11</v>
      </c>
      <c r="D196" s="473">
        <v>78.11</v>
      </c>
      <c r="E196" s="529" t="str">
        <f>IF(POLLUTANTS!F24&gt;0,POLLUTANTS!F24,"")</f>
        <v/>
      </c>
      <c r="F196" s="530" t="str">
        <f>IF(POLLUTANTS!G24&gt;0,POLLUTANTS!G24,"")</f>
        <v/>
      </c>
    </row>
    <row r="197" spans="1:6" ht="25.5">
      <c r="A197" s="692"/>
      <c r="B197" s="472" t="s">
        <v>94</v>
      </c>
      <c r="C197" s="473">
        <v>3.1</v>
      </c>
      <c r="D197" s="473">
        <v>163.83000000000001</v>
      </c>
      <c r="E197" s="529" t="str">
        <f>IF(POLLUTANTS!F25&gt;0,POLLUTANTS!F25,"")</f>
        <v/>
      </c>
      <c r="F197" s="530" t="str">
        <f>IF(POLLUTANTS!G25&gt;0,POLLUTANTS!G25,"")</f>
        <v/>
      </c>
    </row>
    <row r="198" spans="1:6">
      <c r="A198" s="692"/>
      <c r="B198" s="476" t="s">
        <v>95</v>
      </c>
      <c r="C198" s="475">
        <v>5</v>
      </c>
      <c r="D198" s="473">
        <v>58.12</v>
      </c>
      <c r="E198" s="529" t="str">
        <f>IF(POLLUTANTS!F26&gt;0,POLLUTANTS!F26,"")</f>
        <v/>
      </c>
      <c r="F198" s="530" t="str">
        <f>IF(POLLUTANTS!G26&gt;0,POLLUTANTS!G26,"")</f>
        <v/>
      </c>
    </row>
    <row r="199" spans="1:6" ht="25.5">
      <c r="A199" s="692"/>
      <c r="B199" s="472" t="s">
        <v>96</v>
      </c>
      <c r="C199" s="473">
        <v>0.57999999999999996</v>
      </c>
      <c r="D199" s="473">
        <v>76.13</v>
      </c>
      <c r="E199" s="529" t="str">
        <f>IF(POLLUTANTS!F27&gt;0,POLLUTANTS!F27,"")</f>
        <v/>
      </c>
      <c r="F199" s="530" t="str">
        <f>IF(POLLUTANTS!G27&gt;0,POLLUTANTS!G27,"")</f>
        <v/>
      </c>
    </row>
    <row r="200" spans="1:6">
      <c r="A200" s="692"/>
      <c r="B200" s="472" t="s">
        <v>14</v>
      </c>
      <c r="C200" s="473">
        <v>140</v>
      </c>
      <c r="D200" s="473">
        <v>28.01</v>
      </c>
      <c r="E200" s="529" t="str">
        <f>IF(POLLUTANTS!F28&gt;0,POLLUTANTS!F28,"")</f>
        <v/>
      </c>
      <c r="F200" s="530" t="str">
        <f>IF(POLLUTANTS!G28&gt;0,POLLUTANTS!G28,"")</f>
        <v/>
      </c>
    </row>
    <row r="201" spans="1:6" ht="25.5">
      <c r="A201" s="692"/>
      <c r="B201" s="472" t="s">
        <v>97</v>
      </c>
      <c r="C201" s="477">
        <v>4.0000000000000001E-3</v>
      </c>
      <c r="D201" s="473">
        <v>153.84</v>
      </c>
      <c r="E201" s="529" t="str">
        <f>IF(POLLUTANTS!F29&gt;0,POLLUTANTS!F29,"")</f>
        <v/>
      </c>
      <c r="F201" s="530" t="str">
        <f>IF(POLLUTANTS!G29&gt;0,POLLUTANTS!G29,"")</f>
        <v/>
      </c>
    </row>
    <row r="202" spans="1:6" ht="25.5">
      <c r="A202" s="692"/>
      <c r="B202" s="472" t="s">
        <v>98</v>
      </c>
      <c r="C202" s="473">
        <v>0.49</v>
      </c>
      <c r="D202" s="473">
        <v>60.07</v>
      </c>
      <c r="E202" s="529" t="str">
        <f>IF(POLLUTANTS!F30&gt;0,POLLUTANTS!F30,"")</f>
        <v/>
      </c>
      <c r="F202" s="530" t="str">
        <f>IF(POLLUTANTS!G30&gt;0,POLLUTANTS!G30,"")</f>
        <v/>
      </c>
    </row>
    <row r="203" spans="1:6" ht="25.5">
      <c r="A203" s="692"/>
      <c r="B203" s="472" t="s">
        <v>99</v>
      </c>
      <c r="C203" s="473">
        <v>0.25</v>
      </c>
      <c r="D203" s="473">
        <v>112.56</v>
      </c>
      <c r="E203" s="529" t="str">
        <f>IF(POLLUTANTS!F31&gt;0,POLLUTANTS!F31,"")</f>
        <v/>
      </c>
      <c r="F203" s="530" t="str">
        <f>IF(POLLUTANTS!G31&gt;0,POLLUTANTS!G31,"")</f>
        <v/>
      </c>
    </row>
    <row r="204" spans="1:6">
      <c r="A204" s="692"/>
      <c r="B204" s="472" t="s">
        <v>15</v>
      </c>
      <c r="C204" s="475">
        <v>1.3</v>
      </c>
      <c r="D204" s="473">
        <v>86.47</v>
      </c>
      <c r="E204" s="529" t="str">
        <f>IF(POLLUTANTS!F32&gt;0,POLLUTANTS!F32,"")</f>
        <v/>
      </c>
      <c r="F204" s="530" t="str">
        <f>IF(POLLUTANTS!G32&gt;0,POLLUTANTS!G32,"")</f>
        <v/>
      </c>
    </row>
    <row r="205" spans="1:6" ht="25.5">
      <c r="A205" s="692"/>
      <c r="B205" s="472" t="s">
        <v>100</v>
      </c>
      <c r="C205" s="473">
        <v>1.3</v>
      </c>
      <c r="D205" s="473">
        <v>64.52</v>
      </c>
      <c r="E205" s="529" t="str">
        <f>IF(POLLUTANTS!F33&gt;0,POLLUTANTS!F33,"")</f>
        <v/>
      </c>
      <c r="F205" s="530" t="str">
        <f>IF(POLLUTANTS!G33&gt;0,POLLUTANTS!G33,"")</f>
        <v/>
      </c>
    </row>
    <row r="206" spans="1:6">
      <c r="A206" s="692"/>
      <c r="B206" s="472" t="s">
        <v>101</v>
      </c>
      <c r="C206" s="473">
        <v>0.03</v>
      </c>
      <c r="D206" s="473">
        <v>119.39</v>
      </c>
      <c r="E206" s="529" t="str">
        <f>IF(POLLUTANTS!F34&gt;0,POLLUTANTS!F34,"")</f>
        <v/>
      </c>
      <c r="F206" s="530" t="str">
        <f>IF(POLLUTANTS!G34&gt;0,POLLUTANTS!G34,"")</f>
        <v/>
      </c>
    </row>
    <row r="207" spans="1:6">
      <c r="A207" s="692"/>
      <c r="B207" s="472" t="s">
        <v>102</v>
      </c>
      <c r="C207" s="473">
        <v>1.2</v>
      </c>
      <c r="D207" s="473">
        <v>50.49</v>
      </c>
      <c r="E207" s="529" t="str">
        <f>IF(POLLUTANTS!F35&gt;0,POLLUTANTS!F35,"")</f>
        <v/>
      </c>
      <c r="F207" s="530" t="str">
        <f>IF(POLLUTANTS!G35&gt;0,POLLUTANTS!G35,"")</f>
        <v/>
      </c>
    </row>
    <row r="208" spans="1:6" ht="38.25">
      <c r="A208" s="692"/>
      <c r="B208" s="472" t="s">
        <v>103</v>
      </c>
      <c r="C208" s="473">
        <v>0.21</v>
      </c>
      <c r="D208" s="473">
        <v>147</v>
      </c>
      <c r="E208" s="529" t="str">
        <f>IF(POLLUTANTS!F36&gt;0,POLLUTANTS!F36,"")</f>
        <v/>
      </c>
      <c r="F208" s="530" t="str">
        <f>IF(POLLUTANTS!G36&gt;0,POLLUTANTS!G36,"")</f>
        <v/>
      </c>
    </row>
    <row r="209" spans="1:7" ht="25.5">
      <c r="A209" s="692"/>
      <c r="B209" s="541" t="s">
        <v>16</v>
      </c>
      <c r="C209" s="473">
        <v>16</v>
      </c>
      <c r="D209" s="478">
        <v>120.91</v>
      </c>
      <c r="E209" s="529" t="str">
        <f>IF(POLLUTANTS!F37&gt;0,POLLUTANTS!F37,"")</f>
        <v/>
      </c>
      <c r="F209" s="530" t="str">
        <f>IF(POLLUTANTS!G37&gt;0,POLLUTANTS!G37,"")</f>
        <v/>
      </c>
    </row>
    <row r="210" spans="1:7" ht="25.5">
      <c r="A210" s="692"/>
      <c r="B210" s="479" t="s">
        <v>104</v>
      </c>
      <c r="C210" s="480">
        <v>2.6</v>
      </c>
      <c r="D210" s="480">
        <v>102.92</v>
      </c>
      <c r="E210" s="529" t="str">
        <f>IF(POLLUTANTS!F38&gt;0,POLLUTANTS!F38,"")</f>
        <v/>
      </c>
      <c r="F210" s="530" t="str">
        <f>IF(POLLUTANTS!G38&gt;0,POLLUTANTS!G38,"")</f>
        <v/>
      </c>
    </row>
    <row r="211" spans="1:7" ht="38.25">
      <c r="A211" s="692"/>
      <c r="B211" s="472" t="s">
        <v>105</v>
      </c>
      <c r="C211" s="473">
        <v>14</v>
      </c>
      <c r="D211" s="473">
        <v>84.94</v>
      </c>
      <c r="E211" s="529" t="str">
        <f>IF(POLLUTANTS!F39&gt;0,POLLUTANTS!F39,"")</f>
        <v/>
      </c>
      <c r="F211" s="530" t="str">
        <f>IF(POLLUTANTS!G39&gt;0,POLLUTANTS!G39,"")</f>
        <v/>
      </c>
    </row>
    <row r="212" spans="1:7" ht="25.5">
      <c r="A212" s="692"/>
      <c r="B212" s="472" t="s">
        <v>106</v>
      </c>
      <c r="C212" s="473">
        <v>7.8</v>
      </c>
      <c r="D212" s="473">
        <v>62.13</v>
      </c>
      <c r="E212" s="529" t="str">
        <f>IF(POLLUTANTS!F40&gt;0,POLLUTANTS!F40,"")</f>
        <v/>
      </c>
      <c r="F212" s="530" t="str">
        <f>IF(POLLUTANTS!G40&gt;0,POLLUTANTS!G40,"")</f>
        <v/>
      </c>
    </row>
    <row r="213" spans="1:7">
      <c r="A213" s="692"/>
      <c r="B213" s="472" t="s">
        <v>17</v>
      </c>
      <c r="C213" s="473">
        <v>890</v>
      </c>
      <c r="D213" s="473">
        <v>30.07</v>
      </c>
      <c r="E213" s="529" t="str">
        <f>IF(POLLUTANTS!F41&gt;0,POLLUTANTS!F41,"")</f>
        <v/>
      </c>
      <c r="F213" s="530" t="str">
        <f>IF(POLLUTANTS!G41&gt;0,POLLUTANTS!G41,"")</f>
        <v/>
      </c>
    </row>
    <row r="214" spans="1:7">
      <c r="A214" s="692"/>
      <c r="B214" s="533" t="s">
        <v>107</v>
      </c>
      <c r="C214" s="534">
        <v>27</v>
      </c>
      <c r="D214" s="534">
        <v>46.08</v>
      </c>
      <c r="E214" s="535" t="str">
        <f>IF(POLLUTANTS!F42&gt;0,POLLUTANTS!F42,"")</f>
        <v/>
      </c>
      <c r="F214" s="536" t="str">
        <f>IF(POLLUTANTS!G42&gt;0,POLLUTANTS!G42,"")</f>
        <v/>
      </c>
      <c r="G214" s="542"/>
    </row>
    <row r="215" spans="1:7">
      <c r="A215" s="537"/>
      <c r="B215" s="538"/>
      <c r="C215" s="539"/>
      <c r="D215" s="539"/>
      <c r="E215" s="540"/>
      <c r="F215" s="540"/>
      <c r="G215" s="353"/>
    </row>
    <row r="216" spans="1:7">
      <c r="G216" s="353"/>
    </row>
    <row r="217" spans="1:7" ht="18">
      <c r="A217" s="443" t="s">
        <v>337</v>
      </c>
      <c r="B217" s="444"/>
      <c r="C217" s="444"/>
      <c r="D217" s="444"/>
      <c r="E217" s="444"/>
      <c r="F217" s="444"/>
      <c r="G217" s="353"/>
    </row>
    <row r="218" spans="1:7">
      <c r="A218" s="445"/>
      <c r="B218" s="445"/>
      <c r="C218" s="445"/>
      <c r="D218" s="445"/>
      <c r="E218" s="689" t="s">
        <v>336</v>
      </c>
      <c r="F218" s="689"/>
      <c r="G218" s="353"/>
    </row>
    <row r="219" spans="1:7" ht="13.5" thickBot="1">
      <c r="A219" s="446"/>
      <c r="B219" s="688" t="s">
        <v>302</v>
      </c>
      <c r="C219" s="688"/>
      <c r="D219" s="688"/>
      <c r="E219" s="690"/>
      <c r="F219" s="690"/>
      <c r="G219" s="353"/>
    </row>
    <row r="220" spans="1:7">
      <c r="A220" s="447"/>
      <c r="B220" s="448"/>
      <c r="C220" s="449" t="s">
        <v>217</v>
      </c>
      <c r="D220" s="449"/>
      <c r="E220" s="450" t="s">
        <v>217</v>
      </c>
      <c r="F220" s="451"/>
      <c r="G220" s="353"/>
    </row>
    <row r="221" spans="1:7">
      <c r="A221" s="452"/>
      <c r="B221" s="517" t="s">
        <v>10</v>
      </c>
      <c r="C221" s="520" t="s">
        <v>318</v>
      </c>
      <c r="D221" s="518" t="s">
        <v>11</v>
      </c>
      <c r="E221" s="521" t="s">
        <v>318</v>
      </c>
      <c r="F221" s="519" t="s">
        <v>11</v>
      </c>
      <c r="G221" s="353"/>
    </row>
    <row r="222" spans="1:7" ht="25.5">
      <c r="A222" s="693" t="s">
        <v>65</v>
      </c>
      <c r="B222" s="468" t="s">
        <v>108</v>
      </c>
      <c r="C222" s="469">
        <v>2.2999999999999998</v>
      </c>
      <c r="D222" s="469">
        <v>62.13</v>
      </c>
      <c r="E222" s="529" t="str">
        <f>IF(POLLUTANTS!F43&gt;0,POLLUTANTS!F43,"")</f>
        <v/>
      </c>
      <c r="F222" s="530" t="str">
        <f>IF(POLLUTANTS!G43&gt;0,POLLUTANTS!G43,"")</f>
        <v/>
      </c>
    </row>
    <row r="223" spans="1:7" ht="25.5">
      <c r="A223" s="694"/>
      <c r="B223" s="472" t="s">
        <v>109</v>
      </c>
      <c r="C223" s="473">
        <v>4.5999999999999996</v>
      </c>
      <c r="D223" s="473">
        <v>106.16</v>
      </c>
      <c r="E223" s="529" t="str">
        <f>IF(POLLUTANTS!F44&gt;0,POLLUTANTS!F44,"")</f>
        <v/>
      </c>
      <c r="F223" s="530" t="str">
        <f>IF(POLLUTANTS!G44&gt;0,POLLUTANTS!G44,"")</f>
        <v/>
      </c>
    </row>
    <row r="224" spans="1:7" ht="25.5">
      <c r="A224" s="694"/>
      <c r="B224" s="472" t="s">
        <v>110</v>
      </c>
      <c r="C224" s="477">
        <v>1E-3</v>
      </c>
      <c r="D224" s="473">
        <v>187.88</v>
      </c>
      <c r="E224" s="529" t="str">
        <f>IF(POLLUTANTS!F45&gt;0,POLLUTANTS!F45,"")</f>
        <v/>
      </c>
      <c r="F224" s="530" t="str">
        <f>IF(POLLUTANTS!G45&gt;0,POLLUTANTS!G45,"")</f>
        <v/>
      </c>
    </row>
    <row r="225" spans="1:6" ht="25.5">
      <c r="A225" s="694"/>
      <c r="B225" s="472" t="s">
        <v>111</v>
      </c>
      <c r="C225" s="473">
        <v>0.76</v>
      </c>
      <c r="D225" s="473">
        <v>137.38</v>
      </c>
      <c r="E225" s="529" t="str">
        <f>IF(POLLUTANTS!F46&gt;0,POLLUTANTS!F46,"")</f>
        <v/>
      </c>
      <c r="F225" s="530" t="str">
        <f>IF(POLLUTANTS!G46&gt;0,POLLUTANTS!G46,"")</f>
        <v/>
      </c>
    </row>
    <row r="226" spans="1:6">
      <c r="A226" s="694"/>
      <c r="B226" s="472" t="s">
        <v>112</v>
      </c>
      <c r="C226" s="473">
        <v>6.6</v>
      </c>
      <c r="D226" s="473">
        <v>86.18</v>
      </c>
      <c r="E226" s="529" t="str">
        <f>IF(POLLUTANTS!F47&gt;0,POLLUTANTS!F47,"")</f>
        <v/>
      </c>
      <c r="F226" s="530" t="str">
        <f>IF(POLLUTANTS!G47&gt;0,POLLUTANTS!G47,"")</f>
        <v/>
      </c>
    </row>
    <row r="227" spans="1:6">
      <c r="A227" s="694"/>
      <c r="B227" s="472" t="s">
        <v>18</v>
      </c>
      <c r="C227" s="473">
        <v>36</v>
      </c>
      <c r="D227" s="473">
        <v>34.08</v>
      </c>
      <c r="E227" s="529" t="str">
        <f>IF(POLLUTANTS!F48&gt;0,POLLUTANTS!F48,"")</f>
        <v/>
      </c>
      <c r="F227" s="530" t="str">
        <f>IF(POLLUTANTS!G48&gt;0,POLLUTANTS!G48,"")</f>
        <v/>
      </c>
    </row>
    <row r="228" spans="1:6">
      <c r="A228" s="694"/>
      <c r="B228" s="472" t="s">
        <v>113</v>
      </c>
      <c r="C228" s="477">
        <v>2.9E-4</v>
      </c>
      <c r="D228" s="473">
        <v>200.61</v>
      </c>
      <c r="E228" s="529" t="str">
        <f>IF(POLLUTANTS!F49&gt;0,POLLUTANTS!F49,"")</f>
        <v/>
      </c>
      <c r="F228" s="530" t="str">
        <f>IF(POLLUTANTS!G49&gt;0,POLLUTANTS!G49,"")</f>
        <v/>
      </c>
    </row>
    <row r="229" spans="1:6" ht="25.5">
      <c r="A229" s="694"/>
      <c r="B229" s="472" t="s">
        <v>114</v>
      </c>
      <c r="C229" s="473">
        <v>7.1</v>
      </c>
      <c r="D229" s="473">
        <v>72.11</v>
      </c>
      <c r="E229" s="529" t="str">
        <f>IF(POLLUTANTS!F50&gt;0,POLLUTANTS!F50,"")</f>
        <v/>
      </c>
      <c r="F229" s="530" t="str">
        <f>IF(POLLUTANTS!G50&gt;0,POLLUTANTS!G50,"")</f>
        <v/>
      </c>
    </row>
    <row r="230" spans="1:6" ht="25.5">
      <c r="A230" s="694"/>
      <c r="B230" s="472" t="s">
        <v>115</v>
      </c>
      <c r="C230" s="473">
        <v>1.9</v>
      </c>
      <c r="D230" s="473">
        <v>100.16</v>
      </c>
      <c r="E230" s="529" t="str">
        <f>IF(POLLUTANTS!F51&gt;0,POLLUTANTS!F51,"")</f>
        <v/>
      </c>
      <c r="F230" s="530" t="str">
        <f>IF(POLLUTANTS!G51&gt;0,POLLUTANTS!G51,"")</f>
        <v/>
      </c>
    </row>
    <row r="231" spans="1:6" ht="25.5">
      <c r="A231" s="694"/>
      <c r="B231" s="472" t="s">
        <v>116</v>
      </c>
      <c r="C231" s="473">
        <v>2.5</v>
      </c>
      <c r="D231" s="473">
        <v>48.11</v>
      </c>
      <c r="E231" s="529" t="str">
        <f>IF(POLLUTANTS!F52&gt;0,POLLUTANTS!F52,"")</f>
        <v/>
      </c>
      <c r="F231" s="530" t="str">
        <f>IF(POLLUTANTS!G52&gt;0,POLLUTANTS!G52,"")</f>
        <v/>
      </c>
    </row>
    <row r="232" spans="1:6">
      <c r="A232" s="694"/>
      <c r="B232" s="472" t="s">
        <v>117</v>
      </c>
      <c r="C232" s="473">
        <v>3.3</v>
      </c>
      <c r="D232" s="473">
        <v>72.150000000000006</v>
      </c>
      <c r="E232" s="529" t="str">
        <f>IF(POLLUTANTS!F53&gt;0,POLLUTANTS!F53,"")</f>
        <v/>
      </c>
      <c r="F232" s="530" t="str">
        <f>IF(POLLUTANTS!G53&gt;0,POLLUTANTS!G53,"")</f>
        <v/>
      </c>
    </row>
    <row r="233" spans="1:6" ht="38.25">
      <c r="A233" s="694"/>
      <c r="B233" s="472" t="s">
        <v>118</v>
      </c>
      <c r="C233" s="473">
        <v>3.7</v>
      </c>
      <c r="D233" s="473">
        <v>165.83</v>
      </c>
      <c r="E233" s="529" t="str">
        <f>IF(POLLUTANTS!F54&gt;0,POLLUTANTS!F54,"")</f>
        <v/>
      </c>
      <c r="F233" s="530" t="str">
        <f>IF(POLLUTANTS!G54&gt;0,POLLUTANTS!G54,"")</f>
        <v/>
      </c>
    </row>
    <row r="234" spans="1:6">
      <c r="A234" s="694"/>
      <c r="B234" s="472" t="s">
        <v>119</v>
      </c>
      <c r="C234" s="473">
        <v>11</v>
      </c>
      <c r="D234" s="473">
        <v>44.09</v>
      </c>
      <c r="E234" s="529" t="str">
        <f>IF(POLLUTANTS!F55&gt;0,POLLUTANTS!F55,"")</f>
        <v/>
      </c>
      <c r="F234" s="530" t="str">
        <f>IF(POLLUTANTS!G55&gt;0,POLLUTANTS!G55,"")</f>
        <v/>
      </c>
    </row>
    <row r="235" spans="1:6" ht="25.5">
      <c r="A235" s="694"/>
      <c r="B235" s="472" t="s">
        <v>120</v>
      </c>
      <c r="C235" s="473">
        <v>2.8</v>
      </c>
      <c r="D235" s="473">
        <v>96.94</v>
      </c>
      <c r="E235" s="529" t="str">
        <f>IF(POLLUTANTS!F56&gt;0,POLLUTANTS!F56,"")</f>
        <v/>
      </c>
      <c r="F235" s="530" t="str">
        <f>IF(POLLUTANTS!G56&gt;0,POLLUTANTS!G56,"")</f>
        <v/>
      </c>
    </row>
    <row r="236" spans="1:6" ht="38.25">
      <c r="A236" s="694"/>
      <c r="B236" s="472" t="s">
        <v>234</v>
      </c>
      <c r="C236" s="473">
        <v>39</v>
      </c>
      <c r="D236" s="473">
        <v>92.13</v>
      </c>
      <c r="E236" s="529" t="str">
        <f>IF(POLLUTANTS!F57&gt;0,POLLUTANTS!F57,"")</f>
        <v/>
      </c>
      <c r="F236" s="530" t="str">
        <f>IF(POLLUTANTS!G57&gt;0,POLLUTANTS!G57,"")</f>
        <v/>
      </c>
    </row>
    <row r="237" spans="1:6" ht="25.5">
      <c r="A237" s="694"/>
      <c r="B237" s="472" t="s">
        <v>235</v>
      </c>
      <c r="C237" s="473">
        <v>170</v>
      </c>
      <c r="D237" s="473">
        <v>92.13</v>
      </c>
      <c r="E237" s="529" t="str">
        <f>IF(POLLUTANTS!F58&gt;0,POLLUTANTS!F58,"")</f>
        <v/>
      </c>
      <c r="F237" s="530" t="str">
        <f>IF(POLLUTANTS!G58&gt;0,POLLUTANTS!G58,"")</f>
        <v/>
      </c>
    </row>
    <row r="238" spans="1:6" ht="38.25">
      <c r="A238" s="694"/>
      <c r="B238" s="472" t="s">
        <v>121</v>
      </c>
      <c r="C238" s="473">
        <v>2.8</v>
      </c>
      <c r="D238" s="474">
        <v>131.4</v>
      </c>
      <c r="E238" s="529" t="str">
        <f>IF(POLLUTANTS!F59&gt;0,POLLUTANTS!F59,"")</f>
        <v/>
      </c>
      <c r="F238" s="530" t="str">
        <f>IF(POLLUTANTS!G59&gt;0,POLLUTANTS!G59,"")</f>
        <v/>
      </c>
    </row>
    <row r="239" spans="1:6" ht="25.5">
      <c r="A239" s="694"/>
      <c r="B239" s="472" t="s">
        <v>122</v>
      </c>
      <c r="C239" s="473">
        <v>7.3</v>
      </c>
      <c r="D239" s="474">
        <v>62.5</v>
      </c>
      <c r="E239" s="529" t="str">
        <f>IF(POLLUTANTS!F60&gt;0,POLLUTANTS!F60,"")</f>
        <v/>
      </c>
      <c r="F239" s="530" t="str">
        <f>IF(POLLUTANTS!G60&gt;0,POLLUTANTS!G60,"")</f>
        <v/>
      </c>
    </row>
    <row r="240" spans="1:6" ht="13.5" thickBot="1">
      <c r="A240" s="694"/>
      <c r="B240" s="482" t="s">
        <v>123</v>
      </c>
      <c r="C240" s="483">
        <v>12</v>
      </c>
      <c r="D240" s="483">
        <v>106.16</v>
      </c>
      <c r="E240" s="531" t="str">
        <f>IF(POLLUTANTS!F61&gt;0,POLLUTANTS!F61,"")</f>
        <v/>
      </c>
      <c r="F240" s="532" t="str">
        <f>IF(POLLUTANTS!G61&gt;0,POLLUTANTS!G61,"")</f>
        <v/>
      </c>
    </row>
    <row r="241" spans="1:6" ht="38.25" customHeight="1">
      <c r="A241" s="694"/>
      <c r="B241" s="484" t="str">
        <f>IF(POLLUTANTS!B64="","",POLLUTANTS!B64)</f>
        <v/>
      </c>
      <c r="C241" s="485"/>
      <c r="D241" s="485"/>
      <c r="E241" s="486" t="str">
        <f>IF(POLLUTANTS!C64&gt;0,POLLUTANTS!C64,"")</f>
        <v/>
      </c>
      <c r="F241" s="481" t="str">
        <f>IF(POLLUTANTS!D64&gt;0,POLLUTANTS!D64,"")</f>
        <v/>
      </c>
    </row>
    <row r="242" spans="1:6" ht="38.25" customHeight="1">
      <c r="A242" s="694"/>
      <c r="B242" s="484" t="str">
        <f>IF(POLLUTANTS!B65="","",POLLUTANTS!B65)</f>
        <v/>
      </c>
      <c r="C242" s="485"/>
      <c r="D242" s="485"/>
      <c r="E242" s="486" t="str">
        <f>IF(POLLUTANTS!C65&gt;0,POLLUTANTS!C65,"")</f>
        <v/>
      </c>
      <c r="F242" s="481" t="str">
        <f>IF(POLLUTANTS!D65&gt;0,POLLUTANTS!D65,"")</f>
        <v/>
      </c>
    </row>
    <row r="243" spans="1:6" ht="38.25" customHeight="1">
      <c r="A243" s="694"/>
      <c r="B243" s="484" t="str">
        <f>IF(POLLUTANTS!B66="","",POLLUTANTS!B66)</f>
        <v/>
      </c>
      <c r="C243" s="485"/>
      <c r="D243" s="485"/>
      <c r="E243" s="486" t="str">
        <f>IF(POLLUTANTS!C66&gt;0,POLLUTANTS!C66,"")</f>
        <v/>
      </c>
      <c r="F243" s="481" t="str">
        <f>IF(POLLUTANTS!D66&gt;0,POLLUTANTS!D66,"")</f>
        <v/>
      </c>
    </row>
    <row r="244" spans="1:6" ht="38.25" customHeight="1">
      <c r="A244" s="694"/>
      <c r="B244" s="484" t="str">
        <f>IF(POLLUTANTS!B67="","",POLLUTANTS!B67)</f>
        <v/>
      </c>
      <c r="C244" s="485"/>
      <c r="D244" s="485"/>
      <c r="E244" s="486" t="str">
        <f>IF(POLLUTANTS!C67&gt;0,POLLUTANTS!C67,"")</f>
        <v/>
      </c>
      <c r="F244" s="481" t="str">
        <f>IF(POLLUTANTS!D67&gt;0,POLLUTANTS!D67,"")</f>
        <v/>
      </c>
    </row>
    <row r="245" spans="1:6" ht="38.25" customHeight="1">
      <c r="A245" s="694"/>
      <c r="B245" s="484" t="str">
        <f>IF(POLLUTANTS!B68="","",POLLUTANTS!B68)</f>
        <v/>
      </c>
      <c r="C245" s="485"/>
      <c r="D245" s="485"/>
      <c r="E245" s="486" t="str">
        <f>IF(POLLUTANTS!C68&gt;0,POLLUTANTS!C68,"")</f>
        <v/>
      </c>
      <c r="F245" s="481" t="str">
        <f>IF(POLLUTANTS!D68&gt;0,POLLUTANTS!D68,"")</f>
        <v/>
      </c>
    </row>
    <row r="246" spans="1:6" ht="38.25" customHeight="1">
      <c r="A246" s="694"/>
      <c r="B246" s="484" t="str">
        <f>IF(POLLUTANTS!B69="","",POLLUTANTS!B69)</f>
        <v/>
      </c>
      <c r="C246" s="485"/>
      <c r="D246" s="485"/>
      <c r="E246" s="486" t="str">
        <f>IF(POLLUTANTS!C69&gt;0,POLLUTANTS!C69,"")</f>
        <v/>
      </c>
      <c r="F246" s="481" t="str">
        <f>IF(POLLUTANTS!D69&gt;0,POLLUTANTS!D69,"")</f>
        <v/>
      </c>
    </row>
    <row r="247" spans="1:6" ht="38.25" customHeight="1">
      <c r="A247" s="694"/>
      <c r="B247" s="484" t="str">
        <f>IF(POLLUTANTS!B70="","",POLLUTANTS!B70)</f>
        <v/>
      </c>
      <c r="C247" s="485"/>
      <c r="D247" s="485"/>
      <c r="E247" s="486" t="str">
        <f>IF(POLLUTANTS!C70&gt;0,POLLUTANTS!C70,"")</f>
        <v/>
      </c>
      <c r="F247" s="481" t="str">
        <f>IF(POLLUTANTS!D70&gt;0,POLLUTANTS!D70,"")</f>
        <v/>
      </c>
    </row>
    <row r="248" spans="1:6" ht="38.25" customHeight="1">
      <c r="A248" s="694"/>
      <c r="B248" s="484" t="str">
        <f>IF(POLLUTANTS!B71="","",POLLUTANTS!B71)</f>
        <v/>
      </c>
      <c r="C248" s="485"/>
      <c r="D248" s="485"/>
      <c r="E248" s="486" t="str">
        <f>IF(POLLUTANTS!C71&gt;0,POLLUTANTS!C71,"")</f>
        <v/>
      </c>
      <c r="F248" s="481" t="str">
        <f>IF(POLLUTANTS!D71&gt;0,POLLUTANTS!D71,"")</f>
        <v/>
      </c>
    </row>
    <row r="249" spans="1:6" ht="38.25" customHeight="1">
      <c r="A249" s="694"/>
      <c r="B249" s="484" t="str">
        <f>IF(POLLUTANTS!B72="","",POLLUTANTS!B72)</f>
        <v/>
      </c>
      <c r="C249" s="485"/>
      <c r="D249" s="485"/>
      <c r="E249" s="486" t="str">
        <f>IF(POLLUTANTS!C72&gt;0,POLLUTANTS!C72,"")</f>
        <v/>
      </c>
      <c r="F249" s="481" t="str">
        <f>IF(POLLUTANTS!D72&gt;0,POLLUTANTS!D72,"")</f>
        <v/>
      </c>
    </row>
    <row r="250" spans="1:6" ht="38.25" customHeight="1" thickBot="1">
      <c r="A250" s="695"/>
      <c r="B250" s="487" t="str">
        <f>IF(POLLUTANTS!B73="","",POLLUTANTS!B73)</f>
        <v/>
      </c>
      <c r="C250" s="488"/>
      <c r="D250" s="488"/>
      <c r="E250" s="489" t="str">
        <f>IF(POLLUTANTS!C73&gt;0,POLLUTANTS!C73,"")</f>
        <v/>
      </c>
      <c r="F250" s="490" t="str">
        <f>IF(POLLUTANTS!D73&gt;0,POLLUTANTS!D73,"")</f>
        <v/>
      </c>
    </row>
    <row r="253" spans="1:6" ht="18">
      <c r="A253" s="308" t="s">
        <v>240</v>
      </c>
    </row>
    <row r="316" spans="1:7" ht="18">
      <c r="A316" s="308" t="s">
        <v>241</v>
      </c>
    </row>
    <row r="317" spans="1:7" ht="13.5" thickBot="1"/>
    <row r="318" spans="1:7">
      <c r="A318" s="668" t="s">
        <v>5</v>
      </c>
      <c r="B318" s="661" t="str">
        <f>RESULTS!$F$7</f>
        <v/>
      </c>
      <c r="C318" s="662"/>
      <c r="D318" s="666"/>
      <c r="E318" s="661" t="str">
        <f>RESULTS!$I$7</f>
        <v/>
      </c>
      <c r="F318" s="662"/>
      <c r="G318" s="663"/>
    </row>
    <row r="319" spans="1:7" ht="14.25">
      <c r="A319" s="680"/>
      <c r="B319" s="53" t="s">
        <v>50</v>
      </c>
      <c r="C319" s="53" t="s">
        <v>345</v>
      </c>
      <c r="D319" s="53" t="str">
        <f>RESULTS!$H$8</f>
        <v>(av ft^3/min)</v>
      </c>
      <c r="E319" s="53" t="s">
        <v>50</v>
      </c>
      <c r="F319" s="53" t="s">
        <v>345</v>
      </c>
      <c r="G319" s="303" t="str">
        <f>RESULTS!$H$8</f>
        <v>(av ft^3/min)</v>
      </c>
    </row>
    <row r="320" spans="1:7">
      <c r="A320" s="154">
        <f>RESULTS!A9</f>
        <v>2018</v>
      </c>
      <c r="B320" s="167">
        <f>RESULTS!F9</f>
        <v>0</v>
      </c>
      <c r="C320" s="167">
        <f>RESULTS!G9</f>
        <v>0</v>
      </c>
      <c r="D320" s="167">
        <f>RESULTS!H9</f>
        <v>0</v>
      </c>
      <c r="E320" s="167">
        <f>RESULTS!I9</f>
        <v>0</v>
      </c>
      <c r="F320" s="167">
        <f>RESULTS!J9</f>
        <v>0</v>
      </c>
      <c r="G320" s="168">
        <f>RESULTS!K9</f>
        <v>0</v>
      </c>
    </row>
    <row r="321" spans="1:7">
      <c r="A321" s="68">
        <f>RESULTS!A10</f>
        <v>2019</v>
      </c>
      <c r="B321" s="62">
        <f>RESULTS!F10</f>
        <v>0</v>
      </c>
      <c r="C321" s="62">
        <f>RESULTS!G10</f>
        <v>0</v>
      </c>
      <c r="D321" s="62">
        <f>RESULTS!H10</f>
        <v>0</v>
      </c>
      <c r="E321" s="62">
        <f>RESULTS!I10</f>
        <v>0</v>
      </c>
      <c r="F321" s="62">
        <f>RESULTS!J10</f>
        <v>0</v>
      </c>
      <c r="G321" s="162">
        <f>RESULTS!K10</f>
        <v>0</v>
      </c>
    </row>
    <row r="322" spans="1:7">
      <c r="A322" s="68">
        <f>RESULTS!A11</f>
        <v>2020</v>
      </c>
      <c r="B322" s="62">
        <f>RESULTS!F11</f>
        <v>0</v>
      </c>
      <c r="C322" s="62">
        <f>RESULTS!G11</f>
        <v>0</v>
      </c>
      <c r="D322" s="62">
        <f>RESULTS!H11</f>
        <v>0</v>
      </c>
      <c r="E322" s="62">
        <f>RESULTS!I11</f>
        <v>0</v>
      </c>
      <c r="F322" s="62">
        <f>RESULTS!J11</f>
        <v>0</v>
      </c>
      <c r="G322" s="162">
        <f>RESULTS!K11</f>
        <v>0</v>
      </c>
    </row>
    <row r="323" spans="1:7">
      <c r="A323" s="68">
        <f>RESULTS!A12</f>
        <v>2021</v>
      </c>
      <c r="B323" s="62">
        <f>RESULTS!F12</f>
        <v>0</v>
      </c>
      <c r="C323" s="62">
        <f>RESULTS!G12</f>
        <v>0</v>
      </c>
      <c r="D323" s="62">
        <f>RESULTS!H12</f>
        <v>0</v>
      </c>
      <c r="E323" s="62">
        <f>RESULTS!I12</f>
        <v>0</v>
      </c>
      <c r="F323" s="62">
        <f>RESULTS!J12</f>
        <v>0</v>
      </c>
      <c r="G323" s="162">
        <f>RESULTS!K12</f>
        <v>0</v>
      </c>
    </row>
    <row r="324" spans="1:7">
      <c r="A324" s="68">
        <f>RESULTS!A13</f>
        <v>2022</v>
      </c>
      <c r="B324" s="62">
        <f>RESULTS!F13</f>
        <v>0</v>
      </c>
      <c r="C324" s="62">
        <f>RESULTS!G13</f>
        <v>0</v>
      </c>
      <c r="D324" s="62">
        <f>RESULTS!H13</f>
        <v>0</v>
      </c>
      <c r="E324" s="62">
        <f>RESULTS!I13</f>
        <v>0</v>
      </c>
      <c r="F324" s="62">
        <f>RESULTS!J13</f>
        <v>0</v>
      </c>
      <c r="G324" s="162">
        <f>RESULTS!K13</f>
        <v>0</v>
      </c>
    </row>
    <row r="325" spans="1:7">
      <c r="A325" s="68">
        <f>RESULTS!A14</f>
        <v>2023</v>
      </c>
      <c r="B325" s="62">
        <f>RESULTS!F14</f>
        <v>0</v>
      </c>
      <c r="C325" s="62">
        <f>RESULTS!G14</f>
        <v>0</v>
      </c>
      <c r="D325" s="62">
        <f>RESULTS!H14</f>
        <v>0</v>
      </c>
      <c r="E325" s="62">
        <f>RESULTS!I14</f>
        <v>0</v>
      </c>
      <c r="F325" s="62">
        <f>RESULTS!J14</f>
        <v>0</v>
      </c>
      <c r="G325" s="162">
        <f>RESULTS!K14</f>
        <v>0</v>
      </c>
    </row>
    <row r="326" spans="1:7">
      <c r="A326" s="68">
        <f>RESULTS!A15</f>
        <v>2024</v>
      </c>
      <c r="B326" s="62">
        <f>RESULTS!F15</f>
        <v>0</v>
      </c>
      <c r="C326" s="62">
        <f>RESULTS!G15</f>
        <v>0</v>
      </c>
      <c r="D326" s="62">
        <f>RESULTS!H15</f>
        <v>0</v>
      </c>
      <c r="E326" s="62">
        <f>RESULTS!I15</f>
        <v>0</v>
      </c>
      <c r="F326" s="62">
        <f>RESULTS!J15</f>
        <v>0</v>
      </c>
      <c r="G326" s="162">
        <f>RESULTS!K15</f>
        <v>0</v>
      </c>
    </row>
    <row r="327" spans="1:7">
      <c r="A327" s="68">
        <f>RESULTS!A16</f>
        <v>2025</v>
      </c>
      <c r="B327" s="62">
        <f>RESULTS!F16</f>
        <v>0</v>
      </c>
      <c r="C327" s="62">
        <f>RESULTS!G16</f>
        <v>0</v>
      </c>
      <c r="D327" s="62">
        <f>RESULTS!H16</f>
        <v>0</v>
      </c>
      <c r="E327" s="62">
        <f>RESULTS!I16</f>
        <v>0</v>
      </c>
      <c r="F327" s="62">
        <f>RESULTS!J16</f>
        <v>0</v>
      </c>
      <c r="G327" s="162">
        <f>RESULTS!K16</f>
        <v>0</v>
      </c>
    </row>
    <row r="328" spans="1:7">
      <c r="A328" s="68">
        <f>RESULTS!A17</f>
        <v>2026</v>
      </c>
      <c r="B328" s="62">
        <f>RESULTS!F17</f>
        <v>0</v>
      </c>
      <c r="C328" s="62">
        <f>RESULTS!G17</f>
        <v>0</v>
      </c>
      <c r="D328" s="62">
        <f>RESULTS!H17</f>
        <v>0</v>
      </c>
      <c r="E328" s="62">
        <f>RESULTS!I17</f>
        <v>0</v>
      </c>
      <c r="F328" s="62">
        <f>RESULTS!J17</f>
        <v>0</v>
      </c>
      <c r="G328" s="162">
        <f>RESULTS!K17</f>
        <v>0</v>
      </c>
    </row>
    <row r="329" spans="1:7">
      <c r="A329" s="68">
        <f>RESULTS!A18</f>
        <v>2027</v>
      </c>
      <c r="B329" s="62">
        <f>RESULTS!F18</f>
        <v>0</v>
      </c>
      <c r="C329" s="62">
        <f>RESULTS!G18</f>
        <v>0</v>
      </c>
      <c r="D329" s="62">
        <f>RESULTS!H18</f>
        <v>0</v>
      </c>
      <c r="E329" s="62">
        <f>RESULTS!I18</f>
        <v>0</v>
      </c>
      <c r="F329" s="62">
        <f>RESULTS!J18</f>
        <v>0</v>
      </c>
      <c r="G329" s="162">
        <f>RESULTS!K18</f>
        <v>0</v>
      </c>
    </row>
    <row r="330" spans="1:7">
      <c r="A330" s="68">
        <f>RESULTS!A19</f>
        <v>2028</v>
      </c>
      <c r="B330" s="62">
        <f>RESULTS!F19</f>
        <v>0</v>
      </c>
      <c r="C330" s="62">
        <f>RESULTS!G19</f>
        <v>0</v>
      </c>
      <c r="D330" s="62">
        <f>RESULTS!H19</f>
        <v>0</v>
      </c>
      <c r="E330" s="62">
        <f>RESULTS!I19</f>
        <v>0</v>
      </c>
      <c r="F330" s="62">
        <f>RESULTS!J19</f>
        <v>0</v>
      </c>
      <c r="G330" s="162">
        <f>RESULTS!K19</f>
        <v>0</v>
      </c>
    </row>
    <row r="331" spans="1:7">
      <c r="A331" s="68">
        <f>RESULTS!A20</f>
        <v>2029</v>
      </c>
      <c r="B331" s="62">
        <f>RESULTS!F20</f>
        <v>0</v>
      </c>
      <c r="C331" s="62">
        <f>RESULTS!G20</f>
        <v>0</v>
      </c>
      <c r="D331" s="62">
        <f>RESULTS!H20</f>
        <v>0</v>
      </c>
      <c r="E331" s="62">
        <f>RESULTS!I20</f>
        <v>0</v>
      </c>
      <c r="F331" s="62">
        <f>RESULTS!J20</f>
        <v>0</v>
      </c>
      <c r="G331" s="162">
        <f>RESULTS!K20</f>
        <v>0</v>
      </c>
    </row>
    <row r="332" spans="1:7">
      <c r="A332" s="68">
        <f>RESULTS!A21</f>
        <v>2030</v>
      </c>
      <c r="B332" s="62">
        <f>RESULTS!F21</f>
        <v>0</v>
      </c>
      <c r="C332" s="62">
        <f>RESULTS!G21</f>
        <v>0</v>
      </c>
      <c r="D332" s="62">
        <f>RESULTS!H21</f>
        <v>0</v>
      </c>
      <c r="E332" s="62">
        <f>RESULTS!I21</f>
        <v>0</v>
      </c>
      <c r="F332" s="62">
        <f>RESULTS!J21</f>
        <v>0</v>
      </c>
      <c r="G332" s="162">
        <f>RESULTS!K21</f>
        <v>0</v>
      </c>
    </row>
    <row r="333" spans="1:7">
      <c r="A333" s="68">
        <f>RESULTS!A22</f>
        <v>2031</v>
      </c>
      <c r="B333" s="62">
        <f>RESULTS!F22</f>
        <v>0</v>
      </c>
      <c r="C333" s="62">
        <f>RESULTS!G22</f>
        <v>0</v>
      </c>
      <c r="D333" s="62">
        <f>RESULTS!H22</f>
        <v>0</v>
      </c>
      <c r="E333" s="62">
        <f>RESULTS!I22</f>
        <v>0</v>
      </c>
      <c r="F333" s="62">
        <f>RESULTS!J22</f>
        <v>0</v>
      </c>
      <c r="G333" s="162">
        <f>RESULTS!K22</f>
        <v>0</v>
      </c>
    </row>
    <row r="334" spans="1:7">
      <c r="A334" s="68">
        <f>RESULTS!A23</f>
        <v>2032</v>
      </c>
      <c r="B334" s="62">
        <f>RESULTS!F23</f>
        <v>0</v>
      </c>
      <c r="C334" s="62">
        <f>RESULTS!G23</f>
        <v>0</v>
      </c>
      <c r="D334" s="62">
        <f>RESULTS!H23</f>
        <v>0</v>
      </c>
      <c r="E334" s="62">
        <f>RESULTS!I23</f>
        <v>0</v>
      </c>
      <c r="F334" s="62">
        <f>RESULTS!J23</f>
        <v>0</v>
      </c>
      <c r="G334" s="162">
        <f>RESULTS!K23</f>
        <v>0</v>
      </c>
    </row>
    <row r="335" spans="1:7">
      <c r="A335" s="68">
        <f>RESULTS!A24</f>
        <v>2033</v>
      </c>
      <c r="B335" s="62">
        <f>RESULTS!F24</f>
        <v>0</v>
      </c>
      <c r="C335" s="62">
        <f>RESULTS!G24</f>
        <v>0</v>
      </c>
      <c r="D335" s="62">
        <f>RESULTS!H24</f>
        <v>0</v>
      </c>
      <c r="E335" s="62">
        <f>RESULTS!I24</f>
        <v>0</v>
      </c>
      <c r="F335" s="62">
        <f>RESULTS!J24</f>
        <v>0</v>
      </c>
      <c r="G335" s="162">
        <f>RESULTS!K24</f>
        <v>0</v>
      </c>
    </row>
    <row r="336" spans="1:7">
      <c r="A336" s="68">
        <f>RESULTS!A25</f>
        <v>2034</v>
      </c>
      <c r="B336" s="62">
        <f>RESULTS!F25</f>
        <v>0</v>
      </c>
      <c r="C336" s="62">
        <f>RESULTS!G25</f>
        <v>0</v>
      </c>
      <c r="D336" s="62">
        <f>RESULTS!H25</f>
        <v>0</v>
      </c>
      <c r="E336" s="62">
        <f>RESULTS!I25</f>
        <v>0</v>
      </c>
      <c r="F336" s="62">
        <f>RESULTS!J25</f>
        <v>0</v>
      </c>
      <c r="G336" s="162">
        <f>RESULTS!K25</f>
        <v>0</v>
      </c>
    </row>
    <row r="337" spans="1:7">
      <c r="A337" s="68">
        <f>RESULTS!A26</f>
        <v>2035</v>
      </c>
      <c r="B337" s="62">
        <f>RESULTS!F26</f>
        <v>0</v>
      </c>
      <c r="C337" s="62">
        <f>RESULTS!G26</f>
        <v>0</v>
      </c>
      <c r="D337" s="62">
        <f>RESULTS!H26</f>
        <v>0</v>
      </c>
      <c r="E337" s="62">
        <f>RESULTS!I26</f>
        <v>0</v>
      </c>
      <c r="F337" s="62">
        <f>RESULTS!J26</f>
        <v>0</v>
      </c>
      <c r="G337" s="162">
        <f>RESULTS!K26</f>
        <v>0</v>
      </c>
    </row>
    <row r="338" spans="1:7">
      <c r="A338" s="68">
        <f>RESULTS!A27</f>
        <v>2036</v>
      </c>
      <c r="B338" s="62">
        <f>RESULTS!F27</f>
        <v>0</v>
      </c>
      <c r="C338" s="62">
        <f>RESULTS!G27</f>
        <v>0</v>
      </c>
      <c r="D338" s="62">
        <f>RESULTS!H27</f>
        <v>0</v>
      </c>
      <c r="E338" s="62">
        <f>RESULTS!I27</f>
        <v>0</v>
      </c>
      <c r="F338" s="62">
        <f>RESULTS!J27</f>
        <v>0</v>
      </c>
      <c r="G338" s="162">
        <f>RESULTS!K27</f>
        <v>0</v>
      </c>
    </row>
    <row r="339" spans="1:7">
      <c r="A339" s="68">
        <f>RESULTS!A28</f>
        <v>2037</v>
      </c>
      <c r="B339" s="62">
        <f>RESULTS!F28</f>
        <v>0</v>
      </c>
      <c r="C339" s="62">
        <f>RESULTS!G28</f>
        <v>0</v>
      </c>
      <c r="D339" s="62">
        <f>RESULTS!H28</f>
        <v>0</v>
      </c>
      <c r="E339" s="62">
        <f>RESULTS!I28</f>
        <v>0</v>
      </c>
      <c r="F339" s="62">
        <f>RESULTS!J28</f>
        <v>0</v>
      </c>
      <c r="G339" s="162">
        <f>RESULTS!K28</f>
        <v>0</v>
      </c>
    </row>
    <row r="340" spans="1:7">
      <c r="A340" s="68">
        <f>RESULTS!A29</f>
        <v>2038</v>
      </c>
      <c r="B340" s="62">
        <f>RESULTS!F29</f>
        <v>0</v>
      </c>
      <c r="C340" s="62">
        <f>RESULTS!G29</f>
        <v>0</v>
      </c>
      <c r="D340" s="62">
        <f>RESULTS!H29</f>
        <v>0</v>
      </c>
      <c r="E340" s="62">
        <f>RESULTS!I29</f>
        <v>0</v>
      </c>
      <c r="F340" s="62">
        <f>RESULTS!J29</f>
        <v>0</v>
      </c>
      <c r="G340" s="162">
        <f>RESULTS!K29</f>
        <v>0</v>
      </c>
    </row>
    <row r="341" spans="1:7">
      <c r="A341" s="68">
        <f>RESULTS!A30</f>
        <v>2039</v>
      </c>
      <c r="B341" s="62">
        <f>RESULTS!F30</f>
        <v>0</v>
      </c>
      <c r="C341" s="62">
        <f>RESULTS!G30</f>
        <v>0</v>
      </c>
      <c r="D341" s="62">
        <f>RESULTS!H30</f>
        <v>0</v>
      </c>
      <c r="E341" s="62">
        <f>RESULTS!I30</f>
        <v>0</v>
      </c>
      <c r="F341" s="62">
        <f>RESULTS!J30</f>
        <v>0</v>
      </c>
      <c r="G341" s="162">
        <f>RESULTS!K30</f>
        <v>0</v>
      </c>
    </row>
    <row r="342" spans="1:7">
      <c r="A342" s="68">
        <f>RESULTS!A31</f>
        <v>2040</v>
      </c>
      <c r="B342" s="62">
        <f>RESULTS!F31</f>
        <v>0</v>
      </c>
      <c r="C342" s="62">
        <f>RESULTS!G31</f>
        <v>0</v>
      </c>
      <c r="D342" s="62">
        <f>RESULTS!H31</f>
        <v>0</v>
      </c>
      <c r="E342" s="62">
        <f>RESULTS!I31</f>
        <v>0</v>
      </c>
      <c r="F342" s="62">
        <f>RESULTS!J31</f>
        <v>0</v>
      </c>
      <c r="G342" s="162">
        <f>RESULTS!K31</f>
        <v>0</v>
      </c>
    </row>
    <row r="343" spans="1:7">
      <c r="A343" s="68">
        <f>RESULTS!A32</f>
        <v>2041</v>
      </c>
      <c r="B343" s="62">
        <f>RESULTS!F32</f>
        <v>0</v>
      </c>
      <c r="C343" s="62">
        <f>RESULTS!G32</f>
        <v>0</v>
      </c>
      <c r="D343" s="62">
        <f>RESULTS!H32</f>
        <v>0</v>
      </c>
      <c r="E343" s="62">
        <f>RESULTS!I32</f>
        <v>0</v>
      </c>
      <c r="F343" s="62">
        <f>RESULTS!J32</f>
        <v>0</v>
      </c>
      <c r="G343" s="162">
        <f>RESULTS!K32</f>
        <v>0</v>
      </c>
    </row>
    <row r="344" spans="1:7">
      <c r="A344" s="68">
        <f>RESULTS!A33</f>
        <v>2042</v>
      </c>
      <c r="B344" s="62">
        <f>RESULTS!F33</f>
        <v>0</v>
      </c>
      <c r="C344" s="62">
        <f>RESULTS!G33</f>
        <v>0</v>
      </c>
      <c r="D344" s="62">
        <f>RESULTS!H33</f>
        <v>0</v>
      </c>
      <c r="E344" s="62">
        <f>RESULTS!I33</f>
        <v>0</v>
      </c>
      <c r="F344" s="62">
        <f>RESULTS!J33</f>
        <v>0</v>
      </c>
      <c r="G344" s="162">
        <f>RESULTS!K33</f>
        <v>0</v>
      </c>
    </row>
    <row r="345" spans="1:7">
      <c r="A345" s="68">
        <f>RESULTS!A34</f>
        <v>2043</v>
      </c>
      <c r="B345" s="62">
        <f>RESULTS!F34</f>
        <v>0</v>
      </c>
      <c r="C345" s="62">
        <f>RESULTS!G34</f>
        <v>0</v>
      </c>
      <c r="D345" s="62">
        <f>RESULTS!H34</f>
        <v>0</v>
      </c>
      <c r="E345" s="62">
        <f>RESULTS!I34</f>
        <v>0</v>
      </c>
      <c r="F345" s="62">
        <f>RESULTS!J34</f>
        <v>0</v>
      </c>
      <c r="G345" s="162">
        <f>RESULTS!K34</f>
        <v>0</v>
      </c>
    </row>
    <row r="346" spans="1:7">
      <c r="A346" s="68">
        <f>RESULTS!A35</f>
        <v>2044</v>
      </c>
      <c r="B346" s="62">
        <f>RESULTS!F35</f>
        <v>0</v>
      </c>
      <c r="C346" s="62">
        <f>RESULTS!G35</f>
        <v>0</v>
      </c>
      <c r="D346" s="62">
        <f>RESULTS!H35</f>
        <v>0</v>
      </c>
      <c r="E346" s="62">
        <f>RESULTS!I35</f>
        <v>0</v>
      </c>
      <c r="F346" s="62">
        <f>RESULTS!J35</f>
        <v>0</v>
      </c>
      <c r="G346" s="162">
        <f>RESULTS!K35</f>
        <v>0</v>
      </c>
    </row>
    <row r="347" spans="1:7">
      <c r="A347" s="68">
        <f>RESULTS!A36</f>
        <v>2045</v>
      </c>
      <c r="B347" s="62">
        <f>RESULTS!F36</f>
        <v>0</v>
      </c>
      <c r="C347" s="62">
        <f>RESULTS!G36</f>
        <v>0</v>
      </c>
      <c r="D347" s="62">
        <f>RESULTS!H36</f>
        <v>0</v>
      </c>
      <c r="E347" s="62">
        <f>RESULTS!I36</f>
        <v>0</v>
      </c>
      <c r="F347" s="62">
        <f>RESULTS!J36</f>
        <v>0</v>
      </c>
      <c r="G347" s="162">
        <f>RESULTS!K36</f>
        <v>0</v>
      </c>
    </row>
    <row r="348" spans="1:7">
      <c r="A348" s="68">
        <f>RESULTS!A37</f>
        <v>2046</v>
      </c>
      <c r="B348" s="62">
        <f>RESULTS!F37</f>
        <v>0</v>
      </c>
      <c r="C348" s="62">
        <f>RESULTS!G37</f>
        <v>0</v>
      </c>
      <c r="D348" s="62">
        <f>RESULTS!H37</f>
        <v>0</v>
      </c>
      <c r="E348" s="62">
        <f>RESULTS!I37</f>
        <v>0</v>
      </c>
      <c r="F348" s="62">
        <f>RESULTS!J37</f>
        <v>0</v>
      </c>
      <c r="G348" s="162">
        <f>RESULTS!K37</f>
        <v>0</v>
      </c>
    </row>
    <row r="349" spans="1:7">
      <c r="A349" s="68">
        <f>RESULTS!A38</f>
        <v>2047</v>
      </c>
      <c r="B349" s="62">
        <f>RESULTS!F38</f>
        <v>0</v>
      </c>
      <c r="C349" s="62">
        <f>RESULTS!G38</f>
        <v>0</v>
      </c>
      <c r="D349" s="62">
        <f>RESULTS!H38</f>
        <v>0</v>
      </c>
      <c r="E349" s="62">
        <f>RESULTS!I38</f>
        <v>0</v>
      </c>
      <c r="F349" s="62">
        <f>RESULTS!J38</f>
        <v>0</v>
      </c>
      <c r="G349" s="162">
        <f>RESULTS!K38</f>
        <v>0</v>
      </c>
    </row>
    <row r="350" spans="1:7">
      <c r="A350" s="68">
        <f>RESULTS!A39</f>
        <v>2048</v>
      </c>
      <c r="B350" s="62">
        <f>RESULTS!F39</f>
        <v>0</v>
      </c>
      <c r="C350" s="62">
        <f>RESULTS!G39</f>
        <v>0</v>
      </c>
      <c r="D350" s="62">
        <f>RESULTS!H39</f>
        <v>0</v>
      </c>
      <c r="E350" s="62">
        <f>RESULTS!I39</f>
        <v>0</v>
      </c>
      <c r="F350" s="62">
        <f>RESULTS!J39</f>
        <v>0</v>
      </c>
      <c r="G350" s="162">
        <f>RESULTS!K39</f>
        <v>0</v>
      </c>
    </row>
    <row r="351" spans="1:7">
      <c r="A351" s="68">
        <f>RESULTS!A40</f>
        <v>2049</v>
      </c>
      <c r="B351" s="62">
        <f>RESULTS!F40</f>
        <v>0</v>
      </c>
      <c r="C351" s="62">
        <f>RESULTS!G40</f>
        <v>0</v>
      </c>
      <c r="D351" s="62">
        <f>RESULTS!H40</f>
        <v>0</v>
      </c>
      <c r="E351" s="62">
        <f>RESULTS!I40</f>
        <v>0</v>
      </c>
      <c r="F351" s="62">
        <f>RESULTS!J40</f>
        <v>0</v>
      </c>
      <c r="G351" s="162">
        <f>RESULTS!K40</f>
        <v>0</v>
      </c>
    </row>
    <row r="352" spans="1:7">
      <c r="A352" s="68">
        <f>RESULTS!A41</f>
        <v>2050</v>
      </c>
      <c r="B352" s="62">
        <f>RESULTS!F41</f>
        <v>0</v>
      </c>
      <c r="C352" s="62">
        <f>RESULTS!G41</f>
        <v>0</v>
      </c>
      <c r="D352" s="62">
        <f>RESULTS!H41</f>
        <v>0</v>
      </c>
      <c r="E352" s="62">
        <f>RESULTS!I41</f>
        <v>0</v>
      </c>
      <c r="F352" s="62">
        <f>RESULTS!J41</f>
        <v>0</v>
      </c>
      <c r="G352" s="162">
        <f>RESULTS!K41</f>
        <v>0</v>
      </c>
    </row>
    <row r="353" spans="1:7">
      <c r="A353" s="68">
        <f>RESULTS!A42</f>
        <v>2051</v>
      </c>
      <c r="B353" s="62">
        <f>RESULTS!F42</f>
        <v>0</v>
      </c>
      <c r="C353" s="62">
        <f>RESULTS!G42</f>
        <v>0</v>
      </c>
      <c r="D353" s="62">
        <f>RESULTS!H42</f>
        <v>0</v>
      </c>
      <c r="E353" s="62">
        <f>RESULTS!I42</f>
        <v>0</v>
      </c>
      <c r="F353" s="62">
        <f>RESULTS!J42</f>
        <v>0</v>
      </c>
      <c r="G353" s="162">
        <f>RESULTS!K42</f>
        <v>0</v>
      </c>
    </row>
    <row r="354" spans="1:7">
      <c r="A354" s="68">
        <f>RESULTS!A43</f>
        <v>2052</v>
      </c>
      <c r="B354" s="62">
        <f>RESULTS!F43</f>
        <v>0</v>
      </c>
      <c r="C354" s="62">
        <f>RESULTS!G43</f>
        <v>0</v>
      </c>
      <c r="D354" s="62">
        <f>RESULTS!H43</f>
        <v>0</v>
      </c>
      <c r="E354" s="62">
        <f>RESULTS!I43</f>
        <v>0</v>
      </c>
      <c r="F354" s="62">
        <f>RESULTS!J43</f>
        <v>0</v>
      </c>
      <c r="G354" s="162">
        <f>RESULTS!K43</f>
        <v>0</v>
      </c>
    </row>
    <row r="355" spans="1:7">
      <c r="A355" s="68">
        <f>RESULTS!A44</f>
        <v>2053</v>
      </c>
      <c r="B355" s="62">
        <f>RESULTS!F44</f>
        <v>0</v>
      </c>
      <c r="C355" s="62">
        <f>RESULTS!G44</f>
        <v>0</v>
      </c>
      <c r="D355" s="62">
        <f>RESULTS!H44</f>
        <v>0</v>
      </c>
      <c r="E355" s="62">
        <f>RESULTS!I44</f>
        <v>0</v>
      </c>
      <c r="F355" s="62">
        <f>RESULTS!J44</f>
        <v>0</v>
      </c>
      <c r="G355" s="162">
        <f>RESULTS!K44</f>
        <v>0</v>
      </c>
    </row>
    <row r="356" spans="1:7">
      <c r="A356" s="68">
        <f>RESULTS!A45</f>
        <v>2054</v>
      </c>
      <c r="B356" s="62">
        <f>RESULTS!F45</f>
        <v>0</v>
      </c>
      <c r="C356" s="62">
        <f>RESULTS!G45</f>
        <v>0</v>
      </c>
      <c r="D356" s="62">
        <f>RESULTS!H45</f>
        <v>0</v>
      </c>
      <c r="E356" s="62">
        <f>RESULTS!I45</f>
        <v>0</v>
      </c>
      <c r="F356" s="62">
        <f>RESULTS!J45</f>
        <v>0</v>
      </c>
      <c r="G356" s="162">
        <f>RESULTS!K45</f>
        <v>0</v>
      </c>
    </row>
    <row r="357" spans="1:7">
      <c r="A357" s="68">
        <f>RESULTS!A46</f>
        <v>2055</v>
      </c>
      <c r="B357" s="62">
        <f>RESULTS!F46</f>
        <v>0</v>
      </c>
      <c r="C357" s="62">
        <f>RESULTS!G46</f>
        <v>0</v>
      </c>
      <c r="D357" s="62">
        <f>RESULTS!H46</f>
        <v>0</v>
      </c>
      <c r="E357" s="62">
        <f>RESULTS!I46</f>
        <v>0</v>
      </c>
      <c r="F357" s="62">
        <f>RESULTS!J46</f>
        <v>0</v>
      </c>
      <c r="G357" s="162">
        <f>RESULTS!K46</f>
        <v>0</v>
      </c>
    </row>
    <row r="358" spans="1:7">
      <c r="A358" s="68">
        <f>RESULTS!A47</f>
        <v>2056</v>
      </c>
      <c r="B358" s="62">
        <f>RESULTS!F47</f>
        <v>0</v>
      </c>
      <c r="C358" s="62">
        <f>RESULTS!G47</f>
        <v>0</v>
      </c>
      <c r="D358" s="62">
        <f>RESULTS!H47</f>
        <v>0</v>
      </c>
      <c r="E358" s="62">
        <f>RESULTS!I47</f>
        <v>0</v>
      </c>
      <c r="F358" s="62">
        <f>RESULTS!J47</f>
        <v>0</v>
      </c>
      <c r="G358" s="162">
        <f>RESULTS!K47</f>
        <v>0</v>
      </c>
    </row>
    <row r="359" spans="1:7">
      <c r="A359" s="68">
        <f>RESULTS!A48</f>
        <v>2057</v>
      </c>
      <c r="B359" s="62">
        <f>RESULTS!F48</f>
        <v>0</v>
      </c>
      <c r="C359" s="62">
        <f>RESULTS!G48</f>
        <v>0</v>
      </c>
      <c r="D359" s="62">
        <f>RESULTS!H48</f>
        <v>0</v>
      </c>
      <c r="E359" s="62">
        <f>RESULTS!I48</f>
        <v>0</v>
      </c>
      <c r="F359" s="62">
        <f>RESULTS!J48</f>
        <v>0</v>
      </c>
      <c r="G359" s="162">
        <f>RESULTS!K48</f>
        <v>0</v>
      </c>
    </row>
    <row r="360" spans="1:7">
      <c r="A360" s="68">
        <f>RESULTS!A49</f>
        <v>2058</v>
      </c>
      <c r="B360" s="62">
        <f>RESULTS!F49</f>
        <v>0</v>
      </c>
      <c r="C360" s="62">
        <f>RESULTS!G49</f>
        <v>0</v>
      </c>
      <c r="D360" s="62">
        <f>RESULTS!H49</f>
        <v>0</v>
      </c>
      <c r="E360" s="62">
        <f>RESULTS!I49</f>
        <v>0</v>
      </c>
      <c r="F360" s="62">
        <f>RESULTS!J49</f>
        <v>0</v>
      </c>
      <c r="G360" s="162">
        <f>RESULTS!K49</f>
        <v>0</v>
      </c>
    </row>
    <row r="361" spans="1:7">
      <c r="A361" s="68">
        <f>RESULTS!A50</f>
        <v>2059</v>
      </c>
      <c r="B361" s="62">
        <f>RESULTS!F50</f>
        <v>0</v>
      </c>
      <c r="C361" s="62">
        <f>RESULTS!G50</f>
        <v>0</v>
      </c>
      <c r="D361" s="62">
        <f>RESULTS!H50</f>
        <v>0</v>
      </c>
      <c r="E361" s="62">
        <f>RESULTS!I50</f>
        <v>0</v>
      </c>
      <c r="F361" s="62">
        <f>RESULTS!J50</f>
        <v>0</v>
      </c>
      <c r="G361" s="162">
        <f>RESULTS!K50</f>
        <v>0</v>
      </c>
    </row>
    <row r="362" spans="1:7">
      <c r="A362" s="68">
        <f>RESULTS!A51</f>
        <v>2060</v>
      </c>
      <c r="B362" s="62">
        <f>RESULTS!F51</f>
        <v>0</v>
      </c>
      <c r="C362" s="62">
        <f>RESULTS!G51</f>
        <v>0</v>
      </c>
      <c r="D362" s="62">
        <f>RESULTS!H51</f>
        <v>0</v>
      </c>
      <c r="E362" s="62">
        <f>RESULTS!I51</f>
        <v>0</v>
      </c>
      <c r="F362" s="62">
        <f>RESULTS!J51</f>
        <v>0</v>
      </c>
      <c r="G362" s="162">
        <f>RESULTS!K51</f>
        <v>0</v>
      </c>
    </row>
    <row r="363" spans="1:7">
      <c r="A363" s="68">
        <f>RESULTS!A52</f>
        <v>2061</v>
      </c>
      <c r="B363" s="62">
        <f>RESULTS!F52</f>
        <v>0</v>
      </c>
      <c r="C363" s="62">
        <f>RESULTS!G52</f>
        <v>0</v>
      </c>
      <c r="D363" s="62">
        <f>RESULTS!H52</f>
        <v>0</v>
      </c>
      <c r="E363" s="62">
        <f>RESULTS!I52</f>
        <v>0</v>
      </c>
      <c r="F363" s="62">
        <f>RESULTS!J52</f>
        <v>0</v>
      </c>
      <c r="G363" s="162">
        <f>RESULTS!K52</f>
        <v>0</v>
      </c>
    </row>
    <row r="364" spans="1:7">
      <c r="A364" s="68">
        <f>RESULTS!A53</f>
        <v>2062</v>
      </c>
      <c r="B364" s="62">
        <f>RESULTS!F53</f>
        <v>0</v>
      </c>
      <c r="C364" s="62">
        <f>RESULTS!G53</f>
        <v>0</v>
      </c>
      <c r="D364" s="62">
        <f>RESULTS!H53</f>
        <v>0</v>
      </c>
      <c r="E364" s="62">
        <f>RESULTS!I53</f>
        <v>0</v>
      </c>
      <c r="F364" s="62">
        <f>RESULTS!J53</f>
        <v>0</v>
      </c>
      <c r="G364" s="162">
        <f>RESULTS!K53</f>
        <v>0</v>
      </c>
    </row>
    <row r="365" spans="1:7">
      <c r="A365" s="68">
        <f>RESULTS!A54</f>
        <v>2063</v>
      </c>
      <c r="B365" s="62">
        <f>RESULTS!F54</f>
        <v>0</v>
      </c>
      <c r="C365" s="62">
        <f>RESULTS!G54</f>
        <v>0</v>
      </c>
      <c r="D365" s="62">
        <f>RESULTS!H54</f>
        <v>0</v>
      </c>
      <c r="E365" s="62">
        <f>RESULTS!I54</f>
        <v>0</v>
      </c>
      <c r="F365" s="62">
        <f>RESULTS!J54</f>
        <v>0</v>
      </c>
      <c r="G365" s="162">
        <f>RESULTS!K54</f>
        <v>0</v>
      </c>
    </row>
    <row r="366" spans="1:7">
      <c r="A366" s="68">
        <f>RESULTS!A55</f>
        <v>2064</v>
      </c>
      <c r="B366" s="62">
        <f>RESULTS!F55</f>
        <v>0</v>
      </c>
      <c r="C366" s="62">
        <f>RESULTS!G55</f>
        <v>0</v>
      </c>
      <c r="D366" s="62">
        <f>RESULTS!H55</f>
        <v>0</v>
      </c>
      <c r="E366" s="62">
        <f>RESULTS!I55</f>
        <v>0</v>
      </c>
      <c r="F366" s="62">
        <f>RESULTS!J55</f>
        <v>0</v>
      </c>
      <c r="G366" s="162">
        <f>RESULTS!K55</f>
        <v>0</v>
      </c>
    </row>
    <row r="367" spans="1:7">
      <c r="A367" s="68">
        <f>RESULTS!A56</f>
        <v>2065</v>
      </c>
      <c r="B367" s="62">
        <f>RESULTS!F56</f>
        <v>0</v>
      </c>
      <c r="C367" s="62">
        <f>RESULTS!G56</f>
        <v>0</v>
      </c>
      <c r="D367" s="62">
        <f>RESULTS!H56</f>
        <v>0</v>
      </c>
      <c r="E367" s="62">
        <f>RESULTS!I56</f>
        <v>0</v>
      </c>
      <c r="F367" s="62">
        <f>RESULTS!J56</f>
        <v>0</v>
      </c>
      <c r="G367" s="162">
        <f>RESULTS!K56</f>
        <v>0</v>
      </c>
    </row>
    <row r="368" spans="1:7">
      <c r="A368" s="68">
        <f>RESULTS!A57</f>
        <v>2066</v>
      </c>
      <c r="B368" s="62">
        <f>RESULTS!F57</f>
        <v>0</v>
      </c>
      <c r="C368" s="62">
        <f>RESULTS!G57</f>
        <v>0</v>
      </c>
      <c r="D368" s="62">
        <f>RESULTS!H57</f>
        <v>0</v>
      </c>
      <c r="E368" s="62">
        <f>RESULTS!I57</f>
        <v>0</v>
      </c>
      <c r="F368" s="62">
        <f>RESULTS!J57</f>
        <v>0</v>
      </c>
      <c r="G368" s="162">
        <f>RESULTS!K57</f>
        <v>0</v>
      </c>
    </row>
    <row r="369" spans="1:7">
      <c r="A369" s="68">
        <f>RESULTS!A58</f>
        <v>2067</v>
      </c>
      <c r="B369" s="62">
        <f>RESULTS!F58</f>
        <v>0</v>
      </c>
      <c r="C369" s="62">
        <f>RESULTS!G58</f>
        <v>0</v>
      </c>
      <c r="D369" s="62">
        <f>RESULTS!H58</f>
        <v>0</v>
      </c>
      <c r="E369" s="62">
        <f>RESULTS!I58</f>
        <v>0</v>
      </c>
      <c r="F369" s="62">
        <f>RESULTS!J58</f>
        <v>0</v>
      </c>
      <c r="G369" s="162">
        <f>RESULTS!K58</f>
        <v>0</v>
      </c>
    </row>
    <row r="372" spans="1:7" ht="18">
      <c r="A372" s="308" t="s">
        <v>242</v>
      </c>
    </row>
    <row r="373" spans="1:7" ht="13.5" thickBot="1"/>
    <row r="374" spans="1:7">
      <c r="A374" s="668" t="s">
        <v>5</v>
      </c>
      <c r="B374" s="661" t="str">
        <f>RESULTS!$F$7</f>
        <v/>
      </c>
      <c r="C374" s="681"/>
      <c r="D374" s="682"/>
      <c r="E374" s="661" t="str">
        <f>RESULTS!$I$7</f>
        <v/>
      </c>
      <c r="F374" s="662"/>
      <c r="G374" s="663"/>
    </row>
    <row r="375" spans="1:7" ht="14.25">
      <c r="A375" s="680"/>
      <c r="B375" s="53" t="s">
        <v>50</v>
      </c>
      <c r="C375" s="53" t="s">
        <v>345</v>
      </c>
      <c r="D375" s="53" t="str">
        <f>RESULTS!$H$8</f>
        <v>(av ft^3/min)</v>
      </c>
      <c r="E375" s="53" t="s">
        <v>50</v>
      </c>
      <c r="F375" s="53" t="s">
        <v>345</v>
      </c>
      <c r="G375" s="303" t="str">
        <f>RESULTS!$H$8</f>
        <v>(av ft^3/min)</v>
      </c>
    </row>
    <row r="376" spans="1:7">
      <c r="A376" s="68">
        <f>RESULTS!A59</f>
        <v>2068</v>
      </c>
      <c r="B376" s="62">
        <f>RESULTS!F59</f>
        <v>0</v>
      </c>
      <c r="C376" s="62">
        <f>RESULTS!G59</f>
        <v>0</v>
      </c>
      <c r="D376" s="62">
        <f>RESULTS!H59</f>
        <v>0</v>
      </c>
      <c r="E376" s="62">
        <f>RESULTS!I59</f>
        <v>0</v>
      </c>
      <c r="F376" s="62">
        <f>RESULTS!J59</f>
        <v>0</v>
      </c>
      <c r="G376" s="162">
        <f>RESULTS!K59</f>
        <v>0</v>
      </c>
    </row>
    <row r="377" spans="1:7">
      <c r="A377" s="68">
        <f>RESULTS!A60</f>
        <v>2069</v>
      </c>
      <c r="B377" s="62">
        <f>RESULTS!F60</f>
        <v>0</v>
      </c>
      <c r="C377" s="62">
        <f>RESULTS!G60</f>
        <v>0</v>
      </c>
      <c r="D377" s="62">
        <f>RESULTS!H60</f>
        <v>0</v>
      </c>
      <c r="E377" s="62">
        <f>RESULTS!I60</f>
        <v>0</v>
      </c>
      <c r="F377" s="62">
        <f>RESULTS!J60</f>
        <v>0</v>
      </c>
      <c r="G377" s="162">
        <f>RESULTS!K60</f>
        <v>0</v>
      </c>
    </row>
    <row r="378" spans="1:7">
      <c r="A378" s="68">
        <f>RESULTS!A61</f>
        <v>2070</v>
      </c>
      <c r="B378" s="62">
        <f>RESULTS!F61</f>
        <v>0</v>
      </c>
      <c r="C378" s="62">
        <f>RESULTS!G61</f>
        <v>0</v>
      </c>
      <c r="D378" s="62">
        <f>RESULTS!H61</f>
        <v>0</v>
      </c>
      <c r="E378" s="62">
        <f>RESULTS!I61</f>
        <v>0</v>
      </c>
      <c r="F378" s="62">
        <f>RESULTS!J61</f>
        <v>0</v>
      </c>
      <c r="G378" s="162">
        <f>RESULTS!K61</f>
        <v>0</v>
      </c>
    </row>
    <row r="379" spans="1:7">
      <c r="A379" s="68">
        <f>RESULTS!A62</f>
        <v>2071</v>
      </c>
      <c r="B379" s="62">
        <f>RESULTS!F62</f>
        <v>0</v>
      </c>
      <c r="C379" s="62">
        <f>RESULTS!G62</f>
        <v>0</v>
      </c>
      <c r="D379" s="62">
        <f>RESULTS!H62</f>
        <v>0</v>
      </c>
      <c r="E379" s="62">
        <f>RESULTS!I62</f>
        <v>0</v>
      </c>
      <c r="F379" s="62">
        <f>RESULTS!J62</f>
        <v>0</v>
      </c>
      <c r="G379" s="162">
        <f>RESULTS!K62</f>
        <v>0</v>
      </c>
    </row>
    <row r="380" spans="1:7">
      <c r="A380" s="68">
        <f>RESULTS!A63</f>
        <v>2072</v>
      </c>
      <c r="B380" s="62">
        <f>RESULTS!F63</f>
        <v>0</v>
      </c>
      <c r="C380" s="62">
        <f>RESULTS!G63</f>
        <v>0</v>
      </c>
      <c r="D380" s="62">
        <f>RESULTS!H63</f>
        <v>0</v>
      </c>
      <c r="E380" s="62">
        <f>RESULTS!I63</f>
        <v>0</v>
      </c>
      <c r="F380" s="62">
        <f>RESULTS!J63</f>
        <v>0</v>
      </c>
      <c r="G380" s="162">
        <f>RESULTS!K63</f>
        <v>0</v>
      </c>
    </row>
    <row r="381" spans="1:7">
      <c r="A381" s="68">
        <f>RESULTS!A64</f>
        <v>2073</v>
      </c>
      <c r="B381" s="62">
        <f>RESULTS!F64</f>
        <v>0</v>
      </c>
      <c r="C381" s="62">
        <f>RESULTS!G64</f>
        <v>0</v>
      </c>
      <c r="D381" s="62">
        <f>RESULTS!H64</f>
        <v>0</v>
      </c>
      <c r="E381" s="62">
        <f>RESULTS!I64</f>
        <v>0</v>
      </c>
      <c r="F381" s="62">
        <f>RESULTS!J64</f>
        <v>0</v>
      </c>
      <c r="G381" s="162">
        <f>RESULTS!K64</f>
        <v>0</v>
      </c>
    </row>
    <row r="382" spans="1:7">
      <c r="A382" s="68">
        <f>RESULTS!A65</f>
        <v>2074</v>
      </c>
      <c r="B382" s="62">
        <f>RESULTS!F65</f>
        <v>0</v>
      </c>
      <c r="C382" s="62">
        <f>RESULTS!G65</f>
        <v>0</v>
      </c>
      <c r="D382" s="62">
        <f>RESULTS!H65</f>
        <v>0</v>
      </c>
      <c r="E382" s="62">
        <f>RESULTS!I65</f>
        <v>0</v>
      </c>
      <c r="F382" s="62">
        <f>RESULTS!J65</f>
        <v>0</v>
      </c>
      <c r="G382" s="162">
        <f>RESULTS!K65</f>
        <v>0</v>
      </c>
    </row>
    <row r="383" spans="1:7">
      <c r="A383" s="68">
        <f>RESULTS!A66</f>
        <v>2075</v>
      </c>
      <c r="B383" s="62">
        <f>RESULTS!F66</f>
        <v>0</v>
      </c>
      <c r="C383" s="62">
        <f>RESULTS!G66</f>
        <v>0</v>
      </c>
      <c r="D383" s="62">
        <f>RESULTS!H66</f>
        <v>0</v>
      </c>
      <c r="E383" s="62">
        <f>RESULTS!I66</f>
        <v>0</v>
      </c>
      <c r="F383" s="62">
        <f>RESULTS!J66</f>
        <v>0</v>
      </c>
      <c r="G383" s="162">
        <f>RESULTS!K66</f>
        <v>0</v>
      </c>
    </row>
    <row r="384" spans="1:7">
      <c r="A384" s="68">
        <f>RESULTS!A67</f>
        <v>2076</v>
      </c>
      <c r="B384" s="62">
        <f>RESULTS!F67</f>
        <v>0</v>
      </c>
      <c r="C384" s="62">
        <f>RESULTS!G67</f>
        <v>0</v>
      </c>
      <c r="D384" s="62">
        <f>RESULTS!H67</f>
        <v>0</v>
      </c>
      <c r="E384" s="62">
        <f>RESULTS!I67</f>
        <v>0</v>
      </c>
      <c r="F384" s="62">
        <f>RESULTS!J67</f>
        <v>0</v>
      </c>
      <c r="G384" s="162">
        <f>RESULTS!K67</f>
        <v>0</v>
      </c>
    </row>
    <row r="385" spans="1:7">
      <c r="A385" s="68">
        <f>RESULTS!A68</f>
        <v>2077</v>
      </c>
      <c r="B385" s="62">
        <f>RESULTS!F68</f>
        <v>0</v>
      </c>
      <c r="C385" s="62">
        <f>RESULTS!G68</f>
        <v>0</v>
      </c>
      <c r="D385" s="62">
        <f>RESULTS!H68</f>
        <v>0</v>
      </c>
      <c r="E385" s="62">
        <f>RESULTS!I68</f>
        <v>0</v>
      </c>
      <c r="F385" s="62">
        <f>RESULTS!J68</f>
        <v>0</v>
      </c>
      <c r="G385" s="162">
        <f>RESULTS!K68</f>
        <v>0</v>
      </c>
    </row>
    <row r="386" spans="1:7">
      <c r="A386" s="68">
        <f>RESULTS!A69</f>
        <v>2078</v>
      </c>
      <c r="B386" s="62">
        <f>RESULTS!F69</f>
        <v>0</v>
      </c>
      <c r="C386" s="62">
        <f>RESULTS!G69</f>
        <v>0</v>
      </c>
      <c r="D386" s="62">
        <f>RESULTS!H69</f>
        <v>0</v>
      </c>
      <c r="E386" s="62">
        <f>RESULTS!I69</f>
        <v>0</v>
      </c>
      <c r="F386" s="62">
        <f>RESULTS!J69</f>
        <v>0</v>
      </c>
      <c r="G386" s="162">
        <f>RESULTS!K69</f>
        <v>0</v>
      </c>
    </row>
    <row r="387" spans="1:7">
      <c r="A387" s="68">
        <f>RESULTS!A70</f>
        <v>2079</v>
      </c>
      <c r="B387" s="62">
        <f>RESULTS!F70</f>
        <v>0</v>
      </c>
      <c r="C387" s="62">
        <f>RESULTS!G70</f>
        <v>0</v>
      </c>
      <c r="D387" s="62">
        <f>RESULTS!H70</f>
        <v>0</v>
      </c>
      <c r="E387" s="62">
        <f>RESULTS!I70</f>
        <v>0</v>
      </c>
      <c r="F387" s="62">
        <f>RESULTS!J70</f>
        <v>0</v>
      </c>
      <c r="G387" s="162">
        <f>RESULTS!K70</f>
        <v>0</v>
      </c>
    </row>
    <row r="388" spans="1:7">
      <c r="A388" s="68">
        <f>RESULTS!A71</f>
        <v>2080</v>
      </c>
      <c r="B388" s="62">
        <f>RESULTS!F71</f>
        <v>0</v>
      </c>
      <c r="C388" s="62">
        <f>RESULTS!G71</f>
        <v>0</v>
      </c>
      <c r="D388" s="62">
        <f>RESULTS!H71</f>
        <v>0</v>
      </c>
      <c r="E388" s="62">
        <f>RESULTS!I71</f>
        <v>0</v>
      </c>
      <c r="F388" s="62">
        <f>RESULTS!J71</f>
        <v>0</v>
      </c>
      <c r="G388" s="162">
        <f>RESULTS!K71</f>
        <v>0</v>
      </c>
    </row>
    <row r="389" spans="1:7">
      <c r="A389" s="68">
        <f>RESULTS!A72</f>
        <v>2081</v>
      </c>
      <c r="B389" s="62">
        <f>RESULTS!F72</f>
        <v>0</v>
      </c>
      <c r="C389" s="62">
        <f>RESULTS!G72</f>
        <v>0</v>
      </c>
      <c r="D389" s="62">
        <f>RESULTS!H72</f>
        <v>0</v>
      </c>
      <c r="E389" s="62">
        <f>RESULTS!I72</f>
        <v>0</v>
      </c>
      <c r="F389" s="62">
        <f>RESULTS!J72</f>
        <v>0</v>
      </c>
      <c r="G389" s="162">
        <f>RESULTS!K72</f>
        <v>0</v>
      </c>
    </row>
    <row r="390" spans="1:7">
      <c r="A390" s="68">
        <f>RESULTS!A73</f>
        <v>2082</v>
      </c>
      <c r="B390" s="62">
        <f>RESULTS!F73</f>
        <v>0</v>
      </c>
      <c r="C390" s="62">
        <f>RESULTS!G73</f>
        <v>0</v>
      </c>
      <c r="D390" s="62">
        <f>RESULTS!H73</f>
        <v>0</v>
      </c>
      <c r="E390" s="62">
        <f>RESULTS!I73</f>
        <v>0</v>
      </c>
      <c r="F390" s="62">
        <f>RESULTS!J73</f>
        <v>0</v>
      </c>
      <c r="G390" s="162">
        <f>RESULTS!K73</f>
        <v>0</v>
      </c>
    </row>
    <row r="391" spans="1:7">
      <c r="A391" s="68">
        <f>RESULTS!A74</f>
        <v>2083</v>
      </c>
      <c r="B391" s="62">
        <f>RESULTS!F74</f>
        <v>0</v>
      </c>
      <c r="C391" s="62">
        <f>RESULTS!G74</f>
        <v>0</v>
      </c>
      <c r="D391" s="62">
        <f>RESULTS!H74</f>
        <v>0</v>
      </c>
      <c r="E391" s="62">
        <f>RESULTS!I74</f>
        <v>0</v>
      </c>
      <c r="F391" s="62">
        <f>RESULTS!J74</f>
        <v>0</v>
      </c>
      <c r="G391" s="162">
        <f>RESULTS!K74</f>
        <v>0</v>
      </c>
    </row>
    <row r="392" spans="1:7">
      <c r="A392" s="68">
        <f>RESULTS!A75</f>
        <v>2084</v>
      </c>
      <c r="B392" s="62">
        <f>RESULTS!F75</f>
        <v>0</v>
      </c>
      <c r="C392" s="62">
        <f>RESULTS!G75</f>
        <v>0</v>
      </c>
      <c r="D392" s="62">
        <f>RESULTS!H75</f>
        <v>0</v>
      </c>
      <c r="E392" s="62">
        <f>RESULTS!I75</f>
        <v>0</v>
      </c>
      <c r="F392" s="62">
        <f>RESULTS!J75</f>
        <v>0</v>
      </c>
      <c r="G392" s="162">
        <f>RESULTS!K75</f>
        <v>0</v>
      </c>
    </row>
    <row r="393" spans="1:7">
      <c r="A393" s="68">
        <f>RESULTS!A76</f>
        <v>2085</v>
      </c>
      <c r="B393" s="62">
        <f>RESULTS!F76</f>
        <v>0</v>
      </c>
      <c r="C393" s="62">
        <f>RESULTS!G76</f>
        <v>0</v>
      </c>
      <c r="D393" s="62">
        <f>RESULTS!H76</f>
        <v>0</v>
      </c>
      <c r="E393" s="62">
        <f>RESULTS!I76</f>
        <v>0</v>
      </c>
      <c r="F393" s="62">
        <f>RESULTS!J76</f>
        <v>0</v>
      </c>
      <c r="G393" s="162">
        <f>RESULTS!K76</f>
        <v>0</v>
      </c>
    </row>
    <row r="394" spans="1:7">
      <c r="A394" s="68">
        <f>RESULTS!A77</f>
        <v>2086</v>
      </c>
      <c r="B394" s="62">
        <f>RESULTS!F77</f>
        <v>0</v>
      </c>
      <c r="C394" s="62">
        <f>RESULTS!G77</f>
        <v>0</v>
      </c>
      <c r="D394" s="62">
        <f>RESULTS!H77</f>
        <v>0</v>
      </c>
      <c r="E394" s="62">
        <f>RESULTS!I77</f>
        <v>0</v>
      </c>
      <c r="F394" s="62">
        <f>RESULTS!J77</f>
        <v>0</v>
      </c>
      <c r="G394" s="162">
        <f>RESULTS!K77</f>
        <v>0</v>
      </c>
    </row>
    <row r="395" spans="1:7">
      <c r="A395" s="68">
        <f>RESULTS!A78</f>
        <v>2087</v>
      </c>
      <c r="B395" s="62">
        <f>RESULTS!F78</f>
        <v>0</v>
      </c>
      <c r="C395" s="62">
        <f>RESULTS!G78</f>
        <v>0</v>
      </c>
      <c r="D395" s="62">
        <f>RESULTS!H78</f>
        <v>0</v>
      </c>
      <c r="E395" s="62">
        <f>RESULTS!I78</f>
        <v>0</v>
      </c>
      <c r="F395" s="62">
        <f>RESULTS!J78</f>
        <v>0</v>
      </c>
      <c r="G395" s="162">
        <f>RESULTS!K78</f>
        <v>0</v>
      </c>
    </row>
    <row r="396" spans="1:7">
      <c r="A396" s="68">
        <f>RESULTS!A79</f>
        <v>2088</v>
      </c>
      <c r="B396" s="62">
        <f>RESULTS!F79</f>
        <v>0</v>
      </c>
      <c r="C396" s="62">
        <f>RESULTS!G79</f>
        <v>0</v>
      </c>
      <c r="D396" s="62">
        <f>RESULTS!H79</f>
        <v>0</v>
      </c>
      <c r="E396" s="62">
        <f>RESULTS!I79</f>
        <v>0</v>
      </c>
      <c r="F396" s="62">
        <f>RESULTS!J79</f>
        <v>0</v>
      </c>
      <c r="G396" s="162">
        <f>RESULTS!K79</f>
        <v>0</v>
      </c>
    </row>
    <row r="397" spans="1:7">
      <c r="A397" s="68">
        <f>RESULTS!A80</f>
        <v>2089</v>
      </c>
      <c r="B397" s="62">
        <f>RESULTS!F80</f>
        <v>0</v>
      </c>
      <c r="C397" s="62">
        <f>RESULTS!G80</f>
        <v>0</v>
      </c>
      <c r="D397" s="62">
        <f>RESULTS!H80</f>
        <v>0</v>
      </c>
      <c r="E397" s="62">
        <f>RESULTS!I80</f>
        <v>0</v>
      </c>
      <c r="F397" s="62">
        <f>RESULTS!J80</f>
        <v>0</v>
      </c>
      <c r="G397" s="162">
        <f>RESULTS!K80</f>
        <v>0</v>
      </c>
    </row>
    <row r="398" spans="1:7">
      <c r="A398" s="68">
        <f>RESULTS!A81</f>
        <v>2090</v>
      </c>
      <c r="B398" s="62">
        <f>RESULTS!F81</f>
        <v>0</v>
      </c>
      <c r="C398" s="62">
        <f>RESULTS!G81</f>
        <v>0</v>
      </c>
      <c r="D398" s="62">
        <f>RESULTS!H81</f>
        <v>0</v>
      </c>
      <c r="E398" s="62">
        <f>RESULTS!I81</f>
        <v>0</v>
      </c>
      <c r="F398" s="62">
        <f>RESULTS!J81</f>
        <v>0</v>
      </c>
      <c r="G398" s="162">
        <f>RESULTS!K81</f>
        <v>0</v>
      </c>
    </row>
    <row r="399" spans="1:7">
      <c r="A399" s="68">
        <f>RESULTS!A82</f>
        <v>2091</v>
      </c>
      <c r="B399" s="62">
        <f>RESULTS!F82</f>
        <v>0</v>
      </c>
      <c r="C399" s="62">
        <f>RESULTS!G82</f>
        <v>0</v>
      </c>
      <c r="D399" s="62">
        <f>RESULTS!H82</f>
        <v>0</v>
      </c>
      <c r="E399" s="62">
        <f>RESULTS!I82</f>
        <v>0</v>
      </c>
      <c r="F399" s="62">
        <f>RESULTS!J82</f>
        <v>0</v>
      </c>
      <c r="G399" s="162">
        <f>RESULTS!K82</f>
        <v>0</v>
      </c>
    </row>
    <row r="400" spans="1:7">
      <c r="A400" s="68">
        <f>RESULTS!A83</f>
        <v>2092</v>
      </c>
      <c r="B400" s="62">
        <f>RESULTS!F83</f>
        <v>0</v>
      </c>
      <c r="C400" s="62">
        <f>RESULTS!G83</f>
        <v>0</v>
      </c>
      <c r="D400" s="62">
        <f>RESULTS!H83</f>
        <v>0</v>
      </c>
      <c r="E400" s="62">
        <f>RESULTS!I83</f>
        <v>0</v>
      </c>
      <c r="F400" s="62">
        <f>RESULTS!J83</f>
        <v>0</v>
      </c>
      <c r="G400" s="162">
        <f>RESULTS!K83</f>
        <v>0</v>
      </c>
    </row>
    <row r="401" spans="1:7">
      <c r="A401" s="68">
        <f>RESULTS!A84</f>
        <v>2093</v>
      </c>
      <c r="B401" s="62">
        <f>RESULTS!F84</f>
        <v>0</v>
      </c>
      <c r="C401" s="62">
        <f>RESULTS!G84</f>
        <v>0</v>
      </c>
      <c r="D401" s="62">
        <f>RESULTS!H84</f>
        <v>0</v>
      </c>
      <c r="E401" s="62">
        <f>RESULTS!I84</f>
        <v>0</v>
      </c>
      <c r="F401" s="62">
        <f>RESULTS!J84</f>
        <v>0</v>
      </c>
      <c r="G401" s="162">
        <f>RESULTS!K84</f>
        <v>0</v>
      </c>
    </row>
    <row r="402" spans="1:7">
      <c r="A402" s="68">
        <f>RESULTS!A85</f>
        <v>2094</v>
      </c>
      <c r="B402" s="62">
        <f>RESULTS!F85</f>
        <v>0</v>
      </c>
      <c r="C402" s="62">
        <f>RESULTS!G85</f>
        <v>0</v>
      </c>
      <c r="D402" s="62">
        <f>RESULTS!H85</f>
        <v>0</v>
      </c>
      <c r="E402" s="62">
        <f>RESULTS!I85</f>
        <v>0</v>
      </c>
      <c r="F402" s="62">
        <f>RESULTS!J85</f>
        <v>0</v>
      </c>
      <c r="G402" s="162">
        <f>RESULTS!K85</f>
        <v>0</v>
      </c>
    </row>
    <row r="403" spans="1:7">
      <c r="A403" s="68">
        <f>RESULTS!A86</f>
        <v>2095</v>
      </c>
      <c r="B403" s="62">
        <f>RESULTS!F86</f>
        <v>0</v>
      </c>
      <c r="C403" s="62">
        <f>RESULTS!G86</f>
        <v>0</v>
      </c>
      <c r="D403" s="62">
        <f>RESULTS!H86</f>
        <v>0</v>
      </c>
      <c r="E403" s="62">
        <f>RESULTS!I86</f>
        <v>0</v>
      </c>
      <c r="F403" s="62">
        <f>RESULTS!J86</f>
        <v>0</v>
      </c>
      <c r="G403" s="162">
        <f>RESULTS!K86</f>
        <v>0</v>
      </c>
    </row>
    <row r="404" spans="1:7">
      <c r="A404" s="68">
        <f>RESULTS!A87</f>
        <v>2096</v>
      </c>
      <c r="B404" s="62">
        <f>RESULTS!F87</f>
        <v>0</v>
      </c>
      <c r="C404" s="62">
        <f>RESULTS!G87</f>
        <v>0</v>
      </c>
      <c r="D404" s="62">
        <f>RESULTS!H87</f>
        <v>0</v>
      </c>
      <c r="E404" s="62">
        <f>RESULTS!I87</f>
        <v>0</v>
      </c>
      <c r="F404" s="62">
        <f>RESULTS!J87</f>
        <v>0</v>
      </c>
      <c r="G404" s="162">
        <f>RESULTS!K87</f>
        <v>0</v>
      </c>
    </row>
    <row r="405" spans="1:7">
      <c r="A405" s="68">
        <f>RESULTS!A88</f>
        <v>2097</v>
      </c>
      <c r="B405" s="62">
        <f>RESULTS!F88</f>
        <v>0</v>
      </c>
      <c r="C405" s="62">
        <f>RESULTS!G88</f>
        <v>0</v>
      </c>
      <c r="D405" s="62">
        <f>RESULTS!H88</f>
        <v>0</v>
      </c>
      <c r="E405" s="62">
        <f>RESULTS!I88</f>
        <v>0</v>
      </c>
      <c r="F405" s="62">
        <f>RESULTS!J88</f>
        <v>0</v>
      </c>
      <c r="G405" s="162">
        <f>RESULTS!K88</f>
        <v>0</v>
      </c>
    </row>
    <row r="406" spans="1:7">
      <c r="A406" s="68">
        <f>RESULTS!A89</f>
        <v>2098</v>
      </c>
      <c r="B406" s="62">
        <f>RESULTS!F89</f>
        <v>0</v>
      </c>
      <c r="C406" s="62">
        <f>RESULTS!G89</f>
        <v>0</v>
      </c>
      <c r="D406" s="62">
        <f>RESULTS!H89</f>
        <v>0</v>
      </c>
      <c r="E406" s="62">
        <f>RESULTS!I89</f>
        <v>0</v>
      </c>
      <c r="F406" s="62">
        <f>RESULTS!J89</f>
        <v>0</v>
      </c>
      <c r="G406" s="162">
        <f>RESULTS!K89</f>
        <v>0</v>
      </c>
    </row>
    <row r="407" spans="1:7">
      <c r="A407" s="68">
        <f>RESULTS!A90</f>
        <v>2099</v>
      </c>
      <c r="B407" s="62">
        <f>RESULTS!F90</f>
        <v>0</v>
      </c>
      <c r="C407" s="62">
        <f>RESULTS!G90</f>
        <v>0</v>
      </c>
      <c r="D407" s="62">
        <f>RESULTS!H90</f>
        <v>0</v>
      </c>
      <c r="E407" s="62">
        <f>RESULTS!I90</f>
        <v>0</v>
      </c>
      <c r="F407" s="62">
        <f>RESULTS!J90</f>
        <v>0</v>
      </c>
      <c r="G407" s="162">
        <f>RESULTS!K90</f>
        <v>0</v>
      </c>
    </row>
    <row r="408" spans="1:7">
      <c r="A408" s="68">
        <f>RESULTS!A91</f>
        <v>2100</v>
      </c>
      <c r="B408" s="62">
        <f>RESULTS!F91</f>
        <v>0</v>
      </c>
      <c r="C408" s="62">
        <f>RESULTS!G91</f>
        <v>0</v>
      </c>
      <c r="D408" s="62">
        <f>RESULTS!H91</f>
        <v>0</v>
      </c>
      <c r="E408" s="62">
        <f>RESULTS!I91</f>
        <v>0</v>
      </c>
      <c r="F408" s="62">
        <f>RESULTS!J91</f>
        <v>0</v>
      </c>
      <c r="G408" s="162">
        <f>RESULTS!K91</f>
        <v>0</v>
      </c>
    </row>
    <row r="409" spans="1:7">
      <c r="A409" s="68">
        <f>RESULTS!A92</f>
        <v>2101</v>
      </c>
      <c r="B409" s="62">
        <f>RESULTS!F92</f>
        <v>0</v>
      </c>
      <c r="C409" s="62">
        <f>RESULTS!G92</f>
        <v>0</v>
      </c>
      <c r="D409" s="62">
        <f>RESULTS!H92</f>
        <v>0</v>
      </c>
      <c r="E409" s="62">
        <f>RESULTS!I92</f>
        <v>0</v>
      </c>
      <c r="F409" s="62">
        <f>RESULTS!J92</f>
        <v>0</v>
      </c>
      <c r="G409" s="162">
        <f>RESULTS!K92</f>
        <v>0</v>
      </c>
    </row>
    <row r="410" spans="1:7">
      <c r="A410" s="68">
        <f>RESULTS!A93</f>
        <v>2102</v>
      </c>
      <c r="B410" s="62">
        <f>RESULTS!F93</f>
        <v>0</v>
      </c>
      <c r="C410" s="62">
        <f>RESULTS!G93</f>
        <v>0</v>
      </c>
      <c r="D410" s="62">
        <f>RESULTS!H93</f>
        <v>0</v>
      </c>
      <c r="E410" s="62">
        <f>RESULTS!I93</f>
        <v>0</v>
      </c>
      <c r="F410" s="62">
        <f>RESULTS!J93</f>
        <v>0</v>
      </c>
      <c r="G410" s="162">
        <f>RESULTS!K93</f>
        <v>0</v>
      </c>
    </row>
    <row r="411" spans="1:7">
      <c r="A411" s="68">
        <f>RESULTS!A94</f>
        <v>2103</v>
      </c>
      <c r="B411" s="62">
        <f>RESULTS!F94</f>
        <v>0</v>
      </c>
      <c r="C411" s="62">
        <f>RESULTS!G94</f>
        <v>0</v>
      </c>
      <c r="D411" s="62">
        <f>RESULTS!H94</f>
        <v>0</v>
      </c>
      <c r="E411" s="62">
        <f>RESULTS!I94</f>
        <v>0</v>
      </c>
      <c r="F411" s="62">
        <f>RESULTS!J94</f>
        <v>0</v>
      </c>
      <c r="G411" s="162">
        <f>RESULTS!K94</f>
        <v>0</v>
      </c>
    </row>
    <row r="412" spans="1:7">
      <c r="A412" s="68">
        <f>RESULTS!A95</f>
        <v>2104</v>
      </c>
      <c r="B412" s="62">
        <f>RESULTS!F95</f>
        <v>0</v>
      </c>
      <c r="C412" s="62">
        <f>RESULTS!G95</f>
        <v>0</v>
      </c>
      <c r="D412" s="62">
        <f>RESULTS!H95</f>
        <v>0</v>
      </c>
      <c r="E412" s="62">
        <f>RESULTS!I95</f>
        <v>0</v>
      </c>
      <c r="F412" s="62">
        <f>RESULTS!J95</f>
        <v>0</v>
      </c>
      <c r="G412" s="162">
        <f>RESULTS!K95</f>
        <v>0</v>
      </c>
    </row>
    <row r="413" spans="1:7">
      <c r="A413" s="68">
        <f>RESULTS!A96</f>
        <v>2105</v>
      </c>
      <c r="B413" s="62">
        <f>RESULTS!F96</f>
        <v>0</v>
      </c>
      <c r="C413" s="62">
        <f>RESULTS!G96</f>
        <v>0</v>
      </c>
      <c r="D413" s="62">
        <f>RESULTS!H96</f>
        <v>0</v>
      </c>
      <c r="E413" s="62">
        <f>RESULTS!I96</f>
        <v>0</v>
      </c>
      <c r="F413" s="62">
        <f>RESULTS!J96</f>
        <v>0</v>
      </c>
      <c r="G413" s="162">
        <f>RESULTS!K96</f>
        <v>0</v>
      </c>
    </row>
    <row r="414" spans="1:7">
      <c r="A414" s="68">
        <f>RESULTS!A97</f>
        <v>2106</v>
      </c>
      <c r="B414" s="62">
        <f>RESULTS!F97</f>
        <v>0</v>
      </c>
      <c r="C414" s="62">
        <f>RESULTS!G97</f>
        <v>0</v>
      </c>
      <c r="D414" s="62">
        <f>RESULTS!H97</f>
        <v>0</v>
      </c>
      <c r="E414" s="62">
        <f>RESULTS!I97</f>
        <v>0</v>
      </c>
      <c r="F414" s="62">
        <f>RESULTS!J97</f>
        <v>0</v>
      </c>
      <c r="G414" s="162">
        <f>RESULTS!K97</f>
        <v>0</v>
      </c>
    </row>
    <row r="415" spans="1:7">
      <c r="A415" s="68">
        <f>RESULTS!A98</f>
        <v>2107</v>
      </c>
      <c r="B415" s="62">
        <f>RESULTS!F98</f>
        <v>0</v>
      </c>
      <c r="C415" s="62">
        <f>RESULTS!G98</f>
        <v>0</v>
      </c>
      <c r="D415" s="62">
        <f>RESULTS!H98</f>
        <v>0</v>
      </c>
      <c r="E415" s="62">
        <f>RESULTS!I98</f>
        <v>0</v>
      </c>
      <c r="F415" s="62">
        <f>RESULTS!J98</f>
        <v>0</v>
      </c>
      <c r="G415" s="162">
        <f>RESULTS!K98</f>
        <v>0</v>
      </c>
    </row>
    <row r="416" spans="1:7">
      <c r="A416" s="68">
        <f>RESULTS!A99</f>
        <v>2108</v>
      </c>
      <c r="B416" s="62">
        <f>RESULTS!F99</f>
        <v>0</v>
      </c>
      <c r="C416" s="62">
        <f>RESULTS!G99</f>
        <v>0</v>
      </c>
      <c r="D416" s="62">
        <f>RESULTS!H99</f>
        <v>0</v>
      </c>
      <c r="E416" s="62">
        <f>RESULTS!I99</f>
        <v>0</v>
      </c>
      <c r="F416" s="62">
        <f>RESULTS!J99</f>
        <v>0</v>
      </c>
      <c r="G416" s="162">
        <f>RESULTS!K99</f>
        <v>0</v>
      </c>
    </row>
    <row r="417" spans="1:7">
      <c r="A417" s="68">
        <f>RESULTS!A100</f>
        <v>2109</v>
      </c>
      <c r="B417" s="62">
        <f>RESULTS!F100</f>
        <v>0</v>
      </c>
      <c r="C417" s="62">
        <f>RESULTS!G100</f>
        <v>0</v>
      </c>
      <c r="D417" s="62">
        <f>RESULTS!H100</f>
        <v>0</v>
      </c>
      <c r="E417" s="62">
        <f>RESULTS!I100</f>
        <v>0</v>
      </c>
      <c r="F417" s="62">
        <f>RESULTS!J100</f>
        <v>0</v>
      </c>
      <c r="G417" s="162">
        <f>RESULTS!K100</f>
        <v>0</v>
      </c>
    </row>
    <row r="418" spans="1:7">
      <c r="A418" s="68">
        <f>RESULTS!A101</f>
        <v>2110</v>
      </c>
      <c r="B418" s="62">
        <f>RESULTS!F101</f>
        <v>0</v>
      </c>
      <c r="C418" s="62">
        <f>RESULTS!G101</f>
        <v>0</v>
      </c>
      <c r="D418" s="62">
        <f>RESULTS!H101</f>
        <v>0</v>
      </c>
      <c r="E418" s="62">
        <f>RESULTS!I101</f>
        <v>0</v>
      </c>
      <c r="F418" s="62">
        <f>RESULTS!J101</f>
        <v>0</v>
      </c>
      <c r="G418" s="162">
        <f>RESULTS!K101</f>
        <v>0</v>
      </c>
    </row>
    <row r="419" spans="1:7">
      <c r="A419" s="68">
        <f>RESULTS!A102</f>
        <v>2111</v>
      </c>
      <c r="B419" s="62">
        <f>RESULTS!F102</f>
        <v>0</v>
      </c>
      <c r="C419" s="62">
        <f>RESULTS!G102</f>
        <v>0</v>
      </c>
      <c r="D419" s="62">
        <f>RESULTS!H102</f>
        <v>0</v>
      </c>
      <c r="E419" s="62">
        <f>RESULTS!I102</f>
        <v>0</v>
      </c>
      <c r="F419" s="62">
        <f>RESULTS!J102</f>
        <v>0</v>
      </c>
      <c r="G419" s="162">
        <f>RESULTS!K102</f>
        <v>0</v>
      </c>
    </row>
    <row r="420" spans="1:7">
      <c r="A420" s="68">
        <f>RESULTS!A103</f>
        <v>2112</v>
      </c>
      <c r="B420" s="62">
        <f>RESULTS!F103</f>
        <v>0</v>
      </c>
      <c r="C420" s="62">
        <f>RESULTS!G103</f>
        <v>0</v>
      </c>
      <c r="D420" s="62">
        <f>RESULTS!H103</f>
        <v>0</v>
      </c>
      <c r="E420" s="62">
        <f>RESULTS!I103</f>
        <v>0</v>
      </c>
      <c r="F420" s="62">
        <f>RESULTS!J103</f>
        <v>0</v>
      </c>
      <c r="G420" s="162">
        <f>RESULTS!K103</f>
        <v>0</v>
      </c>
    </row>
    <row r="421" spans="1:7">
      <c r="A421" s="68">
        <f>RESULTS!A104</f>
        <v>2113</v>
      </c>
      <c r="B421" s="62">
        <f>RESULTS!F104</f>
        <v>0</v>
      </c>
      <c r="C421" s="62">
        <f>RESULTS!G104</f>
        <v>0</v>
      </c>
      <c r="D421" s="62">
        <f>RESULTS!H104</f>
        <v>0</v>
      </c>
      <c r="E421" s="62">
        <f>RESULTS!I104</f>
        <v>0</v>
      </c>
      <c r="F421" s="62">
        <f>RESULTS!J104</f>
        <v>0</v>
      </c>
      <c r="G421" s="162">
        <f>RESULTS!K104</f>
        <v>0</v>
      </c>
    </row>
    <row r="422" spans="1:7">
      <c r="A422" s="68">
        <f>RESULTS!A105</f>
        <v>2114</v>
      </c>
      <c r="B422" s="62">
        <f>RESULTS!F105</f>
        <v>0</v>
      </c>
      <c r="C422" s="62">
        <f>RESULTS!G105</f>
        <v>0</v>
      </c>
      <c r="D422" s="62">
        <f>RESULTS!H105</f>
        <v>0</v>
      </c>
      <c r="E422" s="62">
        <f>RESULTS!I105</f>
        <v>0</v>
      </c>
      <c r="F422" s="62">
        <f>RESULTS!J105</f>
        <v>0</v>
      </c>
      <c r="G422" s="162">
        <f>RESULTS!K105</f>
        <v>0</v>
      </c>
    </row>
    <row r="423" spans="1:7">
      <c r="A423" s="68">
        <f>RESULTS!A106</f>
        <v>2115</v>
      </c>
      <c r="B423" s="62">
        <f>RESULTS!F106</f>
        <v>0</v>
      </c>
      <c r="C423" s="62">
        <f>RESULTS!G106</f>
        <v>0</v>
      </c>
      <c r="D423" s="62">
        <f>RESULTS!H106</f>
        <v>0</v>
      </c>
      <c r="E423" s="62">
        <f>RESULTS!I106</f>
        <v>0</v>
      </c>
      <c r="F423" s="62">
        <f>RESULTS!J106</f>
        <v>0</v>
      </c>
      <c r="G423" s="162">
        <f>RESULTS!K106</f>
        <v>0</v>
      </c>
    </row>
    <row r="424" spans="1:7">
      <c r="A424" s="68">
        <f>RESULTS!A107</f>
        <v>2116</v>
      </c>
      <c r="B424" s="62">
        <f>RESULTS!F107</f>
        <v>0</v>
      </c>
      <c r="C424" s="62">
        <f>RESULTS!G107</f>
        <v>0</v>
      </c>
      <c r="D424" s="62">
        <f>RESULTS!H107</f>
        <v>0</v>
      </c>
      <c r="E424" s="62">
        <f>RESULTS!I107</f>
        <v>0</v>
      </c>
      <c r="F424" s="62">
        <f>RESULTS!J107</f>
        <v>0</v>
      </c>
      <c r="G424" s="162">
        <f>RESULTS!K107</f>
        <v>0</v>
      </c>
    </row>
    <row r="425" spans="1:7">
      <c r="A425" s="68">
        <f>RESULTS!A108</f>
        <v>2117</v>
      </c>
      <c r="B425" s="163">
        <f>RESULTS!F108</f>
        <v>0</v>
      </c>
      <c r="C425" s="163">
        <f>RESULTS!G108</f>
        <v>0</v>
      </c>
      <c r="D425" s="163">
        <f>RESULTS!H108</f>
        <v>0</v>
      </c>
      <c r="E425" s="163">
        <f>RESULTS!I108</f>
        <v>0</v>
      </c>
      <c r="F425" s="163">
        <f>RESULTS!J108</f>
        <v>0</v>
      </c>
      <c r="G425" s="164">
        <f>RESULTS!K108</f>
        <v>0</v>
      </c>
    </row>
    <row r="426" spans="1:7">
      <c r="A426" s="68">
        <f>RESULTS!A109</f>
        <v>2118</v>
      </c>
      <c r="B426" s="62">
        <f>RESULTS!F109</f>
        <v>0</v>
      </c>
      <c r="C426" s="62">
        <f>RESULTS!G109</f>
        <v>0</v>
      </c>
      <c r="D426" s="62">
        <f>RESULTS!H109</f>
        <v>0</v>
      </c>
      <c r="E426" s="62">
        <f>RESULTS!I109</f>
        <v>0</v>
      </c>
      <c r="F426" s="62">
        <f>RESULTS!J109</f>
        <v>0</v>
      </c>
      <c r="G426" s="162">
        <f>RESULTS!K109</f>
        <v>0</v>
      </c>
    </row>
    <row r="427" spans="1:7">
      <c r="B427" s="365"/>
      <c r="C427" s="365"/>
      <c r="D427" s="365"/>
    </row>
    <row r="429" spans="1:7" ht="18">
      <c r="A429" s="308" t="s">
        <v>242</v>
      </c>
      <c r="E429" s="365"/>
      <c r="F429" s="365"/>
      <c r="G429" s="365"/>
    </row>
    <row r="430" spans="1:7" ht="12.75" customHeight="1" thickBot="1">
      <c r="A430" s="308"/>
      <c r="E430" s="365"/>
      <c r="F430" s="365"/>
      <c r="G430" s="365"/>
    </row>
    <row r="431" spans="1:7">
      <c r="A431" s="668" t="s">
        <v>5</v>
      </c>
      <c r="B431" s="661" t="str">
        <f>RESULTS!$F$7</f>
        <v/>
      </c>
      <c r="C431" s="681"/>
      <c r="D431" s="682"/>
      <c r="E431" s="661" t="str">
        <f>RESULTS!$I$7</f>
        <v/>
      </c>
      <c r="F431" s="662"/>
      <c r="G431" s="663"/>
    </row>
    <row r="432" spans="1:7" ht="14.25">
      <c r="A432" s="680"/>
      <c r="B432" s="53" t="s">
        <v>50</v>
      </c>
      <c r="C432" s="53" t="s">
        <v>345</v>
      </c>
      <c r="D432" s="53" t="str">
        <f>RESULTS!$H$8</f>
        <v>(av ft^3/min)</v>
      </c>
      <c r="E432" s="53" t="s">
        <v>50</v>
      </c>
      <c r="F432" s="53" t="s">
        <v>345</v>
      </c>
      <c r="G432" s="303" t="str">
        <f>RESULTS!$H$8</f>
        <v>(av ft^3/min)</v>
      </c>
    </row>
    <row r="433" spans="1:7">
      <c r="A433" s="68">
        <f>RESULTS!A110</f>
        <v>2119</v>
      </c>
      <c r="B433" s="62">
        <f>RESULTS!F110</f>
        <v>0</v>
      </c>
      <c r="C433" s="62">
        <f>RESULTS!G110</f>
        <v>0</v>
      </c>
      <c r="D433" s="62">
        <f>RESULTS!H110</f>
        <v>0</v>
      </c>
      <c r="E433" s="62">
        <f>RESULTS!I110</f>
        <v>0</v>
      </c>
      <c r="F433" s="62">
        <f>RESULTS!J110</f>
        <v>0</v>
      </c>
      <c r="G433" s="162">
        <f>RESULTS!K110</f>
        <v>0</v>
      </c>
    </row>
    <row r="434" spans="1:7">
      <c r="A434" s="68">
        <f>RESULTS!A111</f>
        <v>2120</v>
      </c>
      <c r="B434" s="62">
        <f>RESULTS!F111</f>
        <v>0</v>
      </c>
      <c r="C434" s="62">
        <f>RESULTS!G111</f>
        <v>0</v>
      </c>
      <c r="D434" s="62">
        <f>RESULTS!H111</f>
        <v>0</v>
      </c>
      <c r="E434" s="62">
        <f>RESULTS!I111</f>
        <v>0</v>
      </c>
      <c r="F434" s="62">
        <f>RESULTS!J111</f>
        <v>0</v>
      </c>
      <c r="G434" s="162">
        <f>RESULTS!K111</f>
        <v>0</v>
      </c>
    </row>
    <row r="435" spans="1:7">
      <c r="A435" s="68">
        <f>RESULTS!A112</f>
        <v>2121</v>
      </c>
      <c r="B435" s="62">
        <f>RESULTS!F112</f>
        <v>0</v>
      </c>
      <c r="C435" s="62">
        <f>RESULTS!G112</f>
        <v>0</v>
      </c>
      <c r="D435" s="62">
        <f>RESULTS!H112</f>
        <v>0</v>
      </c>
      <c r="E435" s="62">
        <f>RESULTS!I112</f>
        <v>0</v>
      </c>
      <c r="F435" s="62">
        <f>RESULTS!J112</f>
        <v>0</v>
      </c>
      <c r="G435" s="162">
        <f>RESULTS!K112</f>
        <v>0</v>
      </c>
    </row>
    <row r="436" spans="1:7">
      <c r="A436" s="68">
        <f>RESULTS!A113</f>
        <v>2122</v>
      </c>
      <c r="B436" s="62">
        <f>RESULTS!F113</f>
        <v>0</v>
      </c>
      <c r="C436" s="62">
        <f>RESULTS!G113</f>
        <v>0</v>
      </c>
      <c r="D436" s="62">
        <f>RESULTS!H113</f>
        <v>0</v>
      </c>
      <c r="E436" s="62">
        <f>RESULTS!I113</f>
        <v>0</v>
      </c>
      <c r="F436" s="62">
        <f>RESULTS!J113</f>
        <v>0</v>
      </c>
      <c r="G436" s="162">
        <f>RESULTS!K113</f>
        <v>0</v>
      </c>
    </row>
    <row r="437" spans="1:7">
      <c r="A437" s="68">
        <f>RESULTS!A114</f>
        <v>2123</v>
      </c>
      <c r="B437" s="62">
        <f>RESULTS!F114</f>
        <v>0</v>
      </c>
      <c r="C437" s="62">
        <f>RESULTS!G114</f>
        <v>0</v>
      </c>
      <c r="D437" s="62">
        <f>RESULTS!H114</f>
        <v>0</v>
      </c>
      <c r="E437" s="62">
        <f>RESULTS!I114</f>
        <v>0</v>
      </c>
      <c r="F437" s="62">
        <f>RESULTS!J114</f>
        <v>0</v>
      </c>
      <c r="G437" s="162">
        <f>RESULTS!K114</f>
        <v>0</v>
      </c>
    </row>
    <row r="438" spans="1:7">
      <c r="A438" s="68">
        <f>RESULTS!A115</f>
        <v>2124</v>
      </c>
      <c r="B438" s="62">
        <f>RESULTS!F115</f>
        <v>0</v>
      </c>
      <c r="C438" s="62">
        <f>RESULTS!G115</f>
        <v>0</v>
      </c>
      <c r="D438" s="62">
        <f>RESULTS!H115</f>
        <v>0</v>
      </c>
      <c r="E438" s="62">
        <f>RESULTS!I115</f>
        <v>0</v>
      </c>
      <c r="F438" s="62">
        <f>RESULTS!J115</f>
        <v>0</v>
      </c>
      <c r="G438" s="162">
        <f>RESULTS!K115</f>
        <v>0</v>
      </c>
    </row>
    <row r="439" spans="1:7">
      <c r="A439" s="68">
        <f>RESULTS!A116</f>
        <v>2125</v>
      </c>
      <c r="B439" s="62">
        <f>RESULTS!F116</f>
        <v>0</v>
      </c>
      <c r="C439" s="62">
        <f>RESULTS!G116</f>
        <v>0</v>
      </c>
      <c r="D439" s="62">
        <f>RESULTS!H116</f>
        <v>0</v>
      </c>
      <c r="E439" s="62">
        <f>RESULTS!I116</f>
        <v>0</v>
      </c>
      <c r="F439" s="62">
        <f>RESULTS!J116</f>
        <v>0</v>
      </c>
      <c r="G439" s="162">
        <f>RESULTS!K116</f>
        <v>0</v>
      </c>
    </row>
    <row r="440" spans="1:7">
      <c r="A440" s="68">
        <f>RESULTS!A117</f>
        <v>2126</v>
      </c>
      <c r="B440" s="62">
        <f>RESULTS!F117</f>
        <v>0</v>
      </c>
      <c r="C440" s="62">
        <f>RESULTS!G117</f>
        <v>0</v>
      </c>
      <c r="D440" s="62">
        <f>RESULTS!H117</f>
        <v>0</v>
      </c>
      <c r="E440" s="62">
        <f>RESULTS!I117</f>
        <v>0</v>
      </c>
      <c r="F440" s="62">
        <f>RESULTS!J117</f>
        <v>0</v>
      </c>
      <c r="G440" s="162">
        <f>RESULTS!K117</f>
        <v>0</v>
      </c>
    </row>
    <row r="441" spans="1:7">
      <c r="A441" s="68">
        <f>RESULTS!A118</f>
        <v>2127</v>
      </c>
      <c r="B441" s="62">
        <f>RESULTS!F118</f>
        <v>0</v>
      </c>
      <c r="C441" s="62">
        <f>RESULTS!G118</f>
        <v>0</v>
      </c>
      <c r="D441" s="62">
        <f>RESULTS!H118</f>
        <v>0</v>
      </c>
      <c r="E441" s="62">
        <f>RESULTS!I118</f>
        <v>0</v>
      </c>
      <c r="F441" s="62">
        <f>RESULTS!J118</f>
        <v>0</v>
      </c>
      <c r="G441" s="162">
        <f>RESULTS!K118</f>
        <v>0</v>
      </c>
    </row>
    <row r="442" spans="1:7">
      <c r="A442" s="68">
        <f>RESULTS!A119</f>
        <v>2128</v>
      </c>
      <c r="B442" s="62">
        <f>RESULTS!F119</f>
        <v>0</v>
      </c>
      <c r="C442" s="62">
        <f>RESULTS!G119</f>
        <v>0</v>
      </c>
      <c r="D442" s="62">
        <f>RESULTS!H119</f>
        <v>0</v>
      </c>
      <c r="E442" s="62">
        <f>RESULTS!I119</f>
        <v>0</v>
      </c>
      <c r="F442" s="62">
        <f>RESULTS!J119</f>
        <v>0</v>
      </c>
      <c r="G442" s="162">
        <f>RESULTS!K119</f>
        <v>0</v>
      </c>
    </row>
    <row r="443" spans="1:7">
      <c r="A443" s="68">
        <f>RESULTS!A120</f>
        <v>2129</v>
      </c>
      <c r="B443" s="62">
        <f>RESULTS!F120</f>
        <v>0</v>
      </c>
      <c r="C443" s="62">
        <f>RESULTS!G120</f>
        <v>0</v>
      </c>
      <c r="D443" s="62">
        <f>RESULTS!H120</f>
        <v>0</v>
      </c>
      <c r="E443" s="62">
        <f>RESULTS!I120</f>
        <v>0</v>
      </c>
      <c r="F443" s="62">
        <f>RESULTS!J120</f>
        <v>0</v>
      </c>
      <c r="G443" s="162">
        <f>RESULTS!K120</f>
        <v>0</v>
      </c>
    </row>
    <row r="444" spans="1:7">
      <c r="A444" s="68">
        <f>RESULTS!A121</f>
        <v>2130</v>
      </c>
      <c r="B444" s="62">
        <f>RESULTS!F121</f>
        <v>0</v>
      </c>
      <c r="C444" s="62">
        <f>RESULTS!G121</f>
        <v>0</v>
      </c>
      <c r="D444" s="62">
        <f>RESULTS!H121</f>
        <v>0</v>
      </c>
      <c r="E444" s="62">
        <f>RESULTS!I121</f>
        <v>0</v>
      </c>
      <c r="F444" s="62">
        <f>RESULTS!J121</f>
        <v>0</v>
      </c>
      <c r="G444" s="162">
        <f>RESULTS!K121</f>
        <v>0</v>
      </c>
    </row>
    <row r="445" spans="1:7">
      <c r="A445" s="68">
        <f>RESULTS!A122</f>
        <v>2131</v>
      </c>
      <c r="B445" s="62">
        <f>RESULTS!F122</f>
        <v>0</v>
      </c>
      <c r="C445" s="62">
        <f>RESULTS!G122</f>
        <v>0</v>
      </c>
      <c r="D445" s="62">
        <f>RESULTS!H122</f>
        <v>0</v>
      </c>
      <c r="E445" s="62">
        <f>RESULTS!I122</f>
        <v>0</v>
      </c>
      <c r="F445" s="62">
        <f>RESULTS!J122</f>
        <v>0</v>
      </c>
      <c r="G445" s="162">
        <f>RESULTS!K122</f>
        <v>0</v>
      </c>
    </row>
    <row r="446" spans="1:7">
      <c r="A446" s="68">
        <f>RESULTS!A123</f>
        <v>2132</v>
      </c>
      <c r="B446" s="62">
        <f>RESULTS!F123</f>
        <v>0</v>
      </c>
      <c r="C446" s="62">
        <f>RESULTS!G123</f>
        <v>0</v>
      </c>
      <c r="D446" s="62">
        <f>RESULTS!H123</f>
        <v>0</v>
      </c>
      <c r="E446" s="62">
        <f>RESULTS!I123</f>
        <v>0</v>
      </c>
      <c r="F446" s="62">
        <f>RESULTS!J123</f>
        <v>0</v>
      </c>
      <c r="G446" s="162">
        <f>RESULTS!K123</f>
        <v>0</v>
      </c>
    </row>
    <row r="447" spans="1:7">
      <c r="A447" s="68">
        <f>RESULTS!A124</f>
        <v>2133</v>
      </c>
      <c r="B447" s="62">
        <f>RESULTS!F124</f>
        <v>0</v>
      </c>
      <c r="C447" s="62">
        <f>RESULTS!G124</f>
        <v>0</v>
      </c>
      <c r="D447" s="62">
        <f>RESULTS!H124</f>
        <v>0</v>
      </c>
      <c r="E447" s="62">
        <f>RESULTS!I124</f>
        <v>0</v>
      </c>
      <c r="F447" s="62">
        <f>RESULTS!J124</f>
        <v>0</v>
      </c>
      <c r="G447" s="162">
        <f>RESULTS!K124</f>
        <v>0</v>
      </c>
    </row>
    <row r="448" spans="1:7">
      <c r="A448" s="68">
        <f>RESULTS!A125</f>
        <v>2134</v>
      </c>
      <c r="B448" s="62">
        <f>RESULTS!F125</f>
        <v>0</v>
      </c>
      <c r="C448" s="62">
        <f>RESULTS!G125</f>
        <v>0</v>
      </c>
      <c r="D448" s="62">
        <f>RESULTS!H125</f>
        <v>0</v>
      </c>
      <c r="E448" s="62">
        <f>RESULTS!I125</f>
        <v>0</v>
      </c>
      <c r="F448" s="62">
        <f>RESULTS!J125</f>
        <v>0</v>
      </c>
      <c r="G448" s="162">
        <f>RESULTS!K125</f>
        <v>0</v>
      </c>
    </row>
    <row r="449" spans="1:7">
      <c r="A449" s="68">
        <f>RESULTS!A126</f>
        <v>2135</v>
      </c>
      <c r="B449" s="62">
        <f>RESULTS!F126</f>
        <v>0</v>
      </c>
      <c r="C449" s="62">
        <f>RESULTS!G126</f>
        <v>0</v>
      </c>
      <c r="D449" s="62">
        <f>RESULTS!H126</f>
        <v>0</v>
      </c>
      <c r="E449" s="62">
        <f>RESULTS!I126</f>
        <v>0</v>
      </c>
      <c r="F449" s="62">
        <f>RESULTS!J126</f>
        <v>0</v>
      </c>
      <c r="G449" s="162">
        <f>RESULTS!K126</f>
        <v>0</v>
      </c>
    </row>
    <row r="450" spans="1:7">
      <c r="A450" s="68">
        <f>RESULTS!A127</f>
        <v>2136</v>
      </c>
      <c r="B450" s="62">
        <f>RESULTS!F127</f>
        <v>0</v>
      </c>
      <c r="C450" s="62">
        <f>RESULTS!G127</f>
        <v>0</v>
      </c>
      <c r="D450" s="62">
        <f>RESULTS!H127</f>
        <v>0</v>
      </c>
      <c r="E450" s="62">
        <f>RESULTS!I127</f>
        <v>0</v>
      </c>
      <c r="F450" s="62">
        <f>RESULTS!J127</f>
        <v>0</v>
      </c>
      <c r="G450" s="162">
        <f>RESULTS!K127</f>
        <v>0</v>
      </c>
    </row>
    <row r="451" spans="1:7">
      <c r="A451" s="68">
        <f>RESULTS!A128</f>
        <v>2137</v>
      </c>
      <c r="B451" s="62">
        <f>RESULTS!F128</f>
        <v>0</v>
      </c>
      <c r="C451" s="62">
        <f>RESULTS!G128</f>
        <v>0</v>
      </c>
      <c r="D451" s="62">
        <f>RESULTS!H128</f>
        <v>0</v>
      </c>
      <c r="E451" s="62">
        <f>RESULTS!I128</f>
        <v>0</v>
      </c>
      <c r="F451" s="62">
        <f>RESULTS!J128</f>
        <v>0</v>
      </c>
      <c r="G451" s="162">
        <f>RESULTS!K128</f>
        <v>0</v>
      </c>
    </row>
    <row r="452" spans="1:7">
      <c r="A452" s="68">
        <f>RESULTS!A129</f>
        <v>2138</v>
      </c>
      <c r="B452" s="62">
        <f>RESULTS!F129</f>
        <v>0</v>
      </c>
      <c r="C452" s="62">
        <f>RESULTS!G129</f>
        <v>0</v>
      </c>
      <c r="D452" s="62">
        <f>RESULTS!H129</f>
        <v>0</v>
      </c>
      <c r="E452" s="62">
        <f>RESULTS!I129</f>
        <v>0</v>
      </c>
      <c r="F452" s="62">
        <f>RESULTS!J129</f>
        <v>0</v>
      </c>
      <c r="G452" s="162">
        <f>RESULTS!K129</f>
        <v>0</v>
      </c>
    </row>
    <row r="453" spans="1:7">
      <c r="A453" s="68">
        <f>RESULTS!A130</f>
        <v>2139</v>
      </c>
      <c r="B453" s="62">
        <f>RESULTS!F130</f>
        <v>0</v>
      </c>
      <c r="C453" s="62">
        <f>RESULTS!G130</f>
        <v>0</v>
      </c>
      <c r="D453" s="62">
        <f>RESULTS!H130</f>
        <v>0</v>
      </c>
      <c r="E453" s="62">
        <f>RESULTS!I130</f>
        <v>0</v>
      </c>
      <c r="F453" s="62">
        <f>RESULTS!J130</f>
        <v>0</v>
      </c>
      <c r="G453" s="162">
        <f>RESULTS!K130</f>
        <v>0</v>
      </c>
    </row>
    <row r="454" spans="1:7">
      <c r="A454" s="68">
        <f>RESULTS!A131</f>
        <v>2140</v>
      </c>
      <c r="B454" s="62">
        <f>RESULTS!F131</f>
        <v>0</v>
      </c>
      <c r="C454" s="62">
        <f>RESULTS!G131</f>
        <v>0</v>
      </c>
      <c r="D454" s="62">
        <f>RESULTS!H131</f>
        <v>0</v>
      </c>
      <c r="E454" s="62">
        <f>RESULTS!I131</f>
        <v>0</v>
      </c>
      <c r="F454" s="62">
        <f>RESULTS!J131</f>
        <v>0</v>
      </c>
      <c r="G454" s="162">
        <f>RESULTS!K131</f>
        <v>0</v>
      </c>
    </row>
    <row r="455" spans="1:7">
      <c r="A455" s="68">
        <f>RESULTS!A132</f>
        <v>2141</v>
      </c>
      <c r="B455" s="62">
        <f>RESULTS!F132</f>
        <v>0</v>
      </c>
      <c r="C455" s="62">
        <f>RESULTS!G132</f>
        <v>0</v>
      </c>
      <c r="D455" s="62">
        <f>RESULTS!H132</f>
        <v>0</v>
      </c>
      <c r="E455" s="62">
        <f>RESULTS!I132</f>
        <v>0</v>
      </c>
      <c r="F455" s="62">
        <f>RESULTS!J132</f>
        <v>0</v>
      </c>
      <c r="G455" s="162">
        <f>RESULTS!K132</f>
        <v>0</v>
      </c>
    </row>
    <row r="456" spans="1:7">
      <c r="A456" s="68">
        <f>RESULTS!A133</f>
        <v>2142</v>
      </c>
      <c r="B456" s="62">
        <f>RESULTS!F133</f>
        <v>0</v>
      </c>
      <c r="C456" s="62">
        <f>RESULTS!G133</f>
        <v>0</v>
      </c>
      <c r="D456" s="62">
        <f>RESULTS!H133</f>
        <v>0</v>
      </c>
      <c r="E456" s="62">
        <f>RESULTS!I133</f>
        <v>0</v>
      </c>
      <c r="F456" s="62">
        <f>RESULTS!J133</f>
        <v>0</v>
      </c>
      <c r="G456" s="162">
        <f>RESULTS!K133</f>
        <v>0</v>
      </c>
    </row>
    <row r="457" spans="1:7">
      <c r="A457" s="68">
        <f>RESULTS!A134</f>
        <v>2143</v>
      </c>
      <c r="B457" s="62">
        <f>RESULTS!F134</f>
        <v>0</v>
      </c>
      <c r="C457" s="62">
        <f>RESULTS!G134</f>
        <v>0</v>
      </c>
      <c r="D457" s="62">
        <f>RESULTS!H134</f>
        <v>0</v>
      </c>
      <c r="E457" s="62">
        <f>RESULTS!I134</f>
        <v>0</v>
      </c>
      <c r="F457" s="62">
        <f>RESULTS!J134</f>
        <v>0</v>
      </c>
      <c r="G457" s="162">
        <f>RESULTS!K134</f>
        <v>0</v>
      </c>
    </row>
    <row r="458" spans="1:7">
      <c r="A458" s="68">
        <f>RESULTS!A135</f>
        <v>2144</v>
      </c>
      <c r="B458" s="62">
        <f>RESULTS!F135</f>
        <v>0</v>
      </c>
      <c r="C458" s="62">
        <f>RESULTS!G135</f>
        <v>0</v>
      </c>
      <c r="D458" s="62">
        <f>RESULTS!H135</f>
        <v>0</v>
      </c>
      <c r="E458" s="62">
        <f>RESULTS!I135</f>
        <v>0</v>
      </c>
      <c r="F458" s="62">
        <f>RESULTS!J135</f>
        <v>0</v>
      </c>
      <c r="G458" s="162">
        <f>RESULTS!K135</f>
        <v>0</v>
      </c>
    </row>
    <row r="459" spans="1:7">
      <c r="A459" s="68">
        <f>RESULTS!A136</f>
        <v>2145</v>
      </c>
      <c r="B459" s="62">
        <f>RESULTS!F136</f>
        <v>0</v>
      </c>
      <c r="C459" s="62">
        <f>RESULTS!G136</f>
        <v>0</v>
      </c>
      <c r="D459" s="62">
        <f>RESULTS!H136</f>
        <v>0</v>
      </c>
      <c r="E459" s="62">
        <f>RESULTS!I136</f>
        <v>0</v>
      </c>
      <c r="F459" s="62">
        <f>RESULTS!J136</f>
        <v>0</v>
      </c>
      <c r="G459" s="162">
        <f>RESULTS!K136</f>
        <v>0</v>
      </c>
    </row>
    <row r="460" spans="1:7">
      <c r="A460" s="68">
        <f>RESULTS!A137</f>
        <v>2146</v>
      </c>
      <c r="B460" s="62">
        <f>RESULTS!F137</f>
        <v>0</v>
      </c>
      <c r="C460" s="62">
        <f>RESULTS!G137</f>
        <v>0</v>
      </c>
      <c r="D460" s="62">
        <f>RESULTS!H137</f>
        <v>0</v>
      </c>
      <c r="E460" s="62">
        <f>RESULTS!I137</f>
        <v>0</v>
      </c>
      <c r="F460" s="62">
        <f>RESULTS!J137</f>
        <v>0</v>
      </c>
      <c r="G460" s="162">
        <f>RESULTS!K137</f>
        <v>0</v>
      </c>
    </row>
    <row r="461" spans="1:7">
      <c r="A461" s="68">
        <f>RESULTS!A138</f>
        <v>2147</v>
      </c>
      <c r="B461" s="62">
        <f>RESULTS!F138</f>
        <v>0</v>
      </c>
      <c r="C461" s="62">
        <f>RESULTS!G138</f>
        <v>0</v>
      </c>
      <c r="D461" s="62">
        <f>RESULTS!H138</f>
        <v>0</v>
      </c>
      <c r="E461" s="62">
        <f>RESULTS!I138</f>
        <v>0</v>
      </c>
      <c r="F461" s="62">
        <f>RESULTS!J138</f>
        <v>0</v>
      </c>
      <c r="G461" s="162">
        <f>RESULTS!K138</f>
        <v>0</v>
      </c>
    </row>
    <row r="462" spans="1:7">
      <c r="A462" s="68">
        <f>RESULTS!A139</f>
        <v>2148</v>
      </c>
      <c r="B462" s="62">
        <f>RESULTS!F139</f>
        <v>0</v>
      </c>
      <c r="C462" s="62">
        <f>RESULTS!G139</f>
        <v>0</v>
      </c>
      <c r="D462" s="62">
        <f>RESULTS!H139</f>
        <v>0</v>
      </c>
      <c r="E462" s="62">
        <f>RESULTS!I139</f>
        <v>0</v>
      </c>
      <c r="F462" s="62">
        <f>RESULTS!J139</f>
        <v>0</v>
      </c>
      <c r="G462" s="162">
        <f>RESULTS!K139</f>
        <v>0</v>
      </c>
    </row>
    <row r="463" spans="1:7">
      <c r="A463" s="68">
        <f>RESULTS!A140</f>
        <v>2149</v>
      </c>
      <c r="B463" s="62">
        <f>RESULTS!F140</f>
        <v>0</v>
      </c>
      <c r="C463" s="62">
        <f>RESULTS!G140</f>
        <v>0</v>
      </c>
      <c r="D463" s="62">
        <f>RESULTS!H140</f>
        <v>0</v>
      </c>
      <c r="E463" s="62">
        <f>RESULTS!I140</f>
        <v>0</v>
      </c>
      <c r="F463" s="62">
        <f>RESULTS!J140</f>
        <v>0</v>
      </c>
      <c r="G463" s="162">
        <f>RESULTS!K140</f>
        <v>0</v>
      </c>
    </row>
    <row r="464" spans="1:7">
      <c r="A464" s="68">
        <f>RESULTS!A141</f>
        <v>2150</v>
      </c>
      <c r="B464" s="62">
        <f>RESULTS!F141</f>
        <v>0</v>
      </c>
      <c r="C464" s="62">
        <f>RESULTS!G141</f>
        <v>0</v>
      </c>
      <c r="D464" s="62">
        <f>RESULTS!H141</f>
        <v>0</v>
      </c>
      <c r="E464" s="62">
        <f>RESULTS!I141</f>
        <v>0</v>
      </c>
      <c r="F464" s="62">
        <f>RESULTS!J141</f>
        <v>0</v>
      </c>
      <c r="G464" s="162">
        <f>RESULTS!K141</f>
        <v>0</v>
      </c>
    </row>
    <row r="465" spans="1:7">
      <c r="A465" s="68">
        <f>RESULTS!A142</f>
        <v>2151</v>
      </c>
      <c r="B465" s="62">
        <f>RESULTS!F142</f>
        <v>0</v>
      </c>
      <c r="C465" s="62">
        <f>RESULTS!G142</f>
        <v>0</v>
      </c>
      <c r="D465" s="62">
        <f>RESULTS!H142</f>
        <v>0</v>
      </c>
      <c r="E465" s="62">
        <f>RESULTS!I142</f>
        <v>0</v>
      </c>
      <c r="F465" s="62">
        <f>RESULTS!J142</f>
        <v>0</v>
      </c>
      <c r="G465" s="162">
        <f>RESULTS!K142</f>
        <v>0</v>
      </c>
    </row>
    <row r="466" spans="1:7">
      <c r="A466" s="68">
        <f>RESULTS!A143</f>
        <v>2152</v>
      </c>
      <c r="B466" s="62">
        <f>RESULTS!F143</f>
        <v>0</v>
      </c>
      <c r="C466" s="62">
        <f>RESULTS!G143</f>
        <v>0</v>
      </c>
      <c r="D466" s="62">
        <f>RESULTS!H143</f>
        <v>0</v>
      </c>
      <c r="E466" s="62">
        <f>RESULTS!I143</f>
        <v>0</v>
      </c>
      <c r="F466" s="62">
        <f>RESULTS!J143</f>
        <v>0</v>
      </c>
      <c r="G466" s="162">
        <f>RESULTS!K143</f>
        <v>0</v>
      </c>
    </row>
    <row r="467" spans="1:7">
      <c r="A467" s="68">
        <f>RESULTS!A144</f>
        <v>2153</v>
      </c>
      <c r="B467" s="62">
        <f>RESULTS!F144</f>
        <v>0</v>
      </c>
      <c r="C467" s="62">
        <f>RESULTS!G144</f>
        <v>0</v>
      </c>
      <c r="D467" s="62">
        <f>RESULTS!H144</f>
        <v>0</v>
      </c>
      <c r="E467" s="62">
        <f>RESULTS!I144</f>
        <v>0</v>
      </c>
      <c r="F467" s="62">
        <f>RESULTS!J144</f>
        <v>0</v>
      </c>
      <c r="G467" s="162">
        <f>RESULTS!K144</f>
        <v>0</v>
      </c>
    </row>
    <row r="468" spans="1:7">
      <c r="A468" s="68">
        <f>RESULTS!A145</f>
        <v>2154</v>
      </c>
      <c r="B468" s="62">
        <f>RESULTS!F145</f>
        <v>0</v>
      </c>
      <c r="C468" s="62">
        <f>RESULTS!G145</f>
        <v>0</v>
      </c>
      <c r="D468" s="62">
        <f>RESULTS!H145</f>
        <v>0</v>
      </c>
      <c r="E468" s="62">
        <f>RESULTS!I145</f>
        <v>0</v>
      </c>
      <c r="F468" s="62">
        <f>RESULTS!J145</f>
        <v>0</v>
      </c>
      <c r="G468" s="162">
        <f>RESULTS!K145</f>
        <v>0</v>
      </c>
    </row>
    <row r="469" spans="1:7">
      <c r="A469" s="68">
        <f>RESULTS!A146</f>
        <v>2155</v>
      </c>
      <c r="B469" s="62">
        <f>RESULTS!F146</f>
        <v>0</v>
      </c>
      <c r="C469" s="62">
        <f>RESULTS!G146</f>
        <v>0</v>
      </c>
      <c r="D469" s="62">
        <f>RESULTS!H146</f>
        <v>0</v>
      </c>
      <c r="E469" s="62">
        <f>RESULTS!I146</f>
        <v>0</v>
      </c>
      <c r="F469" s="62">
        <f>RESULTS!J146</f>
        <v>0</v>
      </c>
      <c r="G469" s="162">
        <f>RESULTS!K146</f>
        <v>0</v>
      </c>
    </row>
    <row r="470" spans="1:7">
      <c r="A470" s="68">
        <f>RESULTS!A147</f>
        <v>2156</v>
      </c>
      <c r="B470" s="62">
        <f>RESULTS!F147</f>
        <v>0</v>
      </c>
      <c r="C470" s="62">
        <f>RESULTS!G147</f>
        <v>0</v>
      </c>
      <c r="D470" s="62">
        <f>RESULTS!H147</f>
        <v>0</v>
      </c>
      <c r="E470" s="62">
        <f>RESULTS!I147</f>
        <v>0</v>
      </c>
      <c r="F470" s="62">
        <f>RESULTS!J147</f>
        <v>0</v>
      </c>
      <c r="G470" s="162">
        <f>RESULTS!K147</f>
        <v>0</v>
      </c>
    </row>
    <row r="471" spans="1:7">
      <c r="A471" s="68">
        <f>RESULTS!A148</f>
        <v>2157</v>
      </c>
      <c r="B471" s="62">
        <f>RESULTS!F148</f>
        <v>0</v>
      </c>
      <c r="C471" s="62">
        <f>RESULTS!G148</f>
        <v>0</v>
      </c>
      <c r="D471" s="62">
        <f>RESULTS!H148</f>
        <v>0</v>
      </c>
      <c r="E471" s="62">
        <f>RESULTS!I148</f>
        <v>0</v>
      </c>
      <c r="F471" s="62">
        <f>RESULTS!J148</f>
        <v>0</v>
      </c>
      <c r="G471" s="162">
        <f>RESULTS!K148</f>
        <v>0</v>
      </c>
    </row>
    <row r="472" spans="1:7" ht="13.5" thickBot="1">
      <c r="A472" s="69">
        <f>RESULTS!A149</f>
        <v>2158</v>
      </c>
      <c r="B472" s="165">
        <f>RESULTS!F149</f>
        <v>0</v>
      </c>
      <c r="C472" s="165">
        <f>RESULTS!G149</f>
        <v>0</v>
      </c>
      <c r="D472" s="165">
        <f>RESULTS!H149</f>
        <v>0</v>
      </c>
      <c r="E472" s="165">
        <f>RESULTS!I149</f>
        <v>0</v>
      </c>
      <c r="F472" s="165">
        <f>RESULTS!J149</f>
        <v>0</v>
      </c>
      <c r="G472" s="166">
        <f>RESULTS!K149</f>
        <v>0</v>
      </c>
    </row>
    <row r="473" spans="1:7">
      <c r="B473" s="365"/>
      <c r="C473" s="365"/>
      <c r="D473" s="365"/>
    </row>
    <row r="475" spans="1:7" ht="18">
      <c r="A475" s="308" t="s">
        <v>242</v>
      </c>
      <c r="E475" s="365"/>
      <c r="F475" s="365"/>
      <c r="G475" s="365"/>
    </row>
    <row r="476" spans="1:7" ht="13.5" thickBot="1"/>
    <row r="477" spans="1:7">
      <c r="A477" s="391" t="s">
        <v>5</v>
      </c>
      <c r="B477" s="661" t="str">
        <f>RESULTS!$L$7</f>
        <v>Carbon dioxide</v>
      </c>
      <c r="C477" s="662"/>
      <c r="D477" s="666"/>
      <c r="E477" s="661" t="str">
        <f>RESULTS!$O$7</f>
        <v/>
      </c>
      <c r="F477" s="662"/>
      <c r="G477" s="663"/>
    </row>
    <row r="478" spans="1:7" ht="14.25">
      <c r="A478" s="429"/>
      <c r="B478" s="53" t="s">
        <v>50</v>
      </c>
      <c r="C478" s="53" t="s">
        <v>345</v>
      </c>
      <c r="D478" s="53" t="str">
        <f>RESULTS!$H$8</f>
        <v>(av ft^3/min)</v>
      </c>
      <c r="E478" s="53" t="s">
        <v>50</v>
      </c>
      <c r="F478" s="53" t="s">
        <v>345</v>
      </c>
      <c r="G478" s="144" t="str">
        <f>RESULTS!$H$8</f>
        <v>(av ft^3/min)</v>
      </c>
    </row>
    <row r="479" spans="1:7">
      <c r="A479" s="154">
        <f>RESULTS!A9</f>
        <v>2018</v>
      </c>
      <c r="B479" s="167">
        <f>RESULTS!L9</f>
        <v>0</v>
      </c>
      <c r="C479" s="167">
        <f>RESULTS!M9</f>
        <v>0</v>
      </c>
      <c r="D479" s="167">
        <f>RESULTS!N9</f>
        <v>0</v>
      </c>
      <c r="E479" s="167">
        <f>RESULTS!O9</f>
        <v>0</v>
      </c>
      <c r="F479" s="167">
        <f>RESULTS!P9</f>
        <v>0</v>
      </c>
      <c r="G479" s="168">
        <f>RESULTS!Q9</f>
        <v>0</v>
      </c>
    </row>
    <row r="480" spans="1:7">
      <c r="A480" s="68">
        <f>RESULTS!A10</f>
        <v>2019</v>
      </c>
      <c r="B480" s="62">
        <f>RESULTS!L10</f>
        <v>906.56662871066976</v>
      </c>
      <c r="C480" s="62">
        <f>RESULTS!M10</f>
        <v>495256.61160523619</v>
      </c>
      <c r="D480" s="62">
        <f>RESULTS!N10</f>
        <v>33.276231428536747</v>
      </c>
      <c r="E480" s="62">
        <f>RESULTS!O10</f>
        <v>0</v>
      </c>
      <c r="F480" s="62">
        <f>RESULTS!P10</f>
        <v>0</v>
      </c>
      <c r="G480" s="162">
        <f>RESULTS!Q10</f>
        <v>0</v>
      </c>
    </row>
    <row r="481" spans="1:7">
      <c r="A481" s="68">
        <f>RESULTS!A11</f>
        <v>2020</v>
      </c>
      <c r="B481" s="62">
        <f>RESULTS!L11</f>
        <v>2278.1728000799362</v>
      </c>
      <c r="C481" s="62">
        <f>RESULTS!M11</f>
        <v>1244563.9469692991</v>
      </c>
      <c r="D481" s="62">
        <f>RESULTS!N11</f>
        <v>83.622100051789957</v>
      </c>
      <c r="E481" s="62">
        <f>RESULTS!O11</f>
        <v>0</v>
      </c>
      <c r="F481" s="62">
        <f>RESULTS!P11</f>
        <v>0</v>
      </c>
      <c r="G481" s="162">
        <f>RESULTS!Q11</f>
        <v>0</v>
      </c>
    </row>
    <row r="482" spans="1:7">
      <c r="A482" s="68">
        <f>RESULTS!A12</f>
        <v>2021</v>
      </c>
      <c r="B482" s="62">
        <f>RESULTS!L12</f>
        <v>3548.214853082291</v>
      </c>
      <c r="C482" s="62">
        <f>RESULTS!M12</f>
        <v>1938386.8871106883</v>
      </c>
      <c r="D482" s="62">
        <f>RESULTS!N12</f>
        <v>130.23997891612242</v>
      </c>
      <c r="E482" s="62">
        <f>RESULTS!O12</f>
        <v>0</v>
      </c>
      <c r="F482" s="62">
        <f>RESULTS!P12</f>
        <v>0</v>
      </c>
      <c r="G482" s="162">
        <f>RESULTS!Q12</f>
        <v>0</v>
      </c>
    </row>
    <row r="483" spans="1:7">
      <c r="A483" s="68">
        <f>RESULTS!A13</f>
        <v>2022</v>
      </c>
      <c r="B483" s="62">
        <f>RESULTS!L13</f>
        <v>4096.2497315889177</v>
      </c>
      <c r="C483" s="62">
        <f>RESULTS!M13</f>
        <v>2237777.8953112583</v>
      </c>
      <c r="D483" s="62">
        <f>RESULTS!N13</f>
        <v>150.35602430159264</v>
      </c>
      <c r="E483" s="62">
        <f>RESULTS!O13</f>
        <v>0</v>
      </c>
      <c r="F483" s="62">
        <f>RESULTS!P13</f>
        <v>0</v>
      </c>
      <c r="G483" s="162">
        <f>RESULTS!Q13</f>
        <v>0</v>
      </c>
    </row>
    <row r="484" spans="1:7">
      <c r="A484" s="68">
        <f>RESULTS!A14</f>
        <v>2023</v>
      </c>
      <c r="B484" s="62">
        <f>RESULTS!L14</f>
        <v>5028.0807427860918</v>
      </c>
      <c r="C484" s="62">
        <f>RESULTS!M14</f>
        <v>2746836.4185116305</v>
      </c>
      <c r="D484" s="62">
        <f>RESULTS!N14</f>
        <v>184.55960448960849</v>
      </c>
      <c r="E484" s="62">
        <f>RESULTS!O14</f>
        <v>0</v>
      </c>
      <c r="F484" s="62">
        <f>RESULTS!P14</f>
        <v>0</v>
      </c>
      <c r="G484" s="162">
        <f>RESULTS!Q14</f>
        <v>0</v>
      </c>
    </row>
    <row r="485" spans="1:7">
      <c r="A485" s="68">
        <f>RESULTS!A15</f>
        <v>2024</v>
      </c>
      <c r="B485" s="62">
        <f>RESULTS!L15</f>
        <v>5975.5198660121559</v>
      </c>
      <c r="C485" s="62">
        <f>RESULTS!M15</f>
        <v>3264421.6406133031</v>
      </c>
      <c r="D485" s="62">
        <f>RESULTS!N15</f>
        <v>219.33609253854414</v>
      </c>
      <c r="E485" s="62">
        <f>RESULTS!O15</f>
        <v>0</v>
      </c>
      <c r="F485" s="62">
        <f>RESULTS!P15</f>
        <v>0</v>
      </c>
      <c r="G485" s="162">
        <f>RESULTS!Q15</f>
        <v>0</v>
      </c>
    </row>
    <row r="486" spans="1:7">
      <c r="A486" s="68">
        <f>RESULTS!A16</f>
        <v>2025</v>
      </c>
      <c r="B486" s="62">
        <f>RESULTS!L16</f>
        <v>6940.4434795679235</v>
      </c>
      <c r="C486" s="62">
        <f>RESULTS!M16</f>
        <v>3791558.6255552294</v>
      </c>
      <c r="D486" s="62">
        <f>RESULTS!N16</f>
        <v>254.75436236964026</v>
      </c>
      <c r="E486" s="62">
        <f>RESULTS!O16</f>
        <v>0</v>
      </c>
      <c r="F486" s="62">
        <f>RESULTS!P16</f>
        <v>0</v>
      </c>
      <c r="G486" s="162">
        <f>RESULTS!Q16</f>
        <v>0</v>
      </c>
    </row>
    <row r="487" spans="1:7">
      <c r="A487" s="68">
        <f>RESULTS!A17</f>
        <v>2026</v>
      </c>
      <c r="B487" s="62">
        <f>RESULTS!L17</f>
        <v>7924.7694575561727</v>
      </c>
      <c r="C487" s="62">
        <f>RESULTS!M17</f>
        <v>4329295.1063992139</v>
      </c>
      <c r="D487" s="62">
        <f>RESULTS!N17</f>
        <v>290.88481103974169</v>
      </c>
      <c r="E487" s="62">
        <f>RESULTS!O17</f>
        <v>0</v>
      </c>
      <c r="F487" s="62">
        <f>RESULTS!P17</f>
        <v>0</v>
      </c>
      <c r="G487" s="162">
        <f>RESULTS!Q17</f>
        <v>0</v>
      </c>
    </row>
    <row r="488" spans="1:7">
      <c r="A488" s="68">
        <f>RESULTS!A18</f>
        <v>2027</v>
      </c>
      <c r="B488" s="62">
        <f>RESULTS!L18</f>
        <v>8930.4747210825662</v>
      </c>
      <c r="C488" s="62">
        <f>RESULTS!M18</f>
        <v>4878711.0735366885</v>
      </c>
      <c r="D488" s="62">
        <f>RESULTS!N18</f>
        <v>327.80000297174308</v>
      </c>
      <c r="E488" s="62">
        <f>RESULTS!O18</f>
        <v>0</v>
      </c>
      <c r="F488" s="62">
        <f>RESULTS!P18</f>
        <v>0</v>
      </c>
      <c r="G488" s="162">
        <f>RESULTS!Q18</f>
        <v>0</v>
      </c>
    </row>
    <row r="489" spans="1:7">
      <c r="A489" s="68">
        <f>RESULTS!A19</f>
        <v>2028</v>
      </c>
      <c r="B489" s="62">
        <f>RESULTS!L19</f>
        <v>9959.5833338522516</v>
      </c>
      <c r="C489" s="62">
        <f>RESULTS!M19</f>
        <v>5440912.2713228269</v>
      </c>
      <c r="D489" s="62">
        <f>RESULTS!N19</f>
        <v>365.5742329942268</v>
      </c>
      <c r="E489" s="62">
        <f>RESULTS!O19</f>
        <v>0</v>
      </c>
      <c r="F489" s="62">
        <f>RESULTS!P19</f>
        <v>0</v>
      </c>
      <c r="G489" s="162">
        <f>RESULTS!Q19</f>
        <v>0</v>
      </c>
    </row>
    <row r="490" spans="1:7">
      <c r="A490" s="68">
        <f>RESULTS!A20</f>
        <v>2029</v>
      </c>
      <c r="B490" s="62">
        <f>RESULTS!L20</f>
        <v>11014.174242819399</v>
      </c>
      <c r="C490" s="62">
        <f>RESULTS!M20</f>
        <v>6017034.426787083</v>
      </c>
      <c r="D490" s="62">
        <f>RESULTS!N20</f>
        <v>404.28381046800956</v>
      </c>
      <c r="E490" s="62">
        <f>RESULTS!O20</f>
        <v>0</v>
      </c>
      <c r="F490" s="62">
        <f>RESULTS!P20</f>
        <v>0</v>
      </c>
      <c r="G490" s="162">
        <f>RESULTS!Q20</f>
        <v>0</v>
      </c>
    </row>
    <row r="491" spans="1:7">
      <c r="A491" s="68">
        <f>RESULTS!A21</f>
        <v>2030</v>
      </c>
      <c r="B491" s="62">
        <f>RESULTS!L21</f>
        <v>12096.393509890146</v>
      </c>
      <c r="C491" s="62">
        <f>RESULTS!M21</f>
        <v>6608249.9318025643</v>
      </c>
      <c r="D491" s="62">
        <f>RESULTS!N21</f>
        <v>444.00750826028832</v>
      </c>
      <c r="E491" s="62">
        <f>RESULTS!O21</f>
        <v>0</v>
      </c>
      <c r="F491" s="62">
        <f>RESULTS!P21</f>
        <v>0</v>
      </c>
      <c r="G491" s="162">
        <f>RESULTS!Q21</f>
        <v>0</v>
      </c>
    </row>
    <row r="492" spans="1:7">
      <c r="A492" s="68">
        <f>RESULTS!A22</f>
        <v>2031</v>
      </c>
      <c r="B492" s="62">
        <f>RESULTS!L22</f>
        <v>13208.446885739062</v>
      </c>
      <c r="C492" s="62">
        <f>RESULTS!M22</f>
        <v>7215763.7861679997</v>
      </c>
      <c r="D492" s="62">
        <f>RESULTS!N22</f>
        <v>484.82629016081222</v>
      </c>
      <c r="E492" s="62">
        <f>RESULTS!O22</f>
        <v>0</v>
      </c>
      <c r="F492" s="62">
        <f>RESULTS!P22</f>
        <v>0</v>
      </c>
      <c r="G492" s="162">
        <f>RESULTS!Q22</f>
        <v>0</v>
      </c>
    </row>
    <row r="493" spans="1:7">
      <c r="A493" s="68">
        <f>RESULTS!A23</f>
        <v>2032</v>
      </c>
      <c r="B493" s="62">
        <f>RESULTS!L23</f>
        <v>14352.616647653642</v>
      </c>
      <c r="C493" s="62">
        <f>RESULTS!M23</f>
        <v>7840822.7961084964</v>
      </c>
      <c r="D493" s="62">
        <f>RESULTS!N23</f>
        <v>526.82392892802795</v>
      </c>
      <c r="E493" s="62">
        <f>RESULTS!O23</f>
        <v>0</v>
      </c>
      <c r="F493" s="62">
        <f>RESULTS!P23</f>
        <v>0</v>
      </c>
      <c r="G493" s="162">
        <f>RESULTS!Q23</f>
        <v>0</v>
      </c>
    </row>
    <row r="494" spans="1:7">
      <c r="A494" s="68">
        <f>RESULTS!A24</f>
        <v>2033</v>
      </c>
      <c r="B494" s="62">
        <f>RESULTS!L24</f>
        <v>15531.258598882889</v>
      </c>
      <c r="C494" s="62">
        <f>RESULTS!M24</f>
        <v>8484713.9350221027</v>
      </c>
      <c r="D494" s="62">
        <f>RESULTS!N24</f>
        <v>570.08689614784157</v>
      </c>
      <c r="E494" s="62">
        <f>RESULTS!O24</f>
        <v>0</v>
      </c>
      <c r="F494" s="62">
        <f>RESULTS!P24</f>
        <v>0</v>
      </c>
      <c r="G494" s="162">
        <f>RESULTS!Q24</f>
        <v>0</v>
      </c>
    </row>
    <row r="495" spans="1:7">
      <c r="A495" s="68">
        <f>RESULTS!A25</f>
        <v>2034</v>
      </c>
      <c r="B495" s="62">
        <f>RESULTS!L25</f>
        <v>16746.803980211764</v>
      </c>
      <c r="C495" s="62">
        <f>RESULTS!M25</f>
        <v>9148765.3877713773</v>
      </c>
      <c r="D495" s="62">
        <f>RESULTS!N25</f>
        <v>614.70443239944098</v>
      </c>
      <c r="E495" s="62">
        <f>RESULTS!O25</f>
        <v>0</v>
      </c>
      <c r="F495" s="62">
        <f>RESULTS!P25</f>
        <v>0</v>
      </c>
      <c r="G495" s="162">
        <f>RESULTS!Q25</f>
        <v>0</v>
      </c>
    </row>
    <row r="496" spans="1:7">
      <c r="A496" s="68">
        <f>RESULTS!A26</f>
        <v>2035</v>
      </c>
      <c r="B496" s="62">
        <f>RESULTS!L26</f>
        <v>18001.775690287686</v>
      </c>
      <c r="C496" s="62">
        <f>RESULTS!M26</f>
        <v>9834355.4118345641</v>
      </c>
      <c r="D496" s="62">
        <f>RESULTS!N26</f>
        <v>660.76914263496496</v>
      </c>
      <c r="E496" s="62">
        <f>RESULTS!O26</f>
        <v>0</v>
      </c>
      <c r="F496" s="62">
        <f>RESULTS!P26</f>
        <v>0</v>
      </c>
      <c r="G496" s="162">
        <f>RESULTS!Q26</f>
        <v>0</v>
      </c>
    </row>
    <row r="497" spans="1:7">
      <c r="A497" s="68">
        <f>RESULTS!A27</f>
        <v>2036</v>
      </c>
      <c r="B497" s="62">
        <f>RESULTS!L27</f>
        <v>19298.784691664354</v>
      </c>
      <c r="C497" s="62">
        <f>RESULTS!M27</f>
        <v>10542910.373930248</v>
      </c>
      <c r="D497" s="62">
        <f>RESULTS!N27</f>
        <v>708.37686426055302</v>
      </c>
      <c r="E497" s="62">
        <f>RESULTS!O27</f>
        <v>0</v>
      </c>
      <c r="F497" s="62">
        <f>RESULTS!P27</f>
        <v>0</v>
      </c>
      <c r="G497" s="162">
        <f>RESULTS!Q27</f>
        <v>0</v>
      </c>
    </row>
    <row r="498" spans="1:7">
      <c r="A498" s="68">
        <f>RESULTS!A28</f>
        <v>2037</v>
      </c>
      <c r="B498" s="62">
        <f>RESULTS!L28</f>
        <v>20640.540941472504</v>
      </c>
      <c r="C498" s="62">
        <f>RESULTS!M28</f>
        <v>11275910.721433897</v>
      </c>
      <c r="D498" s="62">
        <f>RESULTS!N28</f>
        <v>757.62706835509516</v>
      </c>
      <c r="E498" s="62">
        <f>RESULTS!O28</f>
        <v>0</v>
      </c>
      <c r="F498" s="62">
        <f>RESULTS!P28</f>
        <v>0</v>
      </c>
      <c r="G498" s="162">
        <f>RESULTS!Q28</f>
        <v>0</v>
      </c>
    </row>
    <row r="499" spans="1:7">
      <c r="A499" s="68">
        <f>RESULTS!A29</f>
        <v>2038</v>
      </c>
      <c r="B499" s="62">
        <f>RESULTS!L29</f>
        <v>22029.849509787022</v>
      </c>
      <c r="C499" s="62">
        <f>RESULTS!M29</f>
        <v>12034888.861844981</v>
      </c>
      <c r="D499" s="62">
        <f>RESULTS!N29</f>
        <v>808.6227171918863</v>
      </c>
      <c r="E499" s="62">
        <f>RESULTS!O29</f>
        <v>0</v>
      </c>
      <c r="F499" s="62">
        <f>RESULTS!P29</f>
        <v>0</v>
      </c>
      <c r="G499" s="162">
        <f>RESULTS!Q29</f>
        <v>0</v>
      </c>
    </row>
    <row r="500" spans="1:7">
      <c r="A500" s="68">
        <f>RESULTS!A30</f>
        <v>2039</v>
      </c>
      <c r="B500" s="62">
        <f>RESULTS!L30</f>
        <v>23469.626028469669</v>
      </c>
      <c r="C500" s="62">
        <f>RESULTS!M30</f>
        <v>12821437.602477174</v>
      </c>
      <c r="D500" s="62">
        <f>RESULTS!N30</f>
        <v>861.47083130038311</v>
      </c>
      <c r="E500" s="62">
        <f>RESULTS!O30</f>
        <v>0</v>
      </c>
      <c r="F500" s="62">
        <f>RESULTS!P30</f>
        <v>0</v>
      </c>
      <c r="G500" s="162">
        <f>RESULTS!Q30</f>
        <v>0</v>
      </c>
    </row>
    <row r="501" spans="1:7">
      <c r="A501" s="68">
        <f>RESULTS!A31</f>
        <v>2040</v>
      </c>
      <c r="B501" s="62">
        <f>RESULTS!L31</f>
        <v>24962.901945116686</v>
      </c>
      <c r="C501" s="62">
        <f>RESULTS!M31</f>
        <v>13637213.020685662</v>
      </c>
      <c r="D501" s="62">
        <f>RESULTS!N31</f>
        <v>916.2826823164271</v>
      </c>
      <c r="E501" s="62">
        <f>RESULTS!O31</f>
        <v>0</v>
      </c>
      <c r="F501" s="62">
        <f>RESULTS!P31</f>
        <v>0</v>
      </c>
      <c r="G501" s="162">
        <f>RESULTS!Q31</f>
        <v>0</v>
      </c>
    </row>
    <row r="502" spans="1:7">
      <c r="A502" s="68">
        <f>RESULTS!A32</f>
        <v>2041</v>
      </c>
      <c r="B502" s="62">
        <f>RESULTS!L32</f>
        <v>26512.829570996171</v>
      </c>
      <c r="C502" s="62">
        <f>RESULTS!M32</f>
        <v>14483937.221551217</v>
      </c>
      <c r="D502" s="62">
        <f>RESULTS!N32</f>
        <v>973.17397827070249</v>
      </c>
      <c r="E502" s="62">
        <f>RESULTS!O32</f>
        <v>0</v>
      </c>
      <c r="F502" s="62">
        <f>RESULTS!P32</f>
        <v>0</v>
      </c>
      <c r="G502" s="162">
        <f>RESULTS!Q32</f>
        <v>0</v>
      </c>
    </row>
    <row r="503" spans="1:7">
      <c r="A503" s="68">
        <f>RESULTS!A33</f>
        <v>2042</v>
      </c>
      <c r="B503" s="62">
        <f>RESULTS!L33</f>
        <v>28122.686931053009</v>
      </c>
      <c r="C503" s="62">
        <f>RESULTS!M33</f>
        <v>15363400.987433951</v>
      </c>
      <c r="D503" s="62">
        <f>RESULTS!N33</f>
        <v>1032.2650416119293</v>
      </c>
      <c r="E503" s="62">
        <f>RESULTS!O33</f>
        <v>0</v>
      </c>
      <c r="F503" s="62">
        <f>RESULTS!P33</f>
        <v>0</v>
      </c>
      <c r="G503" s="162">
        <f>RESULTS!Q33</f>
        <v>0</v>
      </c>
    </row>
    <row r="504" spans="1:7">
      <c r="A504" s="68">
        <f>RESULTS!A34</f>
        <v>2043</v>
      </c>
      <c r="B504" s="62">
        <f>RESULTS!L34</f>
        <v>29795.88242374246</v>
      </c>
      <c r="C504" s="62">
        <f>RESULTS!M34</f>
        <v>16277466.32363661</v>
      </c>
      <c r="D504" s="62">
        <f>RESULTS!N34</f>
        <v>1093.6809802496705</v>
      </c>
      <c r="E504" s="62">
        <f>RESULTS!O34</f>
        <v>0</v>
      </c>
      <c r="F504" s="62">
        <f>RESULTS!P34</f>
        <v>0</v>
      </c>
      <c r="G504" s="162">
        <f>RESULTS!Q34</f>
        <v>0</v>
      </c>
    </row>
    <row r="505" spans="1:7">
      <c r="A505" s="68">
        <f>RESULTS!A35</f>
        <v>2044</v>
      </c>
      <c r="B505" s="62">
        <f>RESULTS!L35</f>
        <v>31535.968887286148</v>
      </c>
      <c r="C505" s="62">
        <f>RESULTS!M35</f>
        <v>17228074.142788783</v>
      </c>
      <c r="D505" s="62">
        <f>RESULTS!N35</f>
        <v>1157.5522038671725</v>
      </c>
      <c r="E505" s="62">
        <f>RESULTS!O35</f>
        <v>0</v>
      </c>
      <c r="F505" s="62">
        <f>RESULTS!P35</f>
        <v>0</v>
      </c>
      <c r="G505" s="162">
        <f>RESULTS!Q35</f>
        <v>0</v>
      </c>
    </row>
    <row r="506" spans="1:7">
      <c r="A506" s="68">
        <f>RESULTS!A36</f>
        <v>2045</v>
      </c>
      <c r="B506" s="62">
        <f>RESULTS!L36</f>
        <v>33346.652319813897</v>
      </c>
      <c r="C506" s="62">
        <f>RESULTS!M36</f>
        <v>18217249.028653268</v>
      </c>
      <c r="D506" s="62">
        <f>RESULTS!N36</f>
        <v>1224.0147440009325</v>
      </c>
      <c r="E506" s="62">
        <f>RESULTS!O36</f>
        <v>0</v>
      </c>
      <c r="F506" s="62">
        <f>RESULTS!P36</f>
        <v>0</v>
      </c>
      <c r="G506" s="162">
        <f>RESULTS!Q36</f>
        <v>0</v>
      </c>
    </row>
    <row r="507" spans="1:7">
      <c r="A507" s="68">
        <f>RESULTS!A37</f>
        <v>2046</v>
      </c>
      <c r="B507" s="62">
        <f>RESULTS!L37</f>
        <v>35231.785873877699</v>
      </c>
      <c r="C507" s="62">
        <f>RESULTS!M37</f>
        <v>19247095.955333982</v>
      </c>
      <c r="D507" s="62">
        <f>RESULTS!N37</f>
        <v>1293.2100336046794</v>
      </c>
      <c r="E507" s="62">
        <f>RESULTS!O37</f>
        <v>0</v>
      </c>
      <c r="F507" s="62">
        <f>RESULTS!P37</f>
        <v>0</v>
      </c>
      <c r="G507" s="162">
        <f>RESULTS!Q37</f>
        <v>0</v>
      </c>
    </row>
    <row r="508" spans="1:7">
      <c r="A508" s="68">
        <f>RESULTS!A38</f>
        <v>2047</v>
      </c>
      <c r="B508" s="62">
        <f>RESULTS!L38</f>
        <v>37195.397648424951</v>
      </c>
      <c r="C508" s="62">
        <f>RESULTS!M38</f>
        <v>20319815.470008273</v>
      </c>
      <c r="D508" s="62">
        <f>RESULTS!N38</f>
        <v>1365.2859271753084</v>
      </c>
      <c r="E508" s="62">
        <f>RESULTS!O38</f>
        <v>0</v>
      </c>
      <c r="F508" s="62">
        <f>RESULTS!P38</f>
        <v>0</v>
      </c>
      <c r="G508" s="162">
        <f>RESULTS!Q38</f>
        <v>0</v>
      </c>
    </row>
    <row r="509" spans="1:7">
      <c r="A509" s="68">
        <f>RESULTS!A39</f>
        <v>2048</v>
      </c>
      <c r="B509" s="62">
        <f>RESULTS!L39</f>
        <v>39241.679034483364</v>
      </c>
      <c r="C509" s="62">
        <f>RESULTS!M39</f>
        <v>21437697.326184109</v>
      </c>
      <c r="D509" s="62">
        <f>RESULTS!N39</f>
        <v>1440.3962729722066</v>
      </c>
      <c r="E509" s="62">
        <f>RESULTS!O39</f>
        <v>0</v>
      </c>
      <c r="F509" s="62">
        <f>RESULTS!P39</f>
        <v>0</v>
      </c>
      <c r="G509" s="162">
        <f>RESULTS!Q39</f>
        <v>0</v>
      </c>
    </row>
    <row r="510" spans="1:7">
      <c r="A510" s="68">
        <f>RESULTS!A40</f>
        <v>2049</v>
      </c>
      <c r="B510" s="62">
        <f>RESULTS!L40</f>
        <v>41375.011874367585</v>
      </c>
      <c r="C510" s="62">
        <f>RESULTS!M40</f>
        <v>22603135.32075255</v>
      </c>
      <c r="D510" s="62">
        <f>RESULTS!N40</f>
        <v>1518.701909917002</v>
      </c>
      <c r="E510" s="62">
        <f>RESULTS!O40</f>
        <v>0</v>
      </c>
      <c r="F510" s="62">
        <f>RESULTS!P40</f>
        <v>0</v>
      </c>
      <c r="G510" s="162">
        <f>RESULTS!Q40</f>
        <v>0</v>
      </c>
    </row>
    <row r="511" spans="1:7">
      <c r="A511" s="68">
        <f>RESULTS!A41</f>
        <v>2050</v>
      </c>
      <c r="B511" s="62">
        <f>RESULTS!L41</f>
        <v>39752.674453694352</v>
      </c>
      <c r="C511" s="62">
        <f>RESULTS!M41</f>
        <v>21716853.707909912</v>
      </c>
      <c r="D511" s="62">
        <f>RESULTS!N41</f>
        <v>1459.1527562687186</v>
      </c>
      <c r="E511" s="62">
        <f>RESULTS!O41</f>
        <v>0</v>
      </c>
      <c r="F511" s="62">
        <f>RESULTS!P41</f>
        <v>0</v>
      </c>
      <c r="G511" s="162">
        <f>RESULTS!Q41</f>
        <v>0</v>
      </c>
    </row>
    <row r="512" spans="1:7">
      <c r="A512" s="68">
        <f>RESULTS!A42</f>
        <v>2051</v>
      </c>
      <c r="B512" s="62">
        <f>RESULTS!L42</f>
        <v>38193.949793169879</v>
      </c>
      <c r="C512" s="62">
        <f>RESULTS!M42</f>
        <v>20865323.694175813</v>
      </c>
      <c r="D512" s="62">
        <f>RESULTS!N42</f>
        <v>1401.9385583329886</v>
      </c>
      <c r="E512" s="62">
        <f>RESULTS!O42</f>
        <v>0</v>
      </c>
      <c r="F512" s="62">
        <f>RESULTS!P42</f>
        <v>0</v>
      </c>
      <c r="G512" s="162">
        <f>RESULTS!Q42</f>
        <v>0</v>
      </c>
    </row>
    <row r="513" spans="1:7">
      <c r="A513" s="68">
        <f>RESULTS!A43</f>
        <v>2052</v>
      </c>
      <c r="B513" s="62">
        <f>RESULTS!L43</f>
        <v>36696.343600791675</v>
      </c>
      <c r="C513" s="62">
        <f>RESULTS!M43</f>
        <v>20047182.649858858</v>
      </c>
      <c r="D513" s="62">
        <f>RESULTS!N43</f>
        <v>1346.9677611867685</v>
      </c>
      <c r="E513" s="62">
        <f>RESULTS!O43</f>
        <v>0</v>
      </c>
      <c r="F513" s="62">
        <f>RESULTS!P43</f>
        <v>0</v>
      </c>
      <c r="G513" s="162">
        <f>RESULTS!Q43</f>
        <v>0</v>
      </c>
    </row>
    <row r="514" spans="1:7">
      <c r="A514" s="68">
        <f>RESULTS!A44</f>
        <v>2053</v>
      </c>
      <c r="B514" s="62">
        <f>RESULTS!L44</f>
        <v>35257.45938714558</v>
      </c>
      <c r="C514" s="62">
        <f>RESULTS!M44</f>
        <v>19261121.37474208</v>
      </c>
      <c r="D514" s="62">
        <f>RESULTS!N44</f>
        <v>1294.152399826896</v>
      </c>
      <c r="E514" s="62">
        <f>RESULTS!O44</f>
        <v>0</v>
      </c>
      <c r="F514" s="62">
        <f>RESULTS!P44</f>
        <v>0</v>
      </c>
      <c r="G514" s="162">
        <f>RESULTS!Q44</f>
        <v>0</v>
      </c>
    </row>
    <row r="515" spans="1:7">
      <c r="A515" s="68">
        <f>RESULTS!A45</f>
        <v>2054</v>
      </c>
      <c r="B515" s="62">
        <f>RESULTS!L45</f>
        <v>33874.994630511421</v>
      </c>
      <c r="C515" s="62">
        <f>RESULTS!M45</f>
        <v>18505882.00308327</v>
      </c>
      <c r="D515" s="62">
        <f>RESULTS!N45</f>
        <v>1243.4079584073168</v>
      </c>
      <c r="E515" s="62">
        <f>RESULTS!O45</f>
        <v>0</v>
      </c>
      <c r="F515" s="62">
        <f>RESULTS!P45</f>
        <v>0</v>
      </c>
      <c r="G515" s="162">
        <f>RESULTS!Q45</f>
        <v>0</v>
      </c>
    </row>
    <row r="516" spans="1:7">
      <c r="A516" s="68">
        <f>RESULTS!A46</f>
        <v>2055</v>
      </c>
      <c r="B516" s="62">
        <f>RESULTS!L46</f>
        <v>32546.737092337018</v>
      </c>
      <c r="C516" s="62">
        <f>RESULTS!M46</f>
        <v>17780255.99076144</v>
      </c>
      <c r="D516" s="62">
        <f>RESULTS!N46</f>
        <v>1194.6532349957006</v>
      </c>
      <c r="E516" s="62">
        <f>RESULTS!O46</f>
        <v>0</v>
      </c>
      <c r="F516" s="62">
        <f>RESULTS!P46</f>
        <v>0</v>
      </c>
      <c r="G516" s="162">
        <f>RESULTS!Q46</f>
        <v>0</v>
      </c>
    </row>
    <row r="517" spans="1:7">
      <c r="A517" s="68">
        <f>RESULTS!A47</f>
        <v>2056</v>
      </c>
      <c r="B517" s="62">
        <f>RESULTS!L47</f>
        <v>31270.561277184599</v>
      </c>
      <c r="C517" s="62">
        <f>RESULTS!M47</f>
        <v>17083082.181348421</v>
      </c>
      <c r="D517" s="62">
        <f>RESULTS!N47</f>
        <v>1147.8102116330278</v>
      </c>
      <c r="E517" s="62">
        <f>RESULTS!O47</f>
        <v>0</v>
      </c>
      <c r="F517" s="62">
        <f>RESULTS!P47</f>
        <v>0</v>
      </c>
      <c r="G517" s="162">
        <f>RESULTS!Q47</f>
        <v>0</v>
      </c>
    </row>
    <row r="518" spans="1:7">
      <c r="A518" s="68">
        <f>RESULTS!A48</f>
        <v>2057</v>
      </c>
      <c r="B518" s="62">
        <f>RESULTS!L48</f>
        <v>30044.425031484545</v>
      </c>
      <c r="C518" s="62">
        <f>RESULTS!M48</f>
        <v>16413244.948010795</v>
      </c>
      <c r="D518" s="62">
        <f>RESULTS!N48</f>
        <v>1102.8039294882062</v>
      </c>
      <c r="E518" s="62">
        <f>RESULTS!O48</f>
        <v>0</v>
      </c>
      <c r="F518" s="62">
        <f>RESULTS!P48</f>
        <v>0</v>
      </c>
      <c r="G518" s="162">
        <f>RESULTS!Q48</f>
        <v>0</v>
      </c>
    </row>
    <row r="519" spans="1:7">
      <c r="A519" s="68">
        <f>RESULTS!A49</f>
        <v>2058</v>
      </c>
      <c r="B519" s="62">
        <f>RESULTS!L49</f>
        <v>28866.366275654065</v>
      </c>
      <c r="C519" s="62">
        <f>RESULTS!M49</f>
        <v>15769672.408268997</v>
      </c>
      <c r="D519" s="62">
        <f>RESULTS!N49</f>
        <v>1059.5623689079521</v>
      </c>
      <c r="E519" s="62">
        <f>RESULTS!O49</f>
        <v>0</v>
      </c>
      <c r="F519" s="62">
        <f>RESULTS!P49</f>
        <v>0</v>
      </c>
      <c r="G519" s="162">
        <f>RESULTS!Q49</f>
        <v>0</v>
      </c>
    </row>
    <row r="520" spans="1:7">
      <c r="A520" s="68">
        <f>RESULTS!A50</f>
        <v>2059</v>
      </c>
      <c r="B520" s="62">
        <f>RESULTS!L50</f>
        <v>27734.499864351208</v>
      </c>
      <c r="C520" s="62">
        <f>RESULTS!M50</f>
        <v>15151334.708756635</v>
      </c>
      <c r="D520" s="62">
        <f>RESULTS!N50</f>
        <v>1018.0163341699782</v>
      </c>
      <c r="E520" s="62">
        <f>RESULTS!O50</f>
        <v>0</v>
      </c>
      <c r="F520" s="62">
        <f>RESULTS!P50</f>
        <v>0</v>
      </c>
      <c r="G520" s="162">
        <f>RESULTS!Q50</f>
        <v>0</v>
      </c>
    </row>
    <row r="521" spans="1:7">
      <c r="A521" s="68">
        <f>RESULTS!A51</f>
        <v>2060</v>
      </c>
      <c r="B521" s="62">
        <f>RESULTS!L51</f>
        <v>26647.014569840179</v>
      </c>
      <c r="C521" s="62">
        <f>RESULTS!M51</f>
        <v>14557242.377235416</v>
      </c>
      <c r="D521" s="62">
        <f>RESULTS!N51</f>
        <v>978.09934275507749</v>
      </c>
      <c r="E521" s="62">
        <f>RESULTS!O51</f>
        <v>0</v>
      </c>
      <c r="F521" s="62">
        <f>RESULTS!P51</f>
        <v>0</v>
      </c>
      <c r="G521" s="162">
        <f>RESULTS!Q51</f>
        <v>0</v>
      </c>
    </row>
    <row r="522" spans="1:7">
      <c r="A522" s="68">
        <f>RESULTS!A52</f>
        <v>2061</v>
      </c>
      <c r="B522" s="62">
        <f>RESULTS!L52</f>
        <v>25602.170183640534</v>
      </c>
      <c r="C522" s="62">
        <f>RESULTS!M52</f>
        <v>13986444.73922845</v>
      </c>
      <c r="D522" s="62">
        <f>RESULTS!N52</f>
        <v>939.74751896090697</v>
      </c>
      <c r="E522" s="62">
        <f>RESULTS!O52</f>
        <v>0</v>
      </c>
      <c r="F522" s="62">
        <f>RESULTS!P52</f>
        <v>0</v>
      </c>
      <c r="G522" s="162">
        <f>RESULTS!Q52</f>
        <v>0</v>
      </c>
    </row>
    <row r="523" spans="1:7">
      <c r="A523" s="68">
        <f>RESULTS!A53</f>
        <v>2062</v>
      </c>
      <c r="B523" s="62">
        <f>RESULTS!L53</f>
        <v>24598.29473182232</v>
      </c>
      <c r="C523" s="62">
        <f>RESULTS!M53</f>
        <v>13438028.396738263</v>
      </c>
      <c r="D523" s="62">
        <f>RESULTS!N53</f>
        <v>902.89949168723695</v>
      </c>
      <c r="E523" s="62">
        <f>RESULTS!O53</f>
        <v>0</v>
      </c>
      <c r="F523" s="62">
        <f>RESULTS!P53</f>
        <v>0</v>
      </c>
      <c r="G523" s="162">
        <f>RESULTS!Q53</f>
        <v>0</v>
      </c>
    </row>
    <row r="524" spans="1:7">
      <c r="A524" s="68">
        <f>RESULTS!A54</f>
        <v>2063</v>
      </c>
      <c r="B524" s="62">
        <f>RESULTS!L54</f>
        <v>23633.781799491109</v>
      </c>
      <c r="C524" s="62">
        <f>RESULTS!M54</f>
        <v>12911115.766615147</v>
      </c>
      <c r="D524" s="62">
        <f>RESULTS!N54</f>
        <v>867.49629622909788</v>
      </c>
      <c r="E524" s="62">
        <f>RESULTS!O54</f>
        <v>0</v>
      </c>
      <c r="F524" s="62">
        <f>RESULTS!P54</f>
        <v>0</v>
      </c>
      <c r="G524" s="162">
        <f>RESULTS!Q54</f>
        <v>0</v>
      </c>
    </row>
    <row r="525" spans="1:7">
      <c r="A525" s="68">
        <f>RESULTS!A55</f>
        <v>2064</v>
      </c>
      <c r="B525" s="62">
        <f>RESULTS!L55</f>
        <v>22707.087960181445</v>
      </c>
      <c r="C525" s="62">
        <f>RESULTS!M55</f>
        <v>12404863.676236885</v>
      </c>
      <c r="D525" s="62">
        <f>RESULTS!N55</f>
        <v>833.4812799206727</v>
      </c>
      <c r="E525" s="62">
        <f>RESULTS!O55</f>
        <v>0</v>
      </c>
      <c r="F525" s="62">
        <f>RESULTS!P55</f>
        <v>0</v>
      </c>
      <c r="G525" s="162">
        <f>RESULTS!Q55</f>
        <v>0</v>
      </c>
    </row>
    <row r="526" spans="1:7">
      <c r="A526" s="68">
        <f>RESULTS!A56</f>
        <v>2065</v>
      </c>
      <c r="B526" s="62">
        <f>RESULTS!L56</f>
        <v>21816.730306045207</v>
      </c>
      <c r="C526" s="62">
        <f>RESULTS!M56</f>
        <v>11918462.014252665</v>
      </c>
      <c r="D526" s="62">
        <f>RESULTS!N56</f>
        <v>800.8000114789437</v>
      </c>
      <c r="E526" s="62">
        <f>RESULTS!O56</f>
        <v>0</v>
      </c>
      <c r="F526" s="62">
        <f>RESULTS!P56</f>
        <v>0</v>
      </c>
      <c r="G526" s="162">
        <f>RESULTS!Q56</f>
        <v>0</v>
      </c>
    </row>
    <row r="527" spans="1:7">
      <c r="A527" s="68">
        <f>RESULTS!A57</f>
        <v>2066</v>
      </c>
      <c r="B527" s="62">
        <f>RESULTS!L57</f>
        <v>20961.284074882667</v>
      </c>
      <c r="C527" s="62">
        <f>RESULTS!M57</f>
        <v>11451132.434232084</v>
      </c>
      <c r="D527" s="62">
        <f>RESULTS!N57</f>
        <v>769.40019390202815</v>
      </c>
      <c r="E527" s="62">
        <f>RESULTS!O57</f>
        <v>0</v>
      </c>
      <c r="F527" s="62">
        <f>RESULTS!P57</f>
        <v>0</v>
      </c>
      <c r="G527" s="162">
        <f>RESULTS!Q57</f>
        <v>0</v>
      </c>
    </row>
    <row r="528" spans="1:7">
      <c r="A528" s="68">
        <f>RESULTS!A58</f>
        <v>2067</v>
      </c>
      <c r="B528" s="62">
        <f>RESULTS!L58</f>
        <v>20139.380370219042</v>
      </c>
      <c r="C528" s="62">
        <f>RESULTS!M58</f>
        <v>11002127.109144824</v>
      </c>
      <c r="D528" s="62">
        <f>RESULTS!N58</f>
        <v>739.23158078281858</v>
      </c>
      <c r="E528" s="62">
        <f>RESULTS!O58</f>
        <v>0</v>
      </c>
      <c r="F528" s="62">
        <f>RESULTS!P58</f>
        <v>0</v>
      </c>
      <c r="G528" s="162">
        <f>RESULTS!Q58</f>
        <v>0</v>
      </c>
    </row>
    <row r="529" spans="1:7">
      <c r="B529" s="365"/>
      <c r="C529" s="365"/>
      <c r="D529" s="365"/>
    </row>
    <row r="530" spans="1:7">
      <c r="A530" s="362"/>
      <c r="E530" s="365"/>
      <c r="F530" s="365"/>
      <c r="G530" s="365"/>
    </row>
    <row r="531" spans="1:7" ht="18">
      <c r="A531" s="308" t="s">
        <v>242</v>
      </c>
      <c r="E531" s="365"/>
      <c r="F531" s="365"/>
      <c r="G531" s="365"/>
    </row>
    <row r="532" spans="1:7" ht="12.75" customHeight="1" thickBot="1">
      <c r="A532" s="308"/>
      <c r="E532" s="365"/>
      <c r="F532" s="365"/>
      <c r="G532" s="365"/>
    </row>
    <row r="533" spans="1:7">
      <c r="A533" s="668" t="s">
        <v>5</v>
      </c>
      <c r="B533" s="661" t="str">
        <f>RESULTS!$L$7</f>
        <v>Carbon dioxide</v>
      </c>
      <c r="C533" s="662"/>
      <c r="D533" s="666"/>
      <c r="E533" s="661" t="str">
        <f>RESULTS!$O$7</f>
        <v/>
      </c>
      <c r="F533" s="662"/>
      <c r="G533" s="663"/>
    </row>
    <row r="534" spans="1:7" ht="14.25">
      <c r="A534" s="680"/>
      <c r="B534" s="53" t="s">
        <v>50</v>
      </c>
      <c r="C534" s="53" t="s">
        <v>345</v>
      </c>
      <c r="D534" s="53" t="str">
        <f>RESULTS!$H$8</f>
        <v>(av ft^3/min)</v>
      </c>
      <c r="E534" s="53" t="s">
        <v>50</v>
      </c>
      <c r="F534" s="53" t="s">
        <v>345</v>
      </c>
      <c r="G534" s="144" t="str">
        <f>RESULTS!$H$8</f>
        <v>(av ft^3/min)</v>
      </c>
    </row>
    <row r="535" spans="1:7">
      <c r="A535" s="68">
        <f>RESULTS!A59</f>
        <v>2068</v>
      </c>
      <c r="B535" s="62">
        <f>RESULTS!L59</f>
        <v>19349.703970778057</v>
      </c>
      <c r="C535" s="62">
        <f>RESULTS!M59</f>
        <v>10570727.534677824</v>
      </c>
      <c r="D535" s="62">
        <f>RESULTS!N59</f>
        <v>710.24589590400933</v>
      </c>
      <c r="E535" s="62">
        <f>RESULTS!O59</f>
        <v>0</v>
      </c>
      <c r="F535" s="62">
        <f>RESULTS!P59</f>
        <v>0</v>
      </c>
      <c r="G535" s="162">
        <f>RESULTS!Q59</f>
        <v>0</v>
      </c>
    </row>
    <row r="536" spans="1:7">
      <c r="A536" s="68">
        <f>RESULTS!A60</f>
        <v>2069</v>
      </c>
      <c r="B536" s="62">
        <f>RESULTS!L60</f>
        <v>18590.991225847334</v>
      </c>
      <c r="C536" s="62">
        <f>RESULTS!M60</f>
        <v>10156243.379475128</v>
      </c>
      <c r="D536" s="62">
        <f>RESULTS!N60</f>
        <v>682.39675598585256</v>
      </c>
      <c r="E536" s="62">
        <f>RESULTS!O60</f>
        <v>0</v>
      </c>
      <c r="F536" s="62">
        <f>RESULTS!P60</f>
        <v>0</v>
      </c>
      <c r="G536" s="162">
        <f>RESULTS!Q60</f>
        <v>0</v>
      </c>
    </row>
    <row r="537" spans="1:7">
      <c r="A537" s="68">
        <f>RESULTS!A61</f>
        <v>2070</v>
      </c>
      <c r="B537" s="62">
        <f>RESULTS!L61</f>
        <v>17862.028033167619</v>
      </c>
      <c r="C537" s="62">
        <f>RESULTS!M61</f>
        <v>9758011.380460402</v>
      </c>
      <c r="D537" s="62">
        <f>RESULTS!N61</f>
        <v>655.63959646301191</v>
      </c>
      <c r="E537" s="62">
        <f>RESULTS!O61</f>
        <v>0</v>
      </c>
      <c r="F537" s="62">
        <f>RESULTS!P61</f>
        <v>0</v>
      </c>
      <c r="G537" s="162">
        <f>RESULTS!Q61</f>
        <v>0</v>
      </c>
    </row>
    <row r="538" spans="1:7">
      <c r="A538" s="68">
        <f>RESULTS!A62</f>
        <v>2071</v>
      </c>
      <c r="B538" s="62">
        <f>RESULTS!L62</f>
        <v>17161.647896110193</v>
      </c>
      <c r="C538" s="62">
        <f>RESULTS!M62</f>
        <v>9375394.2814745381</v>
      </c>
      <c r="D538" s="62">
        <f>RESULTS!N62</f>
        <v>629.93160017175285</v>
      </c>
      <c r="E538" s="62">
        <f>RESULTS!O62</f>
        <v>0</v>
      </c>
      <c r="F538" s="62">
        <f>RESULTS!P62</f>
        <v>0</v>
      </c>
      <c r="G538" s="162">
        <f>RESULTS!Q62</f>
        <v>0</v>
      </c>
    </row>
    <row r="539" spans="1:7">
      <c r="A539" s="68">
        <f>RESULTS!A63</f>
        <v>2072</v>
      </c>
      <c r="B539" s="62">
        <f>RESULTS!L63</f>
        <v>16488.730057033361</v>
      </c>
      <c r="C539" s="62">
        <f>RESULTS!M63</f>
        <v>9007779.8135298211</v>
      </c>
      <c r="D539" s="62">
        <f>RESULTS!N63</f>
        <v>605.23162883334408</v>
      </c>
      <c r="E539" s="62">
        <f>RESULTS!O63</f>
        <v>0</v>
      </c>
      <c r="F539" s="62">
        <f>RESULTS!P63</f>
        <v>0</v>
      </c>
      <c r="G539" s="162">
        <f>RESULTS!Q63</f>
        <v>0</v>
      </c>
    </row>
    <row r="540" spans="1:7">
      <c r="A540" s="68">
        <f>RESULTS!A64</f>
        <v>2073</v>
      </c>
      <c r="B540" s="62">
        <f>RESULTS!L64</f>
        <v>15842.197703831132</v>
      </c>
      <c r="C540" s="62">
        <f>RESULTS!M64</f>
        <v>8654579.7150489334</v>
      </c>
      <c r="D540" s="62">
        <f>RESULTS!N64</f>
        <v>581.50015722403555</v>
      </c>
      <c r="E540" s="62">
        <f>RESULTS!O64</f>
        <v>0</v>
      </c>
      <c r="F540" s="62">
        <f>RESULTS!P64</f>
        <v>0</v>
      </c>
      <c r="G540" s="162">
        <f>RESULTS!Q64</f>
        <v>0</v>
      </c>
    </row>
    <row r="541" spans="1:7">
      <c r="A541" s="68">
        <f>RESULTS!A65</f>
        <v>2074</v>
      </c>
      <c r="B541" s="62">
        <f>RESULTS!L65</f>
        <v>15221.01624680414</v>
      </c>
      <c r="C541" s="62">
        <f>RESULTS!M65</f>
        <v>8315228.7905209381</v>
      </c>
      <c r="D541" s="62">
        <f>RESULTS!N65</f>
        <v>558.69920992626885</v>
      </c>
      <c r="E541" s="62">
        <f>RESULTS!O65</f>
        <v>0</v>
      </c>
      <c r="F541" s="62">
        <f>RESULTS!P65</f>
        <v>0</v>
      </c>
      <c r="G541" s="162">
        <f>RESULTS!Q65</f>
        <v>0</v>
      </c>
    </row>
    <row r="542" spans="1:7">
      <c r="A542" s="68">
        <f>RESULTS!A66</f>
        <v>2075</v>
      </c>
      <c r="B542" s="62">
        <f>RESULTS!L66</f>
        <v>14624.191663095346</v>
      </c>
      <c r="C542" s="62">
        <f>RESULTS!M66</f>
        <v>7989184.0060678618</v>
      </c>
      <c r="D542" s="62">
        <f>RESULTS!N66</f>
        <v>536.79230055990593</v>
      </c>
      <c r="E542" s="62">
        <f>RESULTS!O66</f>
        <v>0</v>
      </c>
      <c r="F542" s="62">
        <f>RESULTS!P66</f>
        <v>0</v>
      </c>
      <c r="G542" s="162">
        <f>RESULTS!Q66</f>
        <v>0</v>
      </c>
    </row>
    <row r="543" spans="1:7">
      <c r="A543" s="68">
        <f>RESULTS!A67</f>
        <v>2076</v>
      </c>
      <c r="B543" s="62">
        <f>RESULTS!L67</f>
        <v>14050.76890604146</v>
      </c>
      <c r="C543" s="62">
        <f>RESULTS!M67</f>
        <v>7675923.6204746524</v>
      </c>
      <c r="D543" s="62">
        <f>RESULTS!N67</f>
        <v>515.74437339623739</v>
      </c>
      <c r="E543" s="62">
        <f>RESULTS!O67</f>
        <v>0</v>
      </c>
      <c r="F543" s="62">
        <f>RESULTS!P67</f>
        <v>0</v>
      </c>
      <c r="G543" s="162">
        <f>RESULTS!Q67</f>
        <v>0</v>
      </c>
    </row>
    <row r="544" spans="1:7">
      <c r="A544" s="68">
        <f>RESULTS!A68</f>
        <v>2077</v>
      </c>
      <c r="B544" s="62">
        <f>RESULTS!L68</f>
        <v>13499.830376894477</v>
      </c>
      <c r="C544" s="62">
        <f>RESULTS!M68</f>
        <v>7374946.3502919124</v>
      </c>
      <c r="D544" s="62">
        <f>RESULTS!N68</f>
        <v>495.52174726133728</v>
      </c>
      <c r="E544" s="62">
        <f>RESULTS!O68</f>
        <v>0</v>
      </c>
      <c r="F544" s="62">
        <f>RESULTS!P68</f>
        <v>0</v>
      </c>
      <c r="G544" s="162">
        <f>RESULTS!Q68</f>
        <v>0</v>
      </c>
    </row>
    <row r="545" spans="1:7">
      <c r="A545" s="68">
        <f>RESULTS!A69</f>
        <v>2078</v>
      </c>
      <c r="B545" s="62">
        <f>RESULTS!L69</f>
        <v>12970.494456467937</v>
      </c>
      <c r="C545" s="62">
        <f>RESULTS!M69</f>
        <v>7085770.5676754387</v>
      </c>
      <c r="D545" s="62">
        <f>RESULTS!N69</f>
        <v>476.09206163899944</v>
      </c>
      <c r="E545" s="62">
        <f>RESULTS!O69</f>
        <v>0</v>
      </c>
      <c r="F545" s="62">
        <f>RESULTS!P69</f>
        <v>0</v>
      </c>
      <c r="G545" s="162">
        <f>RESULTS!Q69</f>
        <v>0</v>
      </c>
    </row>
    <row r="546" spans="1:7">
      <c r="A546" s="68">
        <f>RESULTS!A70</f>
        <v>2079</v>
      </c>
      <c r="B546" s="62">
        <f>RESULTS!L70</f>
        <v>12461.91409435815</v>
      </c>
      <c r="C546" s="62">
        <f>RESULTS!M70</f>
        <v>6807933.529678924</v>
      </c>
      <c r="D546" s="62">
        <f>RESULTS!N70</f>
        <v>457.4242248870076</v>
      </c>
      <c r="E546" s="62">
        <f>RESULTS!O70</f>
        <v>0</v>
      </c>
      <c r="F546" s="62">
        <f>RESULTS!P70</f>
        <v>0</v>
      </c>
      <c r="G546" s="162">
        <f>RESULTS!Q70</f>
        <v>0</v>
      </c>
    </row>
    <row r="547" spans="1:7">
      <c r="A547" s="68">
        <f>RESULTS!A71</f>
        <v>2080</v>
      </c>
      <c r="B547" s="62">
        <f>RESULTS!L71</f>
        <v>11973.2754534828</v>
      </c>
      <c r="C547" s="62">
        <f>RESULTS!M71</f>
        <v>6540990.6377665093</v>
      </c>
      <c r="D547" s="62">
        <f>RESULTS!N71</f>
        <v>439.48836448387419</v>
      </c>
      <c r="E547" s="62">
        <f>RESULTS!O71</f>
        <v>0</v>
      </c>
      <c r="F547" s="62">
        <f>RESULTS!P71</f>
        <v>0</v>
      </c>
      <c r="G547" s="162">
        <f>RESULTS!Q71</f>
        <v>0</v>
      </c>
    </row>
    <row r="548" spans="1:7">
      <c r="A548" s="68">
        <f>RESULTS!A72</f>
        <v>2081</v>
      </c>
      <c r="B548" s="62">
        <f>RESULTS!L72</f>
        <v>11503.796607768014</v>
      </c>
      <c r="C548" s="62">
        <f>RESULTS!M72</f>
        <v>6284514.726360281</v>
      </c>
      <c r="D548" s="62">
        <f>RESULTS!N72</f>
        <v>422.25577922643328</v>
      </c>
      <c r="E548" s="62">
        <f>RESULTS!O72</f>
        <v>0</v>
      </c>
      <c r="F548" s="62">
        <f>RESULTS!P72</f>
        <v>0</v>
      </c>
      <c r="G548" s="162">
        <f>RESULTS!Q72</f>
        <v>0</v>
      </c>
    </row>
    <row r="549" spans="1:7">
      <c r="A549" s="68">
        <f>RESULTS!A73</f>
        <v>2082</v>
      </c>
      <c r="B549" s="62">
        <f>RESULTS!L73</f>
        <v>11052.726290899829</v>
      </c>
      <c r="C549" s="62">
        <f>RESULTS!M73</f>
        <v>6038095.3792842096</v>
      </c>
      <c r="D549" s="62">
        <f>RESULTS!N73</f>
        <v>405.69889330179194</v>
      </c>
      <c r="E549" s="62">
        <f>RESULTS!O73</f>
        <v>0</v>
      </c>
      <c r="F549" s="62">
        <f>RESULTS!P73</f>
        <v>0</v>
      </c>
      <c r="G549" s="162">
        <f>RESULTS!Q73</f>
        <v>0</v>
      </c>
    </row>
    <row r="550" spans="1:7">
      <c r="A550" s="68">
        <f>RESULTS!A74</f>
        <v>2083</v>
      </c>
      <c r="B550" s="62">
        <f>RESULTS!L74</f>
        <v>10619.342694137784</v>
      </c>
      <c r="C550" s="62">
        <f>RESULTS!M74</f>
        <v>5801338.2730107103</v>
      </c>
      <c r="D550" s="62">
        <f>RESULTS!N74</f>
        <v>389.79121216014693</v>
      </c>
      <c r="E550" s="62">
        <f>RESULTS!O74</f>
        <v>0</v>
      </c>
      <c r="F550" s="62">
        <f>RESULTS!P74</f>
        <v>0</v>
      </c>
      <c r="G550" s="162">
        <f>RESULTS!Q74</f>
        <v>0</v>
      </c>
    </row>
    <row r="551" spans="1:7">
      <c r="A551" s="68">
        <f>RESULTS!A75</f>
        <v>2084</v>
      </c>
      <c r="B551" s="62">
        <f>RESULTS!L75</f>
        <v>10202.952311266963</v>
      </c>
      <c r="C551" s="62">
        <f>RESULTS!M75</f>
        <v>5573864.5456588678</v>
      </c>
      <c r="D551" s="62">
        <f>RESULTS!N75</f>
        <v>374.50728011785179</v>
      </c>
      <c r="E551" s="62">
        <f>RESULTS!O75</f>
        <v>0</v>
      </c>
      <c r="F551" s="62">
        <f>RESULTS!P75</f>
        <v>0</v>
      </c>
      <c r="G551" s="162">
        <f>RESULTS!Q75</f>
        <v>0</v>
      </c>
    </row>
    <row r="552" spans="1:7">
      <c r="A552" s="68">
        <f>RESULTS!A76</f>
        <v>2085</v>
      </c>
      <c r="B552" s="62">
        <f>RESULTS!L76</f>
        <v>9802.8888288400867</v>
      </c>
      <c r="C552" s="62">
        <f>RESULTS!M76</f>
        <v>5355310.1907346034</v>
      </c>
      <c r="D552" s="62">
        <f>RESULTS!N76</f>
        <v>359.82263962289289</v>
      </c>
      <c r="E552" s="62">
        <f>RESULTS!O76</f>
        <v>0</v>
      </c>
      <c r="F552" s="62">
        <f>RESULTS!P76</f>
        <v>0</v>
      </c>
      <c r="G552" s="162">
        <f>RESULTS!Q76</f>
        <v>0</v>
      </c>
    </row>
    <row r="553" spans="1:7">
      <c r="A553" s="68">
        <f>RESULTS!A77</f>
        <v>2086</v>
      </c>
      <c r="B553" s="62">
        <f>RESULTS!L77</f>
        <v>9418.5120599338406</v>
      </c>
      <c r="C553" s="62">
        <f>RESULTS!M77</f>
        <v>5145325.4746426204</v>
      </c>
      <c r="D553" s="62">
        <f>RESULTS!N77</f>
        <v>345.71379211758779</v>
      </c>
      <c r="E553" s="62">
        <f>RESULTS!O77</f>
        <v>0</v>
      </c>
      <c r="F553" s="62">
        <f>RESULTS!P77</f>
        <v>0</v>
      </c>
      <c r="G553" s="162">
        <f>RESULTS!Q77</f>
        <v>0</v>
      </c>
    </row>
    <row r="554" spans="1:7">
      <c r="A554" s="68">
        <f>RESULTS!A78</f>
        <v>2087</v>
      </c>
      <c r="B554" s="62">
        <f>RESULTS!L78</f>
        <v>9049.2069197132278</v>
      </c>
      <c r="C554" s="62">
        <f>RESULTS!M78</f>
        <v>4943574.3770380449</v>
      </c>
      <c r="D554" s="62">
        <f>RESULTS!N78</f>
        <v>332.15816043588006</v>
      </c>
      <c r="E554" s="62">
        <f>RESULTS!O78</f>
        <v>0</v>
      </c>
      <c r="F554" s="62">
        <f>RESULTS!P78</f>
        <v>0</v>
      </c>
      <c r="G554" s="162">
        <f>RESULTS!Q78</f>
        <v>0</v>
      </c>
    </row>
    <row r="555" spans="1:7">
      <c r="A555" s="68">
        <f>RESULTS!A79</f>
        <v>2088</v>
      </c>
      <c r="B555" s="62">
        <f>RESULTS!L79</f>
        <v>8694.3824411645928</v>
      </c>
      <c r="C555" s="62">
        <f>RESULTS!M79</f>
        <v>4749734.0531221787</v>
      </c>
      <c r="D555" s="62">
        <f>RESULTS!N79</f>
        <v>319.13405267505658</v>
      </c>
      <c r="E555" s="62">
        <f>RESULTS!O79</f>
        <v>0</v>
      </c>
      <c r="F555" s="62">
        <f>RESULTS!P79</f>
        <v>0</v>
      </c>
      <c r="G555" s="162">
        <f>RESULTS!Q79</f>
        <v>0</v>
      </c>
    </row>
    <row r="556" spans="1:7">
      <c r="A556" s="68">
        <f>RESULTS!A80</f>
        <v>2089</v>
      </c>
      <c r="B556" s="62">
        <f>RESULTS!L80</f>
        <v>8353.4708294223365</v>
      </c>
      <c r="C556" s="62">
        <f>RESULTS!M80</f>
        <v>4563494.3170219483</v>
      </c>
      <c r="D556" s="62">
        <f>RESULTS!N80</f>
        <v>306.6206274840755</v>
      </c>
      <c r="E556" s="62">
        <f>RESULTS!O80</f>
        <v>0</v>
      </c>
      <c r="F556" s="62">
        <f>RESULTS!P80</f>
        <v>0</v>
      </c>
      <c r="G556" s="162">
        <f>RESULTS!Q80</f>
        <v>0</v>
      </c>
    </row>
    <row r="557" spans="1:7">
      <c r="A557" s="68">
        <f>RESULTS!A81</f>
        <v>2090</v>
      </c>
      <c r="B557" s="62">
        <f>RESULTS!L81</f>
        <v>8025.9265531759793</v>
      </c>
      <c r="C557" s="62">
        <f>RESULTS!M81</f>
        <v>4384557.145426332</v>
      </c>
      <c r="D557" s="62">
        <f>RESULTS!N81</f>
        <v>294.59786071295832</v>
      </c>
      <c r="E557" s="62">
        <f>RESULTS!O81</f>
        <v>0</v>
      </c>
      <c r="F557" s="62">
        <f>RESULTS!P81</f>
        <v>0</v>
      </c>
      <c r="G557" s="162">
        <f>RESULTS!Q81</f>
        <v>0</v>
      </c>
    </row>
    <row r="558" spans="1:7">
      <c r="A558" s="68">
        <f>RESULTS!A82</f>
        <v>2091</v>
      </c>
      <c r="B558" s="62">
        <f>RESULTS!L82</f>
        <v>7711.2254717036885</v>
      </c>
      <c r="C558" s="62">
        <f>RESULTS!M82</f>
        <v>4212636.2006854778</v>
      </c>
      <c r="D558" s="62">
        <f>RESULTS!N82</f>
        <v>283.04651336987757</v>
      </c>
      <c r="E558" s="62">
        <f>RESULTS!O82</f>
        <v>0</v>
      </c>
      <c r="F558" s="62">
        <f>RESULTS!P82</f>
        <v>0</v>
      </c>
      <c r="G558" s="162">
        <f>RESULTS!Q82</f>
        <v>0</v>
      </c>
    </row>
    <row r="559" spans="1:7">
      <c r="A559" s="68">
        <f>RESULTS!A83</f>
        <v>2092</v>
      </c>
      <c r="B559" s="62">
        <f>RESULTS!L83</f>
        <v>7408.8639961352947</v>
      </c>
      <c r="C559" s="62">
        <f>RESULTS!M83</f>
        <v>4047456.3726093732</v>
      </c>
      <c r="D559" s="62">
        <f>RESULTS!N83</f>
        <v>271.94810083466513</v>
      </c>
      <c r="E559" s="62">
        <f>RESULTS!O83</f>
        <v>0</v>
      </c>
      <c r="F559" s="62">
        <f>RESULTS!P83</f>
        <v>0</v>
      </c>
      <c r="G559" s="162">
        <f>RESULTS!Q83</f>
        <v>0</v>
      </c>
    </row>
    <row r="560" spans="1:7">
      <c r="A560" s="68">
        <f>RESULTS!A84</f>
        <v>2093</v>
      </c>
      <c r="B560" s="62">
        <f>RESULTS!L84</f>
        <v>7118.358283602669</v>
      </c>
      <c r="C560" s="62">
        <f>RESULTS!M84</f>
        <v>3888753.3382328553</v>
      </c>
      <c r="D560" s="62">
        <f>RESULTS!N84</f>
        <v>261.28486327947735</v>
      </c>
      <c r="E560" s="62">
        <f>RESULTS!O84</f>
        <v>0</v>
      </c>
      <c r="F560" s="62">
        <f>RESULTS!P84</f>
        <v>0</v>
      </c>
      <c r="G560" s="162">
        <f>RESULTS!Q84</f>
        <v>0</v>
      </c>
    </row>
    <row r="561" spans="1:7">
      <c r="A561" s="68">
        <f>RESULTS!A85</f>
        <v>2094</v>
      </c>
      <c r="B561" s="62">
        <f>RESULTS!L85</f>
        <v>6839.2434629879044</v>
      </c>
      <c r="C561" s="62">
        <f>RESULTS!M85</f>
        <v>3736273.1388424709</v>
      </c>
      <c r="D561" s="62">
        <f>RESULTS!N85</f>
        <v>251.03973724928053</v>
      </c>
      <c r="E561" s="62">
        <f>RESULTS!O85</f>
        <v>0</v>
      </c>
      <c r="F561" s="62">
        <f>RESULTS!P85</f>
        <v>0</v>
      </c>
      <c r="G561" s="162">
        <f>RESULTS!Q85</f>
        <v>0</v>
      </c>
    </row>
    <row r="562" spans="1:7">
      <c r="A562" s="68">
        <f>RESULTS!A86</f>
        <v>2095</v>
      </c>
      <c r="B562" s="62">
        <f>RESULTS!L86</f>
        <v>6571.0728910303378</v>
      </c>
      <c r="C562" s="62">
        <f>RESULTS!M86</f>
        <v>3589771.7735883463</v>
      </c>
      <c r="D562" s="62">
        <f>RESULTS!N86</f>
        <v>241.19632835668273</v>
      </c>
      <c r="E562" s="62">
        <f>RESULTS!O86</f>
        <v>0</v>
      </c>
      <c r="F562" s="62">
        <f>RESULTS!P86</f>
        <v>0</v>
      </c>
      <c r="G562" s="162">
        <f>RESULTS!Q86</f>
        <v>0</v>
      </c>
    </row>
    <row r="563" spans="1:7">
      <c r="A563" s="68">
        <f>RESULTS!A87</f>
        <v>2096</v>
      </c>
      <c r="B563" s="62">
        <f>RESULTS!L87</f>
        <v>6313.4174376020756</v>
      </c>
      <c r="C563" s="62">
        <f>RESULTS!M87</f>
        <v>3449014.8090307885</v>
      </c>
      <c r="D563" s="62">
        <f>RESULTS!N87</f>
        <v>231.73888504741683</v>
      </c>
      <c r="E563" s="62">
        <f>RESULTS!O87</f>
        <v>0</v>
      </c>
      <c r="F563" s="62">
        <f>RESULTS!P87</f>
        <v>0</v>
      </c>
      <c r="G563" s="162">
        <f>RESULTS!Q87</f>
        <v>0</v>
      </c>
    </row>
    <row r="564" spans="1:7">
      <c r="A564" s="68">
        <f>RESULTS!A88</f>
        <v>2097</v>
      </c>
      <c r="B564" s="62">
        <f>RESULTS!L88</f>
        <v>6065.8647990081963</v>
      </c>
      <c r="C564" s="62">
        <f>RESULTS!M88</f>
        <v>3313777.0039967489</v>
      </c>
      <c r="D564" s="62">
        <f>RESULTS!N88</f>
        <v>222.65227339449234</v>
      </c>
      <c r="E564" s="62">
        <f>RESULTS!O88</f>
        <v>0</v>
      </c>
      <c r="F564" s="62">
        <f>RESULTS!P88</f>
        <v>0</v>
      </c>
      <c r="G564" s="162">
        <f>RESULTS!Q88</f>
        <v>0</v>
      </c>
    </row>
    <row r="565" spans="1:7">
      <c r="A565" s="68">
        <f>RESULTS!A89</f>
        <v>2098</v>
      </c>
      <c r="B565" s="62">
        <f>RESULTS!L89</f>
        <v>5828.0188382129036</v>
      </c>
      <c r="C565" s="62">
        <f>RESULTS!M89</f>
        <v>3183841.9491459015</v>
      </c>
      <c r="D565" s="62">
        <f>RESULTS!N89</f>
        <v>213.92195288068399</v>
      </c>
      <c r="E565" s="62">
        <f>RESULTS!O89</f>
        <v>0</v>
      </c>
      <c r="F565" s="62">
        <f>RESULTS!P89</f>
        <v>0</v>
      </c>
      <c r="G565" s="162">
        <f>RESULTS!Q89</f>
        <v>0</v>
      </c>
    </row>
    <row r="566" spans="1:7">
      <c r="A566" s="68">
        <f>RESULTS!A90</f>
        <v>2099</v>
      </c>
      <c r="B566" s="62">
        <f>RESULTS!L90</f>
        <v>5599.4989509357492</v>
      </c>
      <c r="C566" s="62">
        <f>RESULTS!M90</f>
        <v>3059001.7206695299</v>
      </c>
      <c r="D566" s="62">
        <f>RESULTS!N90</f>
        <v>205.53395313060207</v>
      </c>
      <c r="E566" s="62">
        <f>RESULTS!O90</f>
        <v>0</v>
      </c>
      <c r="F566" s="62">
        <f>RESULTS!P90</f>
        <v>0</v>
      </c>
      <c r="G566" s="162">
        <f>RESULTS!Q90</f>
        <v>0</v>
      </c>
    </row>
    <row r="567" spans="1:7">
      <c r="A567" s="68">
        <f>RESULTS!A91</f>
        <v>2100</v>
      </c>
      <c r="B567" s="62">
        <f>RESULTS!L91</f>
        <v>5379.9394566035835</v>
      </c>
      <c r="C567" s="62">
        <f>RESULTS!M91</f>
        <v>2939056.5475680707</v>
      </c>
      <c r="D567" s="62">
        <f>RESULTS!N91</f>
        <v>197.47485155511112</v>
      </c>
      <c r="E567" s="62">
        <f>RESULTS!O91</f>
        <v>0</v>
      </c>
      <c r="F567" s="62">
        <f>RESULTS!P91</f>
        <v>0</v>
      </c>
      <c r="G567" s="162">
        <f>RESULTS!Q91</f>
        <v>0</v>
      </c>
    </row>
    <row r="568" spans="1:7">
      <c r="A568" s="68">
        <f>RESULTS!A92</f>
        <v>2101</v>
      </c>
      <c r="B568" s="62">
        <f>RESULTS!L92</f>
        <v>5168.9890131836082</v>
      </c>
      <c r="C568" s="62">
        <f>RESULTS!M92</f>
        <v>2823814.4919748888</v>
      </c>
      <c r="D568" s="62">
        <f>RESULTS!N92</f>
        <v>189.7317518723234</v>
      </c>
      <c r="E568" s="62">
        <f>RESULTS!O92</f>
        <v>0</v>
      </c>
      <c r="F568" s="62">
        <f>RESULTS!P92</f>
        <v>0</v>
      </c>
      <c r="G568" s="162">
        <f>RESULTS!Q92</f>
        <v>0</v>
      </c>
    </row>
    <row r="569" spans="1:7">
      <c r="A569" s="68">
        <f>RESULTS!A93</f>
        <v>2102</v>
      </c>
      <c r="B569" s="62">
        <f>RESULTS!L93</f>
        <v>4966.3100549612009</v>
      </c>
      <c r="C569" s="62">
        <f>RESULTS!M93</f>
        <v>2713091.1420147563</v>
      </c>
      <c r="D569" s="62">
        <f>RESULTS!N93</f>
        <v>182.29226347079739</v>
      </c>
      <c r="E569" s="62">
        <f>RESULTS!O93</f>
        <v>0</v>
      </c>
      <c r="F569" s="62">
        <f>RESULTS!P93</f>
        <v>0</v>
      </c>
      <c r="G569" s="162">
        <f>RESULTS!Q93</f>
        <v>0</v>
      </c>
    </row>
    <row r="570" spans="1:7">
      <c r="A570" s="68">
        <f>RESULTS!A94</f>
        <v>2103</v>
      </c>
      <c r="B570" s="62">
        <f>RESULTS!L94</f>
        <v>4771.5782523627158</v>
      </c>
      <c r="C570" s="62">
        <f>RESULTS!M94</f>
        <v>2606709.3167054937</v>
      </c>
      <c r="D570" s="62">
        <f>RESULTS!N94</f>
        <v>175.14448158191496</v>
      </c>
      <c r="E570" s="62">
        <f>RESULTS!O94</f>
        <v>0</v>
      </c>
      <c r="F570" s="62">
        <f>RESULTS!P94</f>
        <v>0</v>
      </c>
      <c r="G570" s="162">
        <f>RESULTS!Q94</f>
        <v>0</v>
      </c>
    </row>
    <row r="571" spans="1:7">
      <c r="A571" s="68">
        <f>RESULTS!A95</f>
        <v>2104</v>
      </c>
      <c r="B571" s="62">
        <f>RESULTS!L95</f>
        <v>4584.4819929589967</v>
      </c>
      <c r="C571" s="62">
        <f>RESULTS!M95</f>
        <v>2504498.7824306074</v>
      </c>
      <c r="D571" s="62">
        <f>RESULTS!N95</f>
        <v>168.27696822971251</v>
      </c>
      <c r="E571" s="62">
        <f>RESULTS!O95</f>
        <v>0</v>
      </c>
      <c r="F571" s="62">
        <f>RESULTS!P95</f>
        <v>0</v>
      </c>
      <c r="G571" s="162">
        <f>RESULTS!Q95</f>
        <v>0</v>
      </c>
    </row>
    <row r="572" spans="1:7">
      <c r="A572" s="68">
        <f>RESULTS!A96</f>
        <v>2105</v>
      </c>
      <c r="B572" s="62">
        <f>RESULTS!L96</f>
        <v>4404.7218828189998</v>
      </c>
      <c r="C572" s="62">
        <f>RESULTS!M96</f>
        <v>2406295.9805291798</v>
      </c>
      <c r="D572" s="62">
        <f>RESULTS!N96</f>
        <v>161.67873392767882</v>
      </c>
      <c r="E572" s="62">
        <f>RESULTS!O96</f>
        <v>0</v>
      </c>
      <c r="F572" s="62">
        <f>RESULTS!P96</f>
        <v>0</v>
      </c>
      <c r="G572" s="162">
        <f>RESULTS!Q96</f>
        <v>0</v>
      </c>
    </row>
    <row r="573" spans="1:7">
      <c r="A573" s="68">
        <f>RESULTS!A97</f>
        <v>2106</v>
      </c>
      <c r="B573" s="62">
        <f>RESULTS!L97</f>
        <v>4232.0102674156315</v>
      </c>
      <c r="C573" s="62">
        <f>RESULTS!M97</f>
        <v>2311943.7655671202</v>
      </c>
      <c r="D573" s="62">
        <f>RESULTS!N97</f>
        <v>155.3392200932322</v>
      </c>
      <c r="E573" s="62">
        <f>RESULTS!O97</f>
        <v>0</v>
      </c>
      <c r="F573" s="62">
        <f>RESULTS!P97</f>
        <v>0</v>
      </c>
      <c r="G573" s="162">
        <f>RESULTS!Q97</f>
        <v>0</v>
      </c>
    </row>
    <row r="574" spans="1:7">
      <c r="A574" s="68">
        <f>RESULTS!A98</f>
        <v>2107</v>
      </c>
      <c r="B574" s="62">
        <f>RESULTS!L98</f>
        <v>4066.0707713171382</v>
      </c>
      <c r="C574" s="62">
        <f>RESULTS!M98</f>
        <v>2221291.1538709435</v>
      </c>
      <c r="D574" s="62">
        <f>RESULTS!N98</f>
        <v>149.24828215173585</v>
      </c>
      <c r="E574" s="62">
        <f>RESULTS!O98</f>
        <v>0</v>
      </c>
      <c r="F574" s="62">
        <f>RESULTS!P98</f>
        <v>0</v>
      </c>
      <c r="G574" s="162">
        <f>RESULTS!Q98</f>
        <v>0</v>
      </c>
    </row>
    <row r="575" spans="1:7">
      <c r="A575" s="68">
        <f>RESULTS!A99</f>
        <v>2108</v>
      </c>
      <c r="B575" s="62">
        <f>RESULTS!L99</f>
        <v>3906.6378559274472</v>
      </c>
      <c r="C575" s="62">
        <f>RESULTS!M99</f>
        <v>2134193.0819216808</v>
      </c>
      <c r="D575" s="62">
        <f>RESULTS!N99</f>
        <v>143.396173303014</v>
      </c>
      <c r="E575" s="62">
        <f>RESULTS!O99</f>
        <v>0</v>
      </c>
      <c r="F575" s="62">
        <f>RESULTS!P99</f>
        <v>0</v>
      </c>
      <c r="G575" s="162">
        <f>RESULTS!Q99</f>
        <v>0</v>
      </c>
    </row>
    <row r="576" spans="1:7">
      <c r="A576" s="68">
        <f>RESULTS!A100</f>
        <v>2109</v>
      </c>
      <c r="B576" s="62">
        <f>RESULTS!L100</f>
        <v>3753.456394567766</v>
      </c>
      <c r="C576" s="62">
        <f>RESULTS!M100</f>
        <v>2050510.1742222994</v>
      </c>
      <c r="D576" s="62">
        <f>RESULTS!N100</f>
        <v>137.77352892439211</v>
      </c>
      <c r="E576" s="62">
        <f>RESULTS!O100</f>
        <v>0</v>
      </c>
      <c r="F576" s="62">
        <f>RESULTS!P100</f>
        <v>0</v>
      </c>
      <c r="G576" s="162">
        <f>RESULTS!Q100</f>
        <v>0</v>
      </c>
    </row>
    <row r="577" spans="1:7">
      <c r="A577" s="68">
        <f>RESULTS!A101</f>
        <v>2110</v>
      </c>
      <c r="B577" s="62">
        <f>RESULTS!L101</f>
        <v>3606.2812642194658</v>
      </c>
      <c r="C577" s="62">
        <f>RESULTS!M101</f>
        <v>1970108.520267176</v>
      </c>
      <c r="D577" s="62">
        <f>RESULTS!N101</f>
        <v>132.3713515853031</v>
      </c>
      <c r="E577" s="62">
        <f>RESULTS!O101</f>
        <v>0</v>
      </c>
      <c r="F577" s="62">
        <f>RESULTS!P101</f>
        <v>0</v>
      </c>
      <c r="G577" s="162">
        <f>RESULTS!Q101</f>
        <v>0</v>
      </c>
    </row>
    <row r="578" spans="1:7">
      <c r="A578" s="68">
        <f>RESULTS!A102</f>
        <v>2111</v>
      </c>
      <c r="B578" s="62">
        <f>RESULTS!L102</f>
        <v>3464.8769532749511</v>
      </c>
      <c r="C578" s="62">
        <f>RESULTS!M102</f>
        <v>1892859.4602567134</v>
      </c>
      <c r="D578" s="62">
        <f>RESULTS!N102</f>
        <v>127.18099664947837</v>
      </c>
      <c r="E578" s="62">
        <f>RESULTS!O102</f>
        <v>0</v>
      </c>
      <c r="F578" s="62">
        <f>RESULTS!P102</f>
        <v>0</v>
      </c>
      <c r="G578" s="162">
        <f>RESULTS!Q102</f>
        <v>0</v>
      </c>
    </row>
    <row r="579" spans="1:7">
      <c r="A579" s="68">
        <f>RESULTS!A103</f>
        <v>2112</v>
      </c>
      <c r="B579" s="62">
        <f>RESULTS!L103</f>
        <v>3329.0171846688504</v>
      </c>
      <c r="C579" s="62">
        <f>RESULTS!M103</f>
        <v>1818639.3792142165</v>
      </c>
      <c r="D579" s="62">
        <f>RESULTS!N103</f>
        <v>122.19415844168579</v>
      </c>
      <c r="E579" s="62">
        <f>RESULTS!O103</f>
        <v>0</v>
      </c>
      <c r="F579" s="62">
        <f>RESULTS!P103</f>
        <v>0</v>
      </c>
      <c r="G579" s="162">
        <f>RESULTS!Q103</f>
        <v>0</v>
      </c>
    </row>
    <row r="580" spans="1:7">
      <c r="A580" s="68">
        <f>RESULTS!A104</f>
        <v>2113</v>
      </c>
      <c r="B580" s="62">
        <f>RESULTS!L104</f>
        <v>3198.4845537864308</v>
      </c>
      <c r="C580" s="62">
        <f>RESULTS!M104</f>
        <v>1747329.5091755567</v>
      </c>
      <c r="D580" s="62">
        <f>RESULTS!N104</f>
        <v>117.40285695687744</v>
      </c>
      <c r="E580" s="62">
        <f>RESULTS!O104</f>
        <v>0</v>
      </c>
      <c r="F580" s="62">
        <f>RESULTS!P104</f>
        <v>0</v>
      </c>
      <c r="G580" s="162">
        <f>RESULTS!Q104</f>
        <v>0</v>
      </c>
    </row>
    <row r="581" spans="1:7">
      <c r="A581" s="68">
        <f>RESULTS!A105</f>
        <v>2114</v>
      </c>
      <c r="B581" s="62">
        <f>RESULTS!L105</f>
        <v>3073.0701805698341</v>
      </c>
      <c r="C581" s="62">
        <f>RESULTS!M105</f>
        <v>1678815.7391350872</v>
      </c>
      <c r="D581" s="62">
        <f>RESULTS!N105</f>
        <v>112.79942509047869</v>
      </c>
      <c r="E581" s="62">
        <f>RESULTS!O105</f>
        <v>0</v>
      </c>
      <c r="F581" s="62">
        <f>RESULTS!P105</f>
        <v>0</v>
      </c>
      <c r="G581" s="162">
        <f>RESULTS!Q105</f>
        <v>0</v>
      </c>
    </row>
    <row r="582" spans="1:7">
      <c r="A582" s="68">
        <f>RESULTS!A106</f>
        <v>2115</v>
      </c>
      <c r="B582" s="62">
        <f>RESULTS!L106</f>
        <v>2952.5733752654191</v>
      </c>
      <c r="C582" s="62">
        <f>RESULTS!M106</f>
        <v>1612988.4324436935</v>
      </c>
      <c r="D582" s="62">
        <f>RESULTS!N106</f>
        <v>108.37649636938552</v>
      </c>
      <c r="E582" s="62">
        <f>RESULTS!O106</f>
        <v>0</v>
      </c>
      <c r="F582" s="62">
        <f>RESULTS!P106</f>
        <v>0</v>
      </c>
      <c r="G582" s="162">
        <f>RESULTS!Q106</f>
        <v>0</v>
      </c>
    </row>
    <row r="583" spans="1:7">
      <c r="A583" s="68">
        <f>RESULTS!A107</f>
        <v>2116</v>
      </c>
      <c r="B583" s="62">
        <f>RESULTS!L107</f>
        <v>2836.801317277344</v>
      </c>
      <c r="C583" s="62">
        <f>RESULTS!M107</f>
        <v>1549742.251366761</v>
      </c>
      <c r="D583" s="62">
        <f>RESULTS!N107</f>
        <v>104.1269931640357</v>
      </c>
      <c r="E583" s="62">
        <f>RESULTS!O107</f>
        <v>0</v>
      </c>
      <c r="F583" s="62">
        <f>RESULTS!P107</f>
        <v>0</v>
      </c>
      <c r="G583" s="162">
        <f>RESULTS!Q107</f>
        <v>0</v>
      </c>
    </row>
    <row r="584" spans="1:7">
      <c r="A584" s="68">
        <f>RESULTS!A108</f>
        <v>2117</v>
      </c>
      <c r="B584" s="62">
        <f>RESULTS!L108</f>
        <v>2725.5687466134705</v>
      </c>
      <c r="C584" s="62">
        <f>RESULTS!M108</f>
        <v>1488975.9885213287</v>
      </c>
      <c r="D584" s="62">
        <f>RESULTS!N108</f>
        <v>100.04411536269163</v>
      </c>
      <c r="E584" s="62">
        <f>RESULTS!O108</f>
        <v>0</v>
      </c>
      <c r="F584" s="62">
        <f>RESULTS!P108</f>
        <v>0</v>
      </c>
      <c r="G584" s="162">
        <f>RESULTS!Q108</f>
        <v>0</v>
      </c>
    </row>
    <row r="585" spans="1:7">
      <c r="A585" s="68">
        <f>RESULTS!A109</f>
        <v>2118</v>
      </c>
      <c r="B585" s="62">
        <f>RESULTS!L109</f>
        <v>2618.6976674298571</v>
      </c>
      <c r="C585" s="62">
        <f>RESULTS!M109</f>
        <v>1430592.4049226835</v>
      </c>
      <c r="D585" s="62">
        <f>RESULTS!N109</f>
        <v>96.121329489810819</v>
      </c>
      <c r="E585" s="62">
        <f>RESULTS!O109</f>
        <v>0</v>
      </c>
      <c r="F585" s="62">
        <f>RESULTS!P109</f>
        <v>0</v>
      </c>
      <c r="G585" s="162">
        <f>RESULTS!Q109</f>
        <v>0</v>
      </c>
    </row>
    <row r="588" spans="1:7" ht="18">
      <c r="A588" s="308" t="s">
        <v>242</v>
      </c>
    </row>
    <row r="589" spans="1:7" ht="13.5" thickBot="1"/>
    <row r="590" spans="1:7">
      <c r="A590" s="668" t="s">
        <v>5</v>
      </c>
      <c r="B590" s="661" t="str">
        <f>RESULTS!$L$7</f>
        <v>Carbon dioxide</v>
      </c>
      <c r="C590" s="662"/>
      <c r="D590" s="666"/>
      <c r="E590" s="661" t="str">
        <f>RESULTS!$O$7</f>
        <v/>
      </c>
      <c r="F590" s="662"/>
      <c r="G590" s="663"/>
    </row>
    <row r="591" spans="1:7" ht="14.25">
      <c r="A591" s="680"/>
      <c r="B591" s="53" t="s">
        <v>50</v>
      </c>
      <c r="C591" s="53" t="s">
        <v>345</v>
      </c>
      <c r="D591" s="53" t="str">
        <f>RESULTS!$H$8</f>
        <v>(av ft^3/min)</v>
      </c>
      <c r="E591" s="53" t="s">
        <v>50</v>
      </c>
      <c r="F591" s="53" t="s">
        <v>345</v>
      </c>
      <c r="G591" s="144" t="str">
        <f>RESULTS!$H$8</f>
        <v>(av ft^3/min)</v>
      </c>
    </row>
    <row r="592" spans="1:7">
      <c r="A592" s="68">
        <f>RESULTS!A110</f>
        <v>2119</v>
      </c>
      <c r="B592" s="62">
        <f>RESULTS!L110</f>
        <v>2516.0170631994297</v>
      </c>
      <c r="C592" s="62">
        <f>RESULTS!M110</f>
        <v>1374498.0743812385</v>
      </c>
      <c r="D592" s="62">
        <f>RESULTS!N110</f>
        <v>92.352358251091019</v>
      </c>
      <c r="E592" s="62">
        <f>RESULTS!O110</f>
        <v>0</v>
      </c>
      <c r="F592" s="62">
        <f>RESULTS!P110</f>
        <v>0</v>
      </c>
      <c r="G592" s="162">
        <f>RESULTS!Q110</f>
        <v>0</v>
      </c>
    </row>
    <row r="593" spans="1:7">
      <c r="A593" s="68">
        <f>RESULTS!A111</f>
        <v>2120</v>
      </c>
      <c r="B593" s="62">
        <f>RESULTS!L111</f>
        <v>2417.3626230490549</v>
      </c>
      <c r="C593" s="62">
        <f>RESULTS!M111</f>
        <v>1320603.2340006984</v>
      </c>
      <c r="D593" s="62">
        <f>RESULTS!N111</f>
        <v>88.731170488460165</v>
      </c>
      <c r="E593" s="62">
        <f>RESULTS!O111</f>
        <v>0</v>
      </c>
      <c r="F593" s="62">
        <f>RESULTS!P111</f>
        <v>0</v>
      </c>
      <c r="G593" s="162">
        <f>RESULTS!Q111</f>
        <v>0</v>
      </c>
    </row>
    <row r="594" spans="1:7">
      <c r="A594" s="68">
        <f>RESULTS!A112</f>
        <v>2121</v>
      </c>
      <c r="B594" s="62">
        <f>RESULTS!L112</f>
        <v>2322.5764788270908</v>
      </c>
      <c r="C594" s="62">
        <f>RESULTS!M112</f>
        <v>1268821.6405382755</v>
      </c>
      <c r="D594" s="62">
        <f>RESULTS!N112</f>
        <v>85.251971528936821</v>
      </c>
      <c r="E594" s="62">
        <f>RESULTS!O112</f>
        <v>0</v>
      </c>
      <c r="F594" s="62">
        <f>RESULTS!P112</f>
        <v>0</v>
      </c>
      <c r="G594" s="162">
        <f>RESULTS!Q112</f>
        <v>0</v>
      </c>
    </row>
    <row r="595" spans="1:7">
      <c r="A595" s="68">
        <f>RESULTS!A113</f>
        <v>2122</v>
      </c>
      <c r="B595" s="62">
        <f>RESULTS!L113</f>
        <v>2231.5069524806581</v>
      </c>
      <c r="C595" s="62">
        <f>RESULTS!M113</f>
        <v>1219070.4323971004</v>
      </c>
      <c r="D595" s="62">
        <f>RESULTS!N113</f>
        <v>81.909193911917043</v>
      </c>
      <c r="E595" s="62">
        <f>RESULTS!O113</f>
        <v>0</v>
      </c>
      <c r="F595" s="62">
        <f>RESULTS!P113</f>
        <v>0</v>
      </c>
      <c r="G595" s="162">
        <f>RESULTS!Q113</f>
        <v>0</v>
      </c>
    </row>
    <row r="596" spans="1:7">
      <c r="A596" s="68">
        <f>RESULTS!A114</f>
        <v>2123</v>
      </c>
      <c r="B596" s="62">
        <f>RESULTS!L114</f>
        <v>2144.0083133384019</v>
      </c>
      <c r="C596" s="62">
        <f>RESULTS!M114</f>
        <v>1171269.9970299902</v>
      </c>
      <c r="D596" s="62">
        <f>RESULTS!N114</f>
        <v>78.697488480049657</v>
      </c>
      <c r="E596" s="62">
        <f>RESULTS!O114</f>
        <v>0</v>
      </c>
      <c r="F596" s="62">
        <f>RESULTS!P114</f>
        <v>0</v>
      </c>
      <c r="G596" s="162">
        <f>RESULTS!Q114</f>
        <v>0</v>
      </c>
    </row>
    <row r="597" spans="1:7">
      <c r="A597" s="68">
        <f>RESULTS!A115</f>
        <v>2124</v>
      </c>
      <c r="B597" s="62">
        <f>RESULTS!L115</f>
        <v>2059.9405449103215</v>
      </c>
      <c r="C597" s="62">
        <f>RESULTS!M115</f>
        <v>1125343.8435423875</v>
      </c>
      <c r="D597" s="62">
        <f>RESULTS!N115</f>
        <v>75.611715819443333</v>
      </c>
      <c r="E597" s="62">
        <f>RESULTS!O115</f>
        <v>0</v>
      </c>
      <c r="F597" s="62">
        <f>RESULTS!P115</f>
        <v>0</v>
      </c>
      <c r="G597" s="162">
        <f>RESULTS!Q115</f>
        <v>0</v>
      </c>
    </row>
    <row r="598" spans="1:7">
      <c r="A598" s="68">
        <f>RESULTS!A116</f>
        <v>2125</v>
      </c>
      <c r="B598" s="62">
        <f>RESULTS!L116</f>
        <v>1979.169120831519</v>
      </c>
      <c r="C598" s="62">
        <f>RESULTS!M116</f>
        <v>1081218.4802906103</v>
      </c>
      <c r="D598" s="62">
        <f>RESULTS!N116</f>
        <v>72.646938035507802</v>
      </c>
      <c r="E598" s="62">
        <f>RESULTS!O116</f>
        <v>0</v>
      </c>
      <c r="F598" s="62">
        <f>RESULTS!P116</f>
        <v>0</v>
      </c>
      <c r="G598" s="162">
        <f>RESULTS!Q116</f>
        <v>0</v>
      </c>
    </row>
    <row r="599" spans="1:7">
      <c r="A599" s="68">
        <f>RESULTS!A117</f>
        <v>2126</v>
      </c>
      <c r="B599" s="62">
        <f>RESULTS!L117</f>
        <v>1901.5647895913121</v>
      </c>
      <c r="C599" s="62">
        <f>RESULTS!M117</f>
        <v>1038823.2972795429</v>
      </c>
      <c r="D599" s="62">
        <f>RESULTS!N117</f>
        <v>69.798410851269125</v>
      </c>
      <c r="E599" s="62">
        <f>RESULTS!O117</f>
        <v>0</v>
      </c>
      <c r="F599" s="62">
        <f>RESULTS!P117</f>
        <v>0</v>
      </c>
      <c r="G599" s="162">
        <f>RESULTS!Q117</f>
        <v>0</v>
      </c>
    </row>
    <row r="600" spans="1:7">
      <c r="A600" s="68">
        <f>RESULTS!A118</f>
        <v>2127</v>
      </c>
      <c r="B600" s="62">
        <f>RESULTS!L118</f>
        <v>1827.003367703242</v>
      </c>
      <c r="C600" s="62">
        <f>RESULTS!M118</f>
        <v>998090.45317157917</v>
      </c>
      <c r="D600" s="62">
        <f>RESULTS!N118</f>
        <v>67.061576015514305</v>
      </c>
      <c r="E600" s="62">
        <f>RESULTS!O118</f>
        <v>0</v>
      </c>
      <c r="F600" s="62">
        <f>RESULTS!P118</f>
        <v>0</v>
      </c>
      <c r="G600" s="162">
        <f>RESULTS!Q118</f>
        <v>0</v>
      </c>
    </row>
    <row r="601" spans="1:7">
      <c r="A601" s="68">
        <f>RESULTS!A119</f>
        <v>2128</v>
      </c>
      <c r="B601" s="62">
        <f>RESULTS!L119</f>
        <v>1755.3655409850035</v>
      </c>
      <c r="C601" s="62">
        <f>RESULTS!M119</f>
        <v>958954.76672600931</v>
      </c>
      <c r="D601" s="62">
        <f>RESULTS!N119</f>
        <v>64.432054008616845</v>
      </c>
      <c r="E601" s="62">
        <f>RESULTS!O119</f>
        <v>0</v>
      </c>
      <c r="F601" s="62">
        <f>RESULTS!P119</f>
        <v>0</v>
      </c>
      <c r="G601" s="162">
        <f>RESULTS!Q119</f>
        <v>0</v>
      </c>
    </row>
    <row r="602" spans="1:7">
      <c r="A602" s="68">
        <f>RESULTS!A120</f>
        <v>2129</v>
      </c>
      <c r="B602" s="62">
        <f>RESULTS!L120</f>
        <v>1686.536673630296</v>
      </c>
      <c r="C602" s="62">
        <f>RESULTS!M120</f>
        <v>921353.61249512958</v>
      </c>
      <c r="D602" s="62">
        <f>RESULTS!N120</f>
        <v>61.905637034371196</v>
      </c>
      <c r="E602" s="62">
        <f>RESULTS!O120</f>
        <v>0</v>
      </c>
      <c r="F602" s="62">
        <f>RESULTS!P120</f>
        <v>0</v>
      </c>
      <c r="G602" s="162">
        <f>RESULTS!Q120</f>
        <v>0</v>
      </c>
    </row>
    <row r="603" spans="1:7">
      <c r="A603" s="68">
        <f>RESULTS!A121</f>
        <v>2130</v>
      </c>
      <c r="B603" s="62">
        <f>RESULTS!L121</f>
        <v>1620.4066247670767</v>
      </c>
      <c r="C603" s="62">
        <f>RESULTS!M121</f>
        <v>885226.82061016245</v>
      </c>
      <c r="D603" s="62">
        <f>RESULTS!N121</f>
        <v>59.478282286620782</v>
      </c>
      <c r="E603" s="62">
        <f>RESULTS!O121</f>
        <v>0</v>
      </c>
      <c r="F603" s="62">
        <f>RESULTS!P121</f>
        <v>0</v>
      </c>
      <c r="G603" s="162">
        <f>RESULTS!Q121</f>
        <v>0</v>
      </c>
    </row>
    <row r="604" spans="1:7">
      <c r="A604" s="68">
        <f>RESULTS!A122</f>
        <v>2131</v>
      </c>
      <c r="B604" s="62">
        <f>RESULTS!L122</f>
        <v>1556.8695722086682</v>
      </c>
      <c r="C604" s="62">
        <f>RESULTS!M122</f>
        <v>850516.58049663191</v>
      </c>
      <c r="D604" s="62">
        <f>RESULTS!N122</f>
        <v>57.146105479905927</v>
      </c>
      <c r="E604" s="62">
        <f>RESULTS!O122</f>
        <v>0</v>
      </c>
      <c r="F604" s="62">
        <f>RESULTS!P122</f>
        <v>0</v>
      </c>
      <c r="G604" s="162">
        <f>RESULTS!Q122</f>
        <v>0</v>
      </c>
    </row>
    <row r="605" spans="1:7">
      <c r="A605" s="68">
        <f>RESULTS!A123</f>
        <v>2132</v>
      </c>
      <c r="B605" s="62">
        <f>RESULTS!L123</f>
        <v>1495.823843115684</v>
      </c>
      <c r="C605" s="62">
        <f>RESULTS!M123</f>
        <v>817167.34836511093</v>
      </c>
      <c r="D605" s="62">
        <f>RESULTS!N123</f>
        <v>54.905374633778329</v>
      </c>
      <c r="E605" s="62">
        <f>RESULTS!O123</f>
        <v>0</v>
      </c>
      <c r="F605" s="62">
        <f>RESULTS!P123</f>
        <v>0</v>
      </c>
      <c r="G605" s="162">
        <f>RESULTS!Q123</f>
        <v>0</v>
      </c>
    </row>
    <row r="606" spans="1:7">
      <c r="A606" s="68">
        <f>RESULTS!A124</f>
        <v>2133</v>
      </c>
      <c r="B606" s="62">
        <f>RESULTS!L124</f>
        <v>1437.1717512977909</v>
      </c>
      <c r="C606" s="62">
        <f>RESULTS!M124</f>
        <v>785125.75832930615</v>
      </c>
      <c r="D606" s="62">
        <f>RESULTS!N124</f>
        <v>52.752504100836084</v>
      </c>
      <c r="E606" s="62">
        <f>RESULTS!O124</f>
        <v>0</v>
      </c>
      <c r="F606" s="62">
        <f>RESULTS!P124</f>
        <v>0</v>
      </c>
      <c r="G606" s="162">
        <f>RESULTS!Q124</f>
        <v>0</v>
      </c>
    </row>
    <row r="607" spans="1:7">
      <c r="A607" s="68">
        <f>RESULTS!A125</f>
        <v>2134</v>
      </c>
      <c r="B607" s="62">
        <f>RESULTS!L125</f>
        <v>1380.8194408949664</v>
      </c>
      <c r="C607" s="62">
        <f>RESULTS!M125</f>
        <v>754340.53700925631</v>
      </c>
      <c r="D607" s="62">
        <f>RESULTS!N125</f>
        <v>50.684048828922919</v>
      </c>
      <c r="E607" s="62">
        <f>RESULTS!O125</f>
        <v>0</v>
      </c>
      <c r="F607" s="62">
        <f>RESULTS!P125</f>
        <v>0</v>
      </c>
      <c r="G607" s="162">
        <f>RESULTS!Q125</f>
        <v>0</v>
      </c>
    </row>
    <row r="608" spans="1:7">
      <c r="A608" s="68">
        <f>RESULTS!A126</f>
        <v>2135</v>
      </c>
      <c r="B608" s="62">
        <f>RESULTS!L126</f>
        <v>1326.6767361880993</v>
      </c>
      <c r="C608" s="62">
        <f>RESULTS!M126</f>
        <v>724762.42148298572</v>
      </c>
      <c r="D608" s="62">
        <f>RESULTS!N126</f>
        <v>48.696698848309822</v>
      </c>
      <c r="E608" s="62">
        <f>RESULTS!O126</f>
        <v>0</v>
      </c>
      <c r="F608" s="62">
        <f>RESULTS!P126</f>
        <v>0</v>
      </c>
      <c r="G608" s="162">
        <f>RESULTS!Q126</f>
        <v>0</v>
      </c>
    </row>
    <row r="609" spans="1:7">
      <c r="A609" s="68">
        <f>RESULTS!A127</f>
        <v>2136</v>
      </c>
      <c r="B609" s="62">
        <f>RESULTS!L127</f>
        <v>1274.6569972985988</v>
      </c>
      <c r="C609" s="62">
        <f>RESULTS!M127</f>
        <v>696344.08045531763</v>
      </c>
      <c r="D609" s="62">
        <f>RESULTS!N127</f>
        <v>46.787273975037174</v>
      </c>
      <c r="E609" s="62">
        <f>RESULTS!O127</f>
        <v>0</v>
      </c>
      <c r="F609" s="62">
        <f>RESULTS!P127</f>
        <v>0</v>
      </c>
      <c r="G609" s="162">
        <f>RESULTS!Q127</f>
        <v>0</v>
      </c>
    </row>
    <row r="610" spans="1:7">
      <c r="A610" s="68">
        <f>RESULTS!A128</f>
        <v>2137</v>
      </c>
      <c r="B610" s="62">
        <f>RESULTS!L128</f>
        <v>1224.6769815461053</v>
      </c>
      <c r="C610" s="62">
        <f>RESULTS!M128</f>
        <v>669040.03851770493</v>
      </c>
      <c r="D610" s="62">
        <f>RESULTS!N128</f>
        <v>44.952718721942063</v>
      </c>
      <c r="E610" s="62">
        <f>RESULTS!O128</f>
        <v>0</v>
      </c>
      <c r="F610" s="62">
        <f>RESULTS!P128</f>
        <v>0</v>
      </c>
      <c r="G610" s="162">
        <f>RESULTS!Q128</f>
        <v>0</v>
      </c>
    </row>
    <row r="611" spans="1:7">
      <c r="A611" s="68">
        <f>RESULTS!A129</f>
        <v>2138</v>
      </c>
      <c r="B611" s="62">
        <f>RESULTS!L129</f>
        <v>1176.6567102424422</v>
      </c>
      <c r="C611" s="62">
        <f>RESULTS!M129</f>
        <v>642806.60337787424</v>
      </c>
      <c r="D611" s="62">
        <f>RESULTS!N129</f>
        <v>43.190097409226844</v>
      </c>
      <c r="E611" s="62">
        <f>RESULTS!O129</f>
        <v>0</v>
      </c>
      <c r="F611" s="62">
        <f>RESULTS!P129</f>
        <v>0</v>
      </c>
      <c r="G611" s="162">
        <f>RESULTS!Q129</f>
        <v>0</v>
      </c>
    </row>
    <row r="612" spans="1:7">
      <c r="A612" s="68">
        <f>RESULTS!A130</f>
        <v>2139</v>
      </c>
      <c r="B612" s="62">
        <f>RESULTS!L130</f>
        <v>1130.5193407086542</v>
      </c>
      <c r="C612" s="62">
        <f>RESULTS!M130</f>
        <v>617601.79594283795</v>
      </c>
      <c r="D612" s="62">
        <f>RESULTS!N130</f>
        <v>41.496589466745284</v>
      </c>
      <c r="E612" s="62">
        <f>RESULTS!O130</f>
        <v>0</v>
      </c>
      <c r="F612" s="62">
        <f>RESULTS!P130</f>
        <v>0</v>
      </c>
      <c r="G612" s="162">
        <f>RESULTS!Q130</f>
        <v>0</v>
      </c>
    </row>
    <row r="613" spans="1:7">
      <c r="A613" s="68">
        <f>RESULTS!A131</f>
        <v>2140</v>
      </c>
      <c r="B613" s="62">
        <f>RESULTS!L131</f>
        <v>1086.1910433103214</v>
      </c>
      <c r="C613" s="62">
        <f>RESULTS!M131</f>
        <v>593385.28314338648</v>
      </c>
      <c r="D613" s="62">
        <f>RESULTS!N131</f>
        <v>39.869484920488375</v>
      </c>
      <c r="E613" s="62">
        <f>RESULTS!O131</f>
        <v>0</v>
      </c>
      <c r="F613" s="62">
        <f>RESULTS!P131</f>
        <v>0</v>
      </c>
      <c r="G613" s="162">
        <f>RESULTS!Q131</f>
        <v>0</v>
      </c>
    </row>
    <row r="614" spans="1:7">
      <c r="A614" s="68">
        <f>RESULTS!A132</f>
        <v>2141</v>
      </c>
      <c r="B614" s="62">
        <f>RESULTS!L132</f>
        <v>1043.6008833144008</v>
      </c>
      <c r="C614" s="62">
        <f>RESULTS!M132</f>
        <v>570118.31339257688</v>
      </c>
      <c r="D614" s="62">
        <f>RESULTS!N132</f>
        <v>38.306180056048042</v>
      </c>
      <c r="E614" s="62">
        <f>RESULTS!O132</f>
        <v>0</v>
      </c>
      <c r="F614" s="62">
        <f>RESULTS!P132</f>
        <v>0</v>
      </c>
      <c r="G614" s="162">
        <f>RESULTS!Q132</f>
        <v>0</v>
      </c>
    </row>
    <row r="615" spans="1:7">
      <c r="A615" s="68">
        <f>RESULTS!A133</f>
        <v>2142</v>
      </c>
      <c r="B615" s="62">
        <f>RESULTS!L133</f>
        <v>1002.6807073785122</v>
      </c>
      <c r="C615" s="62">
        <f>RESULTS!M133</f>
        <v>547763.65457492252</v>
      </c>
      <c r="D615" s="62">
        <f>RESULTS!N133</f>
        <v>36.804173252118318</v>
      </c>
      <c r="E615" s="62">
        <f>RESULTS!O133</f>
        <v>0</v>
      </c>
      <c r="F615" s="62">
        <f>RESULTS!P133</f>
        <v>0</v>
      </c>
      <c r="G615" s="162">
        <f>RESULTS!Q133</f>
        <v>0</v>
      </c>
    </row>
    <row r="616" spans="1:7">
      <c r="A616" s="68">
        <f>RESULTS!A134</f>
        <v>2143</v>
      </c>
      <c r="B616" s="62">
        <f>RESULTS!L134</f>
        <v>963.36503449105544</v>
      </c>
      <c r="C616" s="62">
        <f>RESULTS!M134</f>
        <v>526285.53446706675</v>
      </c>
      <c r="D616" s="62">
        <f>RESULTS!N134</f>
        <v>35.361060977367693</v>
      </c>
      <c r="E616" s="62">
        <f>RESULTS!O134</f>
        <v>0</v>
      </c>
      <c r="F616" s="62">
        <f>RESULTS!P134</f>
        <v>0</v>
      </c>
      <c r="G616" s="162">
        <f>RESULTS!Q134</f>
        <v>0</v>
      </c>
    </row>
    <row r="617" spans="1:7">
      <c r="A617" s="68">
        <f>RESULTS!A135</f>
        <v>2144</v>
      </c>
      <c r="B617" s="62">
        <f>RESULTS!L135</f>
        <v>925.59095118761957</v>
      </c>
      <c r="C617" s="62">
        <f>RESULTS!M135</f>
        <v>505649.58349459362</v>
      </c>
      <c r="D617" s="62">
        <f>RESULTS!N135</f>
        <v>33.974533944276203</v>
      </c>
      <c r="E617" s="62">
        <f>RESULTS!O135</f>
        <v>0</v>
      </c>
      <c r="F617" s="62">
        <f>RESULTS!P135</f>
        <v>0</v>
      </c>
      <c r="G617" s="162">
        <f>RESULTS!Q135</f>
        <v>0</v>
      </c>
    </row>
    <row r="618" spans="1:7">
      <c r="A618" s="68">
        <f>RESULTS!A136</f>
        <v>2145</v>
      </c>
      <c r="B618" s="62">
        <f>RESULTS!L136</f>
        <v>889.29801087601857</v>
      </c>
      <c r="C618" s="62">
        <f>RESULTS!M136</f>
        <v>485822.77973337646</v>
      </c>
      <c r="D618" s="62">
        <f>RESULTS!N136</f>
        <v>32.642373413782707</v>
      </c>
      <c r="E618" s="62">
        <f>RESULTS!O136</f>
        <v>0</v>
      </c>
      <c r="F618" s="62">
        <f>RESULTS!P136</f>
        <v>0</v>
      </c>
      <c r="G618" s="162">
        <f>RESULTS!Q136</f>
        <v>0</v>
      </c>
    </row>
    <row r="619" spans="1:7">
      <c r="A619" s="68">
        <f>RESULTS!A137</f>
        <v>2146</v>
      </c>
      <c r="B619" s="62">
        <f>RESULTS!L137</f>
        <v>854.42813710884639</v>
      </c>
      <c r="C619" s="62">
        <f>RESULTS!M137</f>
        <v>466773.39606745337</v>
      </c>
      <c r="D619" s="62">
        <f>RESULTS!N137</f>
        <v>31.362447644828983</v>
      </c>
      <c r="E619" s="62">
        <f>RESULTS!O137</f>
        <v>0</v>
      </c>
      <c r="F619" s="62">
        <f>RESULTS!P137</f>
        <v>0</v>
      </c>
      <c r="G619" s="162">
        <f>RESULTS!Q137</f>
        <v>0</v>
      </c>
    </row>
    <row r="620" spans="1:7">
      <c r="A620" s="68">
        <f>RESULTS!A138</f>
        <v>2147</v>
      </c>
      <c r="B620" s="62">
        <f>RESULTS!L138</f>
        <v>820.92553064877279</v>
      </c>
      <c r="C620" s="62">
        <f>RESULTS!M138</f>
        <v>448470.94941887376</v>
      </c>
      <c r="D620" s="62">
        <f>RESULTS!N138</f>
        <v>30.132708483119345</v>
      </c>
      <c r="E620" s="62">
        <f>RESULTS!O138</f>
        <v>0</v>
      </c>
      <c r="F620" s="62">
        <f>RESULTS!P138</f>
        <v>0</v>
      </c>
      <c r="G620" s="162">
        <f>RESULTS!Q138</f>
        <v>0</v>
      </c>
    </row>
    <row r="621" spans="1:7">
      <c r="A621" s="68">
        <f>RESULTS!A139</f>
        <v>2148</v>
      </c>
      <c r="B621" s="62">
        <f>RESULTS!L139</f>
        <v>788.73658017785795</v>
      </c>
      <c r="C621" s="62">
        <f>RESULTS!M139</f>
        <v>430886.15196826973</v>
      </c>
      <c r="D621" s="62">
        <f>RESULTS!N139</f>
        <v>28.951188083636687</v>
      </c>
      <c r="E621" s="62">
        <f>RESULTS!O139</f>
        <v>0</v>
      </c>
      <c r="F621" s="62">
        <f>RESULTS!P139</f>
        <v>0</v>
      </c>
      <c r="G621" s="162">
        <f>RESULTS!Q139</f>
        <v>0</v>
      </c>
    </row>
    <row r="622" spans="1:7">
      <c r="A622" s="68">
        <f>RESULTS!A140</f>
        <v>2149</v>
      </c>
      <c r="B622" s="62">
        <f>RESULTS!L140</f>
        <v>757.80977650800548</v>
      </c>
      <c r="C622" s="62">
        <f>RESULTS!M140</f>
        <v>413990.86428809661</v>
      </c>
      <c r="D622" s="62">
        <f>RESULTS!N140</f>
        <v>27.81599576167072</v>
      </c>
      <c r="E622" s="62">
        <f>RESULTS!O140</f>
        <v>0</v>
      </c>
      <c r="F622" s="62">
        <f>RESULTS!P140</f>
        <v>0</v>
      </c>
      <c r="G622" s="162">
        <f>RESULTS!Q140</f>
        <v>0</v>
      </c>
    </row>
    <row r="623" spans="1:7">
      <c r="A623" s="68">
        <f>RESULTS!A141</f>
        <v>2150</v>
      </c>
      <c r="B623" s="62">
        <f>RESULTS!L141</f>
        <v>728.09563015527397</v>
      </c>
      <c r="C623" s="62">
        <f>RESULTS!M141</f>
        <v>397758.0503135458</v>
      </c>
      <c r="D623" s="62">
        <f>RESULTS!N141</f>
        <v>26.725314967319004</v>
      </c>
      <c r="E623" s="62">
        <f>RESULTS!O141</f>
        <v>0</v>
      </c>
      <c r="F623" s="62">
        <f>RESULTS!P141</f>
        <v>0</v>
      </c>
      <c r="G623" s="162">
        <f>RESULTS!Q141</f>
        <v>0</v>
      </c>
    </row>
    <row r="624" spans="1:7">
      <c r="A624" s="68">
        <f>RESULTS!A142</f>
        <v>2151</v>
      </c>
      <c r="B624" s="62">
        <f>RESULTS!L142</f>
        <v>699.54659214614298</v>
      </c>
      <c r="C624" s="62">
        <f>RESULTS!M142</f>
        <v>382161.73407907324</v>
      </c>
      <c r="D624" s="62">
        <f>RESULTS!N142</f>
        <v>25.677400378619616</v>
      </c>
      <c r="E624" s="62">
        <f>RESULTS!O142</f>
        <v>0</v>
      </c>
      <c r="F624" s="62">
        <f>RESULTS!P142</f>
        <v>0</v>
      </c>
      <c r="G624" s="162">
        <f>RESULTS!Q142</f>
        <v>0</v>
      </c>
    </row>
    <row r="625" spans="1:7">
      <c r="A625" s="68">
        <f>RESULTS!A143</f>
        <v>2152</v>
      </c>
      <c r="B625" s="62">
        <f>RESULTS!L143</f>
        <v>672.1169779290118</v>
      </c>
      <c r="C625" s="62">
        <f>RESULTS!M143</f>
        <v>367176.95815131214</v>
      </c>
      <c r="D625" s="62">
        <f>RESULTS!N143</f>
        <v>24.670575108663598</v>
      </c>
      <c r="E625" s="62">
        <f>RESULTS!O143</f>
        <v>0</v>
      </c>
      <c r="F625" s="62">
        <f>RESULTS!P143</f>
        <v>0</v>
      </c>
      <c r="G625" s="162">
        <f>RESULTS!Q143</f>
        <v>0</v>
      </c>
    </row>
    <row r="626" spans="1:7">
      <c r="A626" s="68">
        <f>RESULTS!A144</f>
        <v>2153</v>
      </c>
      <c r="B626" s="62">
        <f>RESULTS!L144</f>
        <v>645.76289426916958</v>
      </c>
      <c r="C626" s="62">
        <f>RESULTS!M144</f>
        <v>352779.74369185517</v>
      </c>
      <c r="D626" s="62">
        <f>RESULTS!N144</f>
        <v>23.703228022218163</v>
      </c>
      <c r="E626" s="62">
        <f>RESULTS!O144</f>
        <v>0</v>
      </c>
      <c r="F626" s="62">
        <f>RESULTS!P144</f>
        <v>0</v>
      </c>
      <c r="G626" s="162">
        <f>RESULTS!Q144</f>
        <v>0</v>
      </c>
    </row>
    <row r="627" spans="1:7">
      <c r="A627" s="68">
        <f>RESULTS!A145</f>
        <v>2154</v>
      </c>
      <c r="B627" s="62">
        <f>RESULTS!L145</f>
        <v>620.44216901025641</v>
      </c>
      <c r="C627" s="62">
        <f>RESULTS!M145</f>
        <v>338947.05208599789</v>
      </c>
      <c r="D627" s="62">
        <f>RESULTS!N145</f>
        <v>22.773811157566616</v>
      </c>
      <c r="E627" s="62">
        <f>RESULTS!O145</f>
        <v>0</v>
      </c>
      <c r="F627" s="62">
        <f>RESULTS!P145</f>
        <v>0</v>
      </c>
      <c r="G627" s="162">
        <f>RESULTS!Q145</f>
        <v>0</v>
      </c>
    </row>
    <row r="628" spans="1:7">
      <c r="A628" s="68">
        <f>RESULTS!A146</f>
        <v>2155</v>
      </c>
      <c r="B628" s="62">
        <f>RESULTS!L146</f>
        <v>596.11428358981516</v>
      </c>
      <c r="C628" s="62">
        <f>RESULTS!M146</f>
        <v>325656.74807603913</v>
      </c>
      <c r="D628" s="62">
        <f>RESULTS!N146</f>
        <v>21.880837249439349</v>
      </c>
      <c r="E628" s="62">
        <f>RESULTS!O146</f>
        <v>0</v>
      </c>
      <c r="F628" s="62">
        <f>RESULTS!P146</f>
        <v>0</v>
      </c>
      <c r="G628" s="162">
        <f>RESULTS!Q146</f>
        <v>0</v>
      </c>
    </row>
    <row r="629" spans="1:7">
      <c r="A629" s="68">
        <f>RESULTS!A147</f>
        <v>2156</v>
      </c>
      <c r="B629" s="62">
        <f>RESULTS!L147</f>
        <v>572.74030820094754</v>
      </c>
      <c r="C629" s="62">
        <f>RESULTS!M147</f>
        <v>312887.56434014713</v>
      </c>
      <c r="D629" s="62">
        <f>RESULTS!N147</f>
        <v>21.022877349072097</v>
      </c>
      <c r="E629" s="62">
        <f>RESULTS!O147</f>
        <v>0</v>
      </c>
      <c r="F629" s="62">
        <f>RESULTS!P147</f>
        <v>0</v>
      </c>
      <c r="G629" s="162">
        <f>RESULTS!Q147</f>
        <v>0</v>
      </c>
    </row>
    <row r="630" spans="1:7">
      <c r="A630" s="68">
        <f>RESULTS!A148</f>
        <v>2157</v>
      </c>
      <c r="B630" s="62">
        <f>RESULTS!L148</f>
        <v>550.28283949631702</v>
      </c>
      <c r="C630" s="62">
        <f>RESULTS!M148</f>
        <v>300619.06746010634</v>
      </c>
      <c r="D630" s="62">
        <f>RESULTS!N148</f>
        <v>20.198558537583057</v>
      </c>
      <c r="E630" s="62">
        <f>RESULTS!O148</f>
        <v>0</v>
      </c>
      <c r="F630" s="62">
        <f>RESULTS!P148</f>
        <v>0</v>
      </c>
      <c r="G630" s="162">
        <f>RESULTS!Q148</f>
        <v>0</v>
      </c>
    </row>
    <row r="631" spans="1:7" ht="13.5" thickBot="1">
      <c r="A631" s="69">
        <f>RESULTS!A149</f>
        <v>2158</v>
      </c>
      <c r="B631" s="165">
        <f>RESULTS!L149</f>
        <v>528.70594073481436</v>
      </c>
      <c r="C631" s="165">
        <f>RESULTS!M149</f>
        <v>288831.62522349</v>
      </c>
      <c r="D631" s="165">
        <f>RESULTS!N149</f>
        <v>19.406561729009795</v>
      </c>
      <c r="E631" s="165">
        <f>RESULTS!O149</f>
        <v>0</v>
      </c>
      <c r="F631" s="165">
        <f>RESULTS!P149</f>
        <v>0</v>
      </c>
      <c r="G631" s="166">
        <f>RESULTS!Q149</f>
        <v>0</v>
      </c>
    </row>
    <row r="632" spans="1:7">
      <c r="A632" s="437"/>
      <c r="B632" s="248"/>
      <c r="C632" s="248"/>
      <c r="D632" s="248"/>
      <c r="E632" s="438"/>
      <c r="F632" s="438"/>
      <c r="G632" s="438"/>
    </row>
    <row r="633" spans="1:7">
      <c r="A633" s="353"/>
      <c r="B633" s="353"/>
      <c r="C633" s="353"/>
      <c r="D633" s="353"/>
      <c r="E633" s="353"/>
      <c r="F633" s="353"/>
      <c r="G633" s="353"/>
    </row>
    <row r="634" spans="1:7">
      <c r="A634" s="353"/>
      <c r="B634" s="353"/>
      <c r="C634" s="353"/>
      <c r="D634" s="353"/>
      <c r="E634" s="353"/>
      <c r="F634" s="353"/>
      <c r="G634" s="353"/>
    </row>
    <row r="635" spans="1:7">
      <c r="A635" s="353"/>
      <c r="B635" s="353"/>
      <c r="C635" s="353"/>
      <c r="D635" s="353"/>
      <c r="E635" s="353"/>
      <c r="F635" s="353"/>
      <c r="G635" s="353"/>
    </row>
  </sheetData>
  <sheetProtection password="A4D6" sheet="1" objects="1" scenarios="1"/>
  <mergeCells count="38">
    <mergeCell ref="E47:G48"/>
    <mergeCell ref="A58:G63"/>
    <mergeCell ref="E590:G590"/>
    <mergeCell ref="B477:D477"/>
    <mergeCell ref="A318:A319"/>
    <mergeCell ref="A133:A134"/>
    <mergeCell ref="B133:C133"/>
    <mergeCell ref="A590:A591"/>
    <mergeCell ref="B590:D590"/>
    <mergeCell ref="A182:A185"/>
    <mergeCell ref="E67:G71"/>
    <mergeCell ref="E477:G477"/>
    <mergeCell ref="B374:D374"/>
    <mergeCell ref="B533:D533"/>
    <mergeCell ref="A431:A432"/>
    <mergeCell ref="D30:E30"/>
    <mergeCell ref="A52:G56"/>
    <mergeCell ref="B318:D318"/>
    <mergeCell ref="A88:A89"/>
    <mergeCell ref="B88:C88"/>
    <mergeCell ref="D88:E88"/>
    <mergeCell ref="A32:C32"/>
    <mergeCell ref="A33:G38"/>
    <mergeCell ref="B179:D179"/>
    <mergeCell ref="E218:F219"/>
    <mergeCell ref="B219:D219"/>
    <mergeCell ref="A186:A214"/>
    <mergeCell ref="A222:A250"/>
    <mergeCell ref="E178:F179"/>
    <mergeCell ref="D133:E133"/>
    <mergeCell ref="A40:C40"/>
    <mergeCell ref="A533:A534"/>
    <mergeCell ref="B431:D431"/>
    <mergeCell ref="E431:G431"/>
    <mergeCell ref="E318:G318"/>
    <mergeCell ref="A374:A375"/>
    <mergeCell ref="E374:G374"/>
    <mergeCell ref="E533:G533"/>
  </mergeCells>
  <phoneticPr fontId="51" type="noConversion"/>
  <pageMargins left="0.5" right="0.5" top="0.5" bottom="0.5" header="0.2" footer="0.2"/>
  <pageSetup scale="80" orientation="portrait" r:id="rId1"/>
  <headerFooter alignWithMargins="0">
    <oddHeader>&amp;L&amp;F&amp;R&amp;D</oddHeader>
    <oddFooter>&amp;CREPORT - &amp;P</oddFooter>
  </headerFooter>
  <rowBreaks count="11" manualBreakCount="11">
    <brk id="64" max="16383" man="1"/>
    <brk id="130" max="6" man="1"/>
    <brk id="175" max="16383" man="1"/>
    <brk id="215" max="6" man="1"/>
    <brk id="251" max="6" man="1"/>
    <brk id="314" max="6" man="1"/>
    <brk id="370" max="6" man="1"/>
    <brk id="427" max="6" man="1"/>
    <brk id="473" max="6" man="1"/>
    <brk id="529" max="6" man="1"/>
    <brk id="58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INTRO</vt:lpstr>
      <vt:lpstr>USER INPUTS</vt:lpstr>
      <vt:lpstr>POLLUTANTS</vt:lpstr>
      <vt:lpstr>INPUT REVIEW</vt:lpstr>
      <vt:lpstr>METHANE</vt:lpstr>
      <vt:lpstr>RESULTS</vt:lpstr>
      <vt:lpstr>GRAPHS</vt:lpstr>
      <vt:lpstr>INVENTORY</vt:lpstr>
      <vt:lpstr>REPORT</vt:lpstr>
      <vt:lpstr>DEFAULTS</vt:lpstr>
      <vt:lpstr>AcceptanceRates</vt:lpstr>
      <vt:lpstr>ClosureCalcNo</vt:lpstr>
      <vt:lpstr>ClosureCalcYes</vt:lpstr>
      <vt:lpstr>ClosureYear</vt:lpstr>
      <vt:lpstr>NewPollutants</vt:lpstr>
      <vt:lpstr>OpenYear</vt:lpstr>
      <vt:lpstr>DEFAULTS!Print_Area</vt:lpstr>
      <vt:lpstr>GRAPHS!Print_Area</vt:lpstr>
      <vt:lpstr>'INPUT REVIEW'!Print_Area</vt:lpstr>
      <vt:lpstr>INTRO!Print_Area</vt:lpstr>
      <vt:lpstr>INVENTORY!Print_Area</vt:lpstr>
      <vt:lpstr>METHANE!Print_Area</vt:lpstr>
      <vt:lpstr>POLLUTANTS!Print_Area</vt:lpstr>
      <vt:lpstr>REPORT!Print_Area</vt:lpstr>
      <vt:lpstr>RESULTS!Print_Area</vt:lpstr>
      <vt:lpstr>'USER INPUTS'!Print_Area</vt:lpstr>
      <vt:lpstr>'INPUT REVIEW'!Print_Titles</vt:lpstr>
      <vt:lpstr>METHANE!Print_Titles</vt:lpstr>
      <vt:lpstr>RESULTS!Print_Titles</vt:lpstr>
      <vt:lpstr>'USER INPUTS'!Print_Titles</vt:lpstr>
      <vt:lpstr>UserPollutantParameters</vt:lpstr>
      <vt:lpstr>WasteCapacity</vt:lpstr>
    </vt:vector>
  </TitlesOfParts>
  <Company>Eastern Research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Alexander</dc:creator>
  <cp:lastModifiedBy>NOFIA</cp:lastModifiedBy>
  <cp:lastPrinted>2005-05-03T15:16:44Z</cp:lastPrinted>
  <dcterms:created xsi:type="dcterms:W3CDTF">2003-09-17T17:56:35Z</dcterms:created>
  <dcterms:modified xsi:type="dcterms:W3CDTF">2023-09-14T10:55:37Z</dcterms:modified>
</cp:coreProperties>
</file>