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dang\"/>
    </mc:Choice>
  </mc:AlternateContent>
  <bookViews>
    <workbookView xWindow="0" yWindow="0" windowWidth="20490" windowHeight="7050" activeTab="2"/>
  </bookViews>
  <sheets>
    <sheet name="Alternatif 1 (CER = 0.17)" sheetId="1" r:id="rId1"/>
    <sheet name="Alternatif 2 (CER = 0.43)" sheetId="10" r:id="rId2"/>
    <sheet name="Penghematan Listrik" sheetId="15" r:id="rId3"/>
    <sheet name="Penjualan Karbon" sheetId="16" r:id="rId4"/>
    <sheet name="Kesimpulan (2)" sheetId="17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5" l="1"/>
  <c r="C6" i="16" l="1"/>
  <c r="D6" i="16"/>
  <c r="E6" i="16"/>
  <c r="F6" i="16"/>
  <c r="G6" i="16"/>
  <c r="H6" i="16"/>
  <c r="I6" i="16"/>
  <c r="J6" i="16"/>
  <c r="K6" i="16"/>
  <c r="L6" i="16"/>
  <c r="M6" i="16"/>
  <c r="N6" i="16"/>
  <c r="B6" i="16"/>
  <c r="C5" i="16"/>
  <c r="D5" i="16"/>
  <c r="E5" i="16"/>
  <c r="F5" i="16"/>
  <c r="G5" i="16"/>
  <c r="H5" i="16"/>
  <c r="I5" i="16"/>
  <c r="J5" i="16"/>
  <c r="K5" i="16"/>
  <c r="L5" i="16"/>
  <c r="M5" i="16"/>
  <c r="N5" i="16"/>
  <c r="B5" i="16"/>
  <c r="B5" i="17" l="1"/>
  <c r="B4" i="17"/>
  <c r="E10" i="10"/>
  <c r="F10" i="10"/>
  <c r="F11" i="10" s="1"/>
  <c r="G10" i="10"/>
  <c r="H10" i="10"/>
  <c r="H11" i="10" s="1"/>
  <c r="I10" i="10"/>
  <c r="J10" i="10"/>
  <c r="K10" i="10"/>
  <c r="L10" i="10"/>
  <c r="L11" i="10" s="1"/>
  <c r="M10" i="10"/>
  <c r="N10" i="10"/>
  <c r="N11" i="10" s="1"/>
  <c r="O10" i="10"/>
  <c r="P10" i="10"/>
  <c r="P11" i="10" s="1"/>
  <c r="D10" i="10"/>
  <c r="E11" i="10"/>
  <c r="G11" i="10"/>
  <c r="I11" i="10"/>
  <c r="J11" i="10"/>
  <c r="K11" i="10"/>
  <c r="M11" i="10"/>
  <c r="O11" i="10"/>
  <c r="E10" i="1"/>
  <c r="F10" i="1"/>
  <c r="G10" i="1"/>
  <c r="H10" i="1"/>
  <c r="I10" i="1"/>
  <c r="J10" i="1"/>
  <c r="K10" i="1"/>
  <c r="L10" i="1"/>
  <c r="M10" i="1"/>
  <c r="N10" i="1"/>
  <c r="O10" i="1"/>
  <c r="P10" i="1"/>
  <c r="D10" i="1"/>
  <c r="D9" i="10"/>
  <c r="D9" i="1"/>
  <c r="N10" i="15"/>
  <c r="J10" i="15"/>
  <c r="F10" i="15"/>
  <c r="O9" i="15"/>
  <c r="O10" i="15" s="1"/>
  <c r="N9" i="15"/>
  <c r="M9" i="15"/>
  <c r="M10" i="15" s="1"/>
  <c r="L9" i="15"/>
  <c r="L10" i="15" s="1"/>
  <c r="K9" i="15"/>
  <c r="K10" i="15" s="1"/>
  <c r="J9" i="15"/>
  <c r="I9" i="15"/>
  <c r="I10" i="15" s="1"/>
  <c r="H9" i="15"/>
  <c r="H10" i="15" s="1"/>
  <c r="G9" i="15"/>
  <c r="G10" i="15" s="1"/>
  <c r="F9" i="15"/>
  <c r="E9" i="15"/>
  <c r="E10" i="15" s="1"/>
  <c r="D9" i="15"/>
  <c r="D10" i="15" s="1"/>
  <c r="P8" i="15"/>
  <c r="P7" i="15"/>
  <c r="P6" i="15"/>
  <c r="P5" i="15"/>
  <c r="O4" i="15"/>
  <c r="N4" i="15"/>
  <c r="M4" i="15"/>
  <c r="L4" i="15"/>
  <c r="K4" i="15"/>
  <c r="J4" i="15"/>
  <c r="I4" i="15"/>
  <c r="H4" i="15"/>
  <c r="G4" i="15"/>
  <c r="F4" i="15"/>
  <c r="E4" i="15"/>
  <c r="D4" i="15"/>
  <c r="P4" i="15" s="1"/>
  <c r="C14" i="15" s="1"/>
  <c r="C15" i="15" l="1"/>
  <c r="D14" i="15"/>
  <c r="D15" i="15" s="1"/>
  <c r="C19" i="15" s="1"/>
  <c r="C22" i="15" s="1"/>
  <c r="P9" i="15"/>
  <c r="P10" i="15" s="1"/>
  <c r="E9" i="1" l="1"/>
  <c r="C11" i="1"/>
  <c r="D23" i="10"/>
  <c r="D11" i="1" l="1"/>
  <c r="E11" i="1"/>
  <c r="F9" i="1"/>
  <c r="F11" i="1" l="1"/>
  <c r="G9" i="1"/>
  <c r="H9" i="1" l="1"/>
  <c r="G11" i="1"/>
  <c r="I9" i="1" l="1"/>
  <c r="H11" i="1"/>
  <c r="I11" i="1" l="1"/>
  <c r="J9" i="1"/>
  <c r="K9" i="1" l="1"/>
  <c r="J11" i="1"/>
  <c r="L9" i="1" l="1"/>
  <c r="K11" i="1"/>
  <c r="L11" i="1" l="1"/>
  <c r="M9" i="1"/>
  <c r="M11" i="1" l="1"/>
  <c r="N9" i="1"/>
  <c r="O9" i="1" l="1"/>
  <c r="N11" i="1"/>
  <c r="P9" i="1" l="1"/>
  <c r="P11" i="1" s="1"/>
  <c r="O11" i="1"/>
  <c r="P23" i="10" l="1"/>
  <c r="O23" i="10"/>
  <c r="N23" i="10"/>
  <c r="M23" i="10"/>
  <c r="L23" i="10"/>
  <c r="K23" i="10"/>
  <c r="J23" i="10"/>
  <c r="I23" i="10"/>
  <c r="H23" i="10"/>
  <c r="G23" i="10"/>
  <c r="F23" i="10"/>
  <c r="E23" i="10"/>
  <c r="C23" i="10"/>
  <c r="D20" i="10"/>
  <c r="C20" i="10"/>
  <c r="E19" i="10"/>
  <c r="F19" i="10" s="1"/>
  <c r="G19" i="10" s="1"/>
  <c r="H19" i="10" s="1"/>
  <c r="I19" i="10" s="1"/>
  <c r="J19" i="10" s="1"/>
  <c r="K19" i="10" s="1"/>
  <c r="L19" i="10" s="1"/>
  <c r="M19" i="10" s="1"/>
  <c r="N19" i="10" s="1"/>
  <c r="O19" i="10" s="1"/>
  <c r="P19" i="10" s="1"/>
  <c r="E18" i="10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E17" i="10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E16" i="10"/>
  <c r="C11" i="10"/>
  <c r="E9" i="10"/>
  <c r="E20" i="10" l="1"/>
  <c r="E30" i="10" s="1"/>
  <c r="C30" i="10"/>
  <c r="D11" i="10"/>
  <c r="D29" i="10" s="1"/>
  <c r="D30" i="10"/>
  <c r="C29" i="10"/>
  <c r="F9" i="10"/>
  <c r="F16" i="10"/>
  <c r="C21" i="10"/>
  <c r="C23" i="1"/>
  <c r="D21" i="10" l="1"/>
  <c r="D24" i="10" s="1"/>
  <c r="G9" i="10"/>
  <c r="G16" i="10"/>
  <c r="F20" i="10"/>
  <c r="F30" i="10" s="1"/>
  <c r="C24" i="10"/>
  <c r="C22" i="10"/>
  <c r="E29" i="10"/>
  <c r="E21" i="10"/>
  <c r="E24" i="10" s="1"/>
  <c r="E16" i="1"/>
  <c r="D22" i="10" l="1"/>
  <c r="E22" i="10" s="1"/>
  <c r="F29" i="10"/>
  <c r="F21" i="10"/>
  <c r="C27" i="10"/>
  <c r="H9" i="10"/>
  <c r="G20" i="10"/>
  <c r="G30" i="10" s="1"/>
  <c r="H16" i="10"/>
  <c r="C20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F22" i="10" l="1"/>
  <c r="I9" i="10"/>
  <c r="F24" i="10"/>
  <c r="I16" i="10"/>
  <c r="H20" i="10"/>
  <c r="H30" i="10" s="1"/>
  <c r="G29" i="10"/>
  <c r="G21" i="10"/>
  <c r="G24" i="10" s="1"/>
  <c r="D20" i="1"/>
  <c r="J9" i="10" l="1"/>
  <c r="G22" i="10"/>
  <c r="H21" i="10"/>
  <c r="H24" i="10" s="1"/>
  <c r="H29" i="10"/>
  <c r="I20" i="10"/>
  <c r="I30" i="10" s="1"/>
  <c r="J16" i="10"/>
  <c r="H22" i="10" l="1"/>
  <c r="K16" i="10"/>
  <c r="J20" i="10"/>
  <c r="J30" i="10" s="1"/>
  <c r="I29" i="10"/>
  <c r="I21" i="10"/>
  <c r="K9" i="10"/>
  <c r="I24" i="10" l="1"/>
  <c r="I22" i="10"/>
  <c r="L9" i="10"/>
  <c r="J29" i="10"/>
  <c r="J21" i="10"/>
  <c r="J24" i="10" s="1"/>
  <c r="K20" i="10"/>
  <c r="K30" i="10" s="1"/>
  <c r="L16" i="10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E18" i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F16" i="1"/>
  <c r="G16" i="1" s="1"/>
  <c r="H16" i="1" s="1"/>
  <c r="I16" i="1" s="1"/>
  <c r="J16" i="1" s="1"/>
  <c r="K16" i="1" s="1"/>
  <c r="L16" i="1" s="1"/>
  <c r="M16" i="1" s="1"/>
  <c r="K29" i="10" l="1"/>
  <c r="K21" i="10"/>
  <c r="J22" i="10"/>
  <c r="L20" i="10"/>
  <c r="L30" i="10" s="1"/>
  <c r="M16" i="10"/>
  <c r="M9" i="10"/>
  <c r="M20" i="1"/>
  <c r="M30" i="1" s="1"/>
  <c r="N16" i="1"/>
  <c r="L29" i="10" l="1"/>
  <c r="L21" i="10"/>
  <c r="L24" i="10" s="1"/>
  <c r="K22" i="10"/>
  <c r="N9" i="10"/>
  <c r="K24" i="10"/>
  <c r="M20" i="10"/>
  <c r="M30" i="10" s="1"/>
  <c r="N16" i="10"/>
  <c r="O16" i="1"/>
  <c r="N20" i="1"/>
  <c r="N30" i="1" s="1"/>
  <c r="D30" i="1"/>
  <c r="E20" i="1"/>
  <c r="E30" i="1" s="1"/>
  <c r="F20" i="1"/>
  <c r="F30" i="1" s="1"/>
  <c r="G20" i="1"/>
  <c r="G30" i="1" s="1"/>
  <c r="H20" i="1"/>
  <c r="H30" i="1" s="1"/>
  <c r="I20" i="1"/>
  <c r="I30" i="1" s="1"/>
  <c r="J20" i="1"/>
  <c r="J30" i="1" s="1"/>
  <c r="K20" i="1"/>
  <c r="K30" i="1" s="1"/>
  <c r="L20" i="1"/>
  <c r="L30" i="1" s="1"/>
  <c r="L22" i="10" l="1"/>
  <c r="O9" i="10"/>
  <c r="O16" i="10"/>
  <c r="N20" i="10"/>
  <c r="N30" i="10" s="1"/>
  <c r="M21" i="10"/>
  <c r="M24" i="10" s="1"/>
  <c r="M29" i="10"/>
  <c r="O20" i="1"/>
  <c r="O30" i="1" s="1"/>
  <c r="P16" i="1"/>
  <c r="P20" i="1" s="1"/>
  <c r="P30" i="1" s="1"/>
  <c r="C30" i="1"/>
  <c r="C29" i="1"/>
  <c r="N29" i="10" l="1"/>
  <c r="N21" i="10"/>
  <c r="N24" i="10" s="1"/>
  <c r="O20" i="10"/>
  <c r="O30" i="10" s="1"/>
  <c r="P16" i="10"/>
  <c r="P20" i="10" s="1"/>
  <c r="P30" i="10" s="1"/>
  <c r="P9" i="10"/>
  <c r="M22" i="10"/>
  <c r="C21" i="1"/>
  <c r="C22" i="1" l="1"/>
  <c r="C24" i="1"/>
  <c r="C27" i="1" s="1"/>
  <c r="N22" i="10"/>
  <c r="P29" i="10"/>
  <c r="P21" i="10"/>
  <c r="O29" i="10"/>
  <c r="O21" i="10"/>
  <c r="O24" i="10" s="1"/>
  <c r="C31" i="10" l="1"/>
  <c r="D5" i="17" s="1"/>
  <c r="O22" i="10"/>
  <c r="P22" i="10" s="1"/>
  <c r="P24" i="10"/>
  <c r="C32" i="10"/>
  <c r="E5" i="17" s="1"/>
  <c r="L21" i="1"/>
  <c r="L24" i="1" s="1"/>
  <c r="I21" i="1"/>
  <c r="I24" i="1" s="1"/>
  <c r="E21" i="1"/>
  <c r="E24" i="1" s="1"/>
  <c r="F21" i="1"/>
  <c r="F24" i="1" s="1"/>
  <c r="H21" i="1"/>
  <c r="H24" i="1" s="1"/>
  <c r="G29" i="1"/>
  <c r="D21" i="1"/>
  <c r="J21" i="1"/>
  <c r="J24" i="1" s="1"/>
  <c r="K21" i="1"/>
  <c r="K24" i="1" s="1"/>
  <c r="C26" i="10" l="1"/>
  <c r="C28" i="10" s="1"/>
  <c r="C25" i="10"/>
  <c r="C5" i="17" s="1"/>
  <c r="D22" i="1"/>
  <c r="E22" i="1" s="1"/>
  <c r="F22" i="1" s="1"/>
  <c r="D24" i="1"/>
  <c r="L29" i="1"/>
  <c r="G21" i="1"/>
  <c r="G24" i="1" s="1"/>
  <c r="E29" i="1"/>
  <c r="I29" i="1"/>
  <c r="D29" i="1"/>
  <c r="F29" i="1"/>
  <c r="J29" i="1"/>
  <c r="K29" i="1"/>
  <c r="H29" i="1"/>
  <c r="G22" i="1" l="1"/>
  <c r="H22" i="1" s="1"/>
  <c r="I22" i="1" s="1"/>
  <c r="J22" i="1" s="1"/>
  <c r="K22" i="1" s="1"/>
  <c r="L22" i="1" s="1"/>
  <c r="M21" i="1"/>
  <c r="M29" i="1"/>
  <c r="M22" i="1" l="1"/>
  <c r="M24" i="1"/>
  <c r="N21" i="1"/>
  <c r="N24" i="1" s="1"/>
  <c r="N29" i="1"/>
  <c r="N22" i="1" l="1"/>
  <c r="O29" i="1"/>
  <c r="O21" i="1"/>
  <c r="P29" i="1"/>
  <c r="P21" i="1"/>
  <c r="P24" i="1" s="1"/>
  <c r="C31" i="1" l="1"/>
  <c r="D4" i="17" s="1"/>
  <c r="O24" i="1"/>
  <c r="C26" i="1" s="1"/>
  <c r="C32" i="1"/>
  <c r="E4" i="17" s="1"/>
  <c r="O22" i="1"/>
  <c r="P22" i="1" s="1"/>
  <c r="C28" i="1" l="1"/>
  <c r="C25" i="1"/>
  <c r="C4" i="17" s="1"/>
</calcChain>
</file>

<file path=xl/comments1.xml><?xml version="1.0" encoding="utf-8"?>
<comments xmlns="http://schemas.openxmlformats.org/spreadsheetml/2006/main">
  <authors>
    <author>Jasmine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Jasmine:</t>
        </r>
        <r>
          <rPr>
            <sz val="9"/>
            <color indexed="81"/>
            <rFont val="Tahoma"/>
            <family val="2"/>
          </rPr>
          <t xml:space="preserve">
2016</t>
        </r>
      </text>
    </comment>
  </commentList>
</comments>
</file>

<file path=xl/comments2.xml><?xml version="1.0" encoding="utf-8"?>
<comments xmlns="http://schemas.openxmlformats.org/spreadsheetml/2006/main">
  <authors>
    <author>Jasmine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Jasmine:</t>
        </r>
        <r>
          <rPr>
            <sz val="9"/>
            <color indexed="81"/>
            <rFont val="Tahoma"/>
            <family val="2"/>
          </rPr>
          <t xml:space="preserve">
2016</t>
        </r>
      </text>
    </comment>
  </commentList>
</comments>
</file>

<file path=xl/sharedStrings.xml><?xml version="1.0" encoding="utf-8"?>
<sst xmlns="http://schemas.openxmlformats.org/spreadsheetml/2006/main" count="128" uniqueCount="85">
  <si>
    <t>Penjualan Kredit Karbon</t>
  </si>
  <si>
    <t>a. Investasi</t>
  </si>
  <si>
    <t>b. Operasional</t>
  </si>
  <si>
    <t>Operasional</t>
  </si>
  <si>
    <t>Pemakaian Bahan Penolong</t>
  </si>
  <si>
    <t>Pemakaian Spareparts</t>
  </si>
  <si>
    <t>Service and Maintenance</t>
  </si>
  <si>
    <t>DF%</t>
  </si>
  <si>
    <t>NPV</t>
  </si>
  <si>
    <t>Net B/C</t>
  </si>
  <si>
    <t>IRR</t>
  </si>
  <si>
    <t>Penghematan Listrik</t>
  </si>
  <si>
    <t>PV Net Benefit</t>
  </si>
  <si>
    <t>Deskripsi</t>
  </si>
  <si>
    <t>INFLOW</t>
  </si>
  <si>
    <t>OUTFLOW</t>
  </si>
  <si>
    <t>Total Inflow</t>
  </si>
  <si>
    <t>Total Outflow</t>
  </si>
  <si>
    <t>Net Benefit</t>
  </si>
  <si>
    <t>PV Net Benefit Positif</t>
  </si>
  <si>
    <t>PV Net Benefit Negatif</t>
  </si>
  <si>
    <t>PV Inflow</t>
  </si>
  <si>
    <t>PV Outflow</t>
  </si>
  <si>
    <t>Gross B/C</t>
  </si>
  <si>
    <t>Net Benefit Kumulatif</t>
  </si>
  <si>
    <t>Operasional Supervisi dan Tenaga Kerja</t>
  </si>
  <si>
    <t>Data Produksi dan Konsumsi Daya Hanya dari Gas Engine</t>
  </si>
  <si>
    <t>Januari</t>
  </si>
  <si>
    <t>Februari</t>
  </si>
  <si>
    <t>Maret</t>
  </si>
  <si>
    <t>April</t>
  </si>
  <si>
    <t xml:space="preserve">Mei 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</si>
  <si>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</si>
  <si>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</si>
  <si>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</si>
  <si>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</si>
  <si>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</si>
  <si>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</si>
  <si>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</si>
  <si>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</si>
  <si>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kWh</t>
  </si>
  <si>
    <t>Daya dari Gas engine (Biogas)</t>
  </si>
  <si>
    <t>Total Konsumsi Daya</t>
  </si>
  <si>
    <t>Daya KCP</t>
  </si>
  <si>
    <t>Daya Domestik Kebun</t>
  </si>
  <si>
    <t>Daya PLTBg</t>
  </si>
  <si>
    <t>Daya Mill</t>
  </si>
  <si>
    <t>Potensi Listrik yang dapat dibangkitkan oleh PLTBg PKS IIS Tahun 2020</t>
  </si>
  <si>
    <t>Jenis</t>
  </si>
  <si>
    <t>Total kilowatt (kw)/tahun</t>
  </si>
  <si>
    <t>Total Kw/bulan</t>
  </si>
  <si>
    <t>Biogas</t>
  </si>
  <si>
    <t>Total Listrik</t>
  </si>
  <si>
    <t xml:space="preserve">Pendapatan dari penghematan listrik </t>
  </si>
  <si>
    <t>Uraian</t>
  </si>
  <si>
    <t>Jumlah</t>
  </si>
  <si>
    <t>Satuan</t>
  </si>
  <si>
    <t>Total listrik yang dihasilkan PLTBg</t>
  </si>
  <si>
    <t>kw/bulan</t>
  </si>
  <si>
    <t>Tarif listrik industri menengah</t>
  </si>
  <si>
    <t>kw/jam</t>
  </si>
  <si>
    <t>https://web.pln.co.id/media/siaran-pers/2021/01/tarif-listrik-triwulan-1-2021-tidak-naik</t>
  </si>
  <si>
    <t>Jumlah bulan dalam setahun</t>
  </si>
  <si>
    <t>bulan</t>
  </si>
  <si>
    <t>rupiah</t>
  </si>
  <si>
    <t>Pendapatan dari penjualan karbon</t>
  </si>
  <si>
    <t>Tahun</t>
  </si>
  <si>
    <t>ER</t>
  </si>
  <si>
    <t>https://www.theice.com/products/26238355/CER-Daily-Futures/data?marketId=1240279</t>
  </si>
  <si>
    <t>Kesimpulan</t>
  </si>
  <si>
    <t>BCR</t>
  </si>
  <si>
    <t>Arus kas untuk proyek</t>
  </si>
  <si>
    <t>PLTBg Tungkal Ulu</t>
  </si>
  <si>
    <t>Skenario</t>
  </si>
  <si>
    <r>
      <t xml:space="preserve">Alternatif 1 (CER = </t>
    </r>
    <r>
      <rPr>
        <b/>
        <sz val="14"/>
        <rFont val="Calibri"/>
        <family val="2"/>
      </rPr>
      <t>€</t>
    </r>
    <r>
      <rPr>
        <b/>
        <sz val="14"/>
        <rFont val="Calibri"/>
        <family val="2"/>
        <scheme val="minor"/>
      </rPr>
      <t>0.17)</t>
    </r>
  </si>
  <si>
    <t>Discount Factor</t>
  </si>
  <si>
    <t xml:space="preserve">Total Produksi Daya </t>
  </si>
  <si>
    <t>Sumber data</t>
  </si>
  <si>
    <t>Input data [C18]</t>
  </si>
  <si>
    <t>Lihat [D14]</t>
  </si>
  <si>
    <t>Input data Lampiran 'Alternatif 1' [D9 - P9] dan Lampiran 'Alternatif 2' [D9 - P9]</t>
  </si>
  <si>
    <t>CER = €0.17</t>
  </si>
  <si>
    <t>CER = €0.43</t>
  </si>
  <si>
    <t>Sumber data:</t>
  </si>
  <si>
    <r>
      <t xml:space="preserve">Alternatif 1 (CER = </t>
    </r>
    <r>
      <rPr>
        <b/>
        <sz val="14"/>
        <rFont val="Calibri"/>
        <family val="2"/>
      </rPr>
      <t>€</t>
    </r>
    <r>
      <rPr>
        <b/>
        <sz val="14"/>
        <rFont val="Calibri"/>
        <family val="2"/>
        <scheme val="minor"/>
      </rPr>
      <t>0.43)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</si>
</sst>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(* #,##0.000_);_(* \(#,##0.000\);_(* &quot;-&quot;??_);_(@_)"/>
    <numFmt numFmtId="167" formatCode="0.0%"/>
    <numFmt numFmtId="168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2"/>
      <color rgb="FF0070C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" fillId="0" borderId="0"/>
  </cellStyleXfs>
  <cellXfs count="127">
    <xf numFmtId="0" fontId="0" fillId="0" borderId="0" xfId="0"/>
    <xf numFmtId="0" fontId="6" fillId="2" borderId="0" xfId="1" applyFont="1" applyFill="1"/>
    <xf numFmtId="49" fontId="6" fillId="2" borderId="0" xfId="1" applyNumberFormat="1" applyFont="1" applyFill="1" applyAlignment="1">
      <alignment wrapText="1"/>
    </xf>
    <xf numFmtId="167" fontId="6" fillId="2" borderId="0" xfId="5" applyNumberFormat="1" applyFont="1" applyFill="1"/>
    <xf numFmtId="0" fontId="6" fillId="2" borderId="1" xfId="1" applyFont="1" applyFill="1" applyBorder="1"/>
    <xf numFmtId="164" fontId="6" fillId="2" borderId="0" xfId="2" applyFont="1" applyFill="1"/>
    <xf numFmtId="165" fontId="6" fillId="2" borderId="1" xfId="1" applyNumberFormat="1" applyFont="1" applyFill="1" applyBorder="1"/>
    <xf numFmtId="0" fontId="12" fillId="2" borderId="0" xfId="10" applyFont="1" applyFill="1" applyBorder="1" applyAlignment="1">
      <alignment vertical="top"/>
    </xf>
    <xf numFmtId="0" fontId="12" fillId="2" borderId="0" xfId="11" applyFont="1" applyFill="1" applyBorder="1" applyAlignment="1">
      <alignment vertical="top"/>
    </xf>
    <xf numFmtId="0" fontId="6" fillId="2" borderId="0" xfId="12" applyFont="1" applyFill="1" applyAlignment="1">
      <alignment vertical="top"/>
    </xf>
    <xf numFmtId="0" fontId="5" fillId="3" borderId="5" xfId="12" applyFont="1" applyFill="1" applyBorder="1" applyAlignment="1">
      <alignment horizontal="center" vertical="top"/>
    </xf>
    <xf numFmtId="0" fontId="5" fillId="3" borderId="9" xfId="12" applyFont="1" applyFill="1" applyBorder="1" applyAlignment="1">
      <alignment horizontal="center" vertical="top"/>
    </xf>
    <xf numFmtId="0" fontId="5" fillId="3" borderId="1" xfId="12" applyFont="1" applyFill="1" applyBorder="1" applyAlignment="1">
      <alignment horizontal="center" vertical="top"/>
    </xf>
    <xf numFmtId="1" fontId="5" fillId="3" borderId="1" xfId="9" applyNumberFormat="1" applyFont="1" applyFill="1" applyBorder="1" applyAlignment="1">
      <alignment horizontal="center" vertical="top"/>
    </xf>
    <xf numFmtId="0" fontId="5" fillId="3" borderId="10" xfId="12" applyFont="1" applyFill="1" applyBorder="1" applyAlignment="1">
      <alignment horizontal="center" vertical="top"/>
    </xf>
    <xf numFmtId="1" fontId="14" fillId="3" borderId="1" xfId="5" applyNumberFormat="1" applyFont="1" applyFill="1" applyBorder="1" applyAlignment="1">
      <alignment horizontal="center" vertical="top"/>
    </xf>
    <xf numFmtId="0" fontId="14" fillId="3" borderId="1" xfId="12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6" fillId="2" borderId="0" xfId="1" applyFont="1" applyFill="1" applyBorder="1" applyAlignment="1">
      <alignment horizontal="center"/>
    </xf>
    <xf numFmtId="1" fontId="5" fillId="3" borderId="11" xfId="9" applyNumberFormat="1" applyFont="1" applyFill="1" applyBorder="1" applyAlignment="1">
      <alignment horizontal="center" vertical="top"/>
    </xf>
    <xf numFmtId="1" fontId="14" fillId="3" borderId="11" xfId="5" applyNumberFormat="1" applyFont="1" applyFill="1" applyBorder="1" applyAlignment="1">
      <alignment horizontal="center" vertical="top"/>
    </xf>
    <xf numFmtId="0" fontId="6" fillId="2" borderId="11" xfId="1" applyFont="1" applyFill="1" applyBorder="1"/>
    <xf numFmtId="49" fontId="6" fillId="2" borderId="12" xfId="1" applyNumberFormat="1" applyFont="1" applyFill="1" applyBorder="1" applyAlignment="1">
      <alignment wrapText="1"/>
    </xf>
    <xf numFmtId="49" fontId="6" fillId="2" borderId="12" xfId="1" applyNumberFormat="1" applyFont="1" applyFill="1" applyBorder="1" applyAlignment="1">
      <alignment vertical="top" wrapText="1"/>
    </xf>
    <xf numFmtId="49" fontId="7" fillId="2" borderId="12" xfId="3" applyNumberFormat="1" applyFont="1" applyFill="1" applyBorder="1" applyAlignment="1" applyProtection="1">
      <alignment horizontal="left" vertical="center" indent="1"/>
    </xf>
    <xf numFmtId="0" fontId="6" fillId="2" borderId="12" xfId="0" applyFont="1" applyFill="1" applyBorder="1"/>
    <xf numFmtId="165" fontId="6" fillId="2" borderId="11" xfId="1" applyNumberFormat="1" applyFont="1" applyFill="1" applyBorder="1"/>
    <xf numFmtId="0" fontId="6" fillId="2" borderId="12" xfId="0" applyFont="1" applyFill="1" applyBorder="1" applyAlignment="1">
      <alignment wrapText="1"/>
    </xf>
    <xf numFmtId="0" fontId="5" fillId="4" borderId="5" xfId="12" applyFont="1" applyFill="1" applyBorder="1" applyAlignment="1">
      <alignment horizontal="center" vertical="top"/>
    </xf>
    <xf numFmtId="0" fontId="5" fillId="4" borderId="9" xfId="12" applyFont="1" applyFill="1" applyBorder="1" applyAlignment="1">
      <alignment horizontal="center" vertical="top"/>
    </xf>
    <xf numFmtId="0" fontId="5" fillId="4" borderId="1" xfId="12" applyFont="1" applyFill="1" applyBorder="1" applyAlignment="1">
      <alignment horizontal="center" vertical="top"/>
    </xf>
    <xf numFmtId="1" fontId="5" fillId="4" borderId="1" xfId="9" applyNumberFormat="1" applyFont="1" applyFill="1" applyBorder="1" applyAlignment="1">
      <alignment horizontal="center" vertical="top"/>
    </xf>
    <xf numFmtId="1" fontId="5" fillId="4" borderId="11" xfId="9" applyNumberFormat="1" applyFont="1" applyFill="1" applyBorder="1" applyAlignment="1">
      <alignment horizontal="center" vertical="top"/>
    </xf>
    <xf numFmtId="0" fontId="5" fillId="4" borderId="10" xfId="12" applyFont="1" applyFill="1" applyBorder="1" applyAlignment="1">
      <alignment horizontal="center" vertical="top"/>
    </xf>
    <xf numFmtId="49" fontId="15" fillId="2" borderId="12" xfId="1" applyNumberFormat="1" applyFont="1" applyFill="1" applyBorder="1" applyAlignment="1">
      <alignment wrapText="1"/>
    </xf>
    <xf numFmtId="49" fontId="17" fillId="2" borderId="12" xfId="1" applyNumberFormat="1" applyFont="1" applyFill="1" applyBorder="1" applyAlignment="1">
      <alignment wrapText="1"/>
    </xf>
    <xf numFmtId="49" fontId="15" fillId="2" borderId="12" xfId="1" applyNumberFormat="1" applyFont="1" applyFill="1" applyBorder="1" applyAlignment="1">
      <alignment vertical="center" wrapText="1"/>
    </xf>
    <xf numFmtId="49" fontId="17" fillId="2" borderId="12" xfId="1" applyNumberFormat="1" applyFont="1" applyFill="1" applyBorder="1" applyAlignment="1">
      <alignment vertical="center" wrapText="1"/>
    </xf>
    <xf numFmtId="0" fontId="6" fillId="3" borderId="18" xfId="0" applyFont="1" applyFill="1" applyBorder="1" applyAlignment="1">
      <alignment wrapText="1"/>
    </xf>
    <xf numFmtId="166" fontId="6" fillId="3" borderId="19" xfId="1" applyNumberFormat="1" applyFont="1" applyFill="1" applyBorder="1"/>
    <xf numFmtId="0" fontId="6" fillId="3" borderId="13" xfId="0" applyFont="1" applyFill="1" applyBorder="1" applyAlignment="1">
      <alignment wrapText="1"/>
    </xf>
    <xf numFmtId="10" fontId="6" fillId="3" borderId="15" xfId="1" applyNumberFormat="1" applyFont="1" applyFill="1" applyBorder="1"/>
    <xf numFmtId="0" fontId="6" fillId="3" borderId="18" xfId="0" applyFont="1" applyFill="1" applyBorder="1"/>
    <xf numFmtId="0" fontId="6" fillId="3" borderId="12" xfId="0" applyFont="1" applyFill="1" applyBorder="1"/>
    <xf numFmtId="1" fontId="18" fillId="4" borderId="1" xfId="5" applyNumberFormat="1" applyFont="1" applyFill="1" applyBorder="1" applyAlignment="1">
      <alignment horizontal="center" vertical="top"/>
    </xf>
    <xf numFmtId="0" fontId="18" fillId="4" borderId="1" xfId="12" applyFont="1" applyFill="1" applyBorder="1" applyAlignment="1">
      <alignment horizontal="center" vertical="top"/>
    </xf>
    <xf numFmtId="1" fontId="18" fillId="4" borderId="11" xfId="5" applyNumberFormat="1" applyFont="1" applyFill="1" applyBorder="1" applyAlignment="1">
      <alignment horizontal="center" vertical="top"/>
    </xf>
    <xf numFmtId="0" fontId="6" fillId="4" borderId="12" xfId="0" applyFont="1" applyFill="1" applyBorder="1"/>
    <xf numFmtId="0" fontId="6" fillId="4" borderId="18" xfId="0" applyFont="1" applyFill="1" applyBorder="1" applyAlignment="1">
      <alignment wrapText="1"/>
    </xf>
    <xf numFmtId="0" fontId="6" fillId="4" borderId="13" xfId="0" applyFont="1" applyFill="1" applyBorder="1" applyAlignment="1">
      <alignment wrapText="1"/>
    </xf>
    <xf numFmtId="10" fontId="6" fillId="4" borderId="15" xfId="1" applyNumberFormat="1" applyFont="1" applyFill="1" applyBorder="1"/>
    <xf numFmtId="0" fontId="11" fillId="2" borderId="0" xfId="6" applyFont="1" applyFill="1" applyBorder="1"/>
    <xf numFmtId="0" fontId="6" fillId="2" borderId="0" xfId="6" applyFont="1" applyFill="1" applyBorder="1"/>
    <xf numFmtId="0" fontId="16" fillId="2" borderId="1" xfId="6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horizontal="center"/>
    </xf>
    <xf numFmtId="0" fontId="6" fillId="2" borderId="1" xfId="6" applyFont="1" applyFill="1" applyBorder="1"/>
    <xf numFmtId="0" fontId="6" fillId="2" borderId="1" xfId="6" applyFont="1" applyFill="1" applyBorder="1" applyAlignment="1">
      <alignment horizontal="center" vertical="center"/>
    </xf>
    <xf numFmtId="168" fontId="7" fillId="2" borderId="1" xfId="7" applyNumberFormat="1" applyFont="1" applyFill="1" applyBorder="1"/>
    <xf numFmtId="0" fontId="16" fillId="2" borderId="1" xfId="6" applyFont="1" applyFill="1" applyBorder="1" applyAlignment="1">
      <alignment horizontal="left"/>
    </xf>
    <xf numFmtId="0" fontId="16" fillId="2" borderId="1" xfId="6" applyFont="1" applyFill="1" applyBorder="1"/>
    <xf numFmtId="168" fontId="6" fillId="2" borderId="1" xfId="6" applyNumberFormat="1" applyFont="1" applyFill="1" applyBorder="1"/>
    <xf numFmtId="0" fontId="16" fillId="2" borderId="0" xfId="6" applyFont="1" applyFill="1" applyBorder="1"/>
    <xf numFmtId="0" fontId="6" fillId="2" borderId="0" xfId="6" applyFont="1" applyFill="1" applyBorder="1" applyAlignment="1">
      <alignment horizontal="center" vertical="center"/>
    </xf>
    <xf numFmtId="168" fontId="6" fillId="2" borderId="0" xfId="6" applyNumberFormat="1" applyFont="1" applyFill="1" applyBorder="1"/>
    <xf numFmtId="0" fontId="5" fillId="2" borderId="0" xfId="6" applyFont="1" applyFill="1" applyBorder="1"/>
    <xf numFmtId="0" fontId="16" fillId="2" borderId="1" xfId="6" applyFont="1" applyFill="1" applyBorder="1" applyAlignment="1">
      <alignment horizontal="center" vertical="center" wrapText="1"/>
    </xf>
    <xf numFmtId="0" fontId="16" fillId="2" borderId="0" xfId="6" applyFont="1" applyFill="1" applyBorder="1" applyAlignment="1">
      <alignment horizontal="left" vertical="center"/>
    </xf>
    <xf numFmtId="2" fontId="6" fillId="2" borderId="1" xfId="6" applyNumberFormat="1" applyFont="1" applyFill="1" applyBorder="1"/>
    <xf numFmtId="0" fontId="6" fillId="2" borderId="0" xfId="6" applyFont="1" applyFill="1" applyBorder="1" applyAlignment="1">
      <alignment horizontal="left"/>
    </xf>
    <xf numFmtId="0" fontId="5" fillId="2" borderId="1" xfId="6" applyFont="1" applyFill="1" applyBorder="1"/>
    <xf numFmtId="168" fontId="5" fillId="2" borderId="1" xfId="6" applyNumberFormat="1" applyFont="1" applyFill="1" applyBorder="1"/>
    <xf numFmtId="2" fontId="5" fillId="2" borderId="1" xfId="6" applyNumberFormat="1" applyFont="1" applyFill="1" applyBorder="1"/>
    <xf numFmtId="43" fontId="7" fillId="2" borderId="1" xfId="7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19" fillId="2" borderId="0" xfId="8" applyFont="1" applyFill="1" applyBorder="1" applyAlignment="1">
      <alignment horizontal="left"/>
    </xf>
    <xf numFmtId="43" fontId="6" fillId="2" borderId="0" xfId="6" applyNumberFormat="1" applyFont="1" applyFill="1" applyBorder="1"/>
    <xf numFmtId="0" fontId="5" fillId="2" borderId="1" xfId="6" applyFont="1" applyFill="1" applyBorder="1" applyAlignment="1"/>
    <xf numFmtId="43" fontId="5" fillId="2" borderId="1" xfId="6" applyNumberFormat="1" applyFont="1" applyFill="1" applyBorder="1" applyAlignment="1">
      <alignment horizontal="right"/>
    </xf>
    <xf numFmtId="0" fontId="5" fillId="2" borderId="1" xfId="6" applyFont="1" applyFill="1" applyBorder="1" applyAlignment="1">
      <alignment horizontal="right"/>
    </xf>
    <xf numFmtId="0" fontId="5" fillId="2" borderId="0" xfId="6" applyFont="1" applyFill="1" applyBorder="1" applyAlignment="1">
      <alignment horizontal="center"/>
    </xf>
    <xf numFmtId="43" fontId="5" fillId="2" borderId="0" xfId="6" applyNumberFormat="1" applyFont="1" applyFill="1" applyBorder="1"/>
    <xf numFmtId="0" fontId="5" fillId="2" borderId="0" xfId="6" applyFont="1" applyFill="1" applyBorder="1" applyAlignment="1">
      <alignment horizontal="right"/>
    </xf>
    <xf numFmtId="0" fontId="11" fillId="2" borderId="16" xfId="6" applyFont="1" applyFill="1" applyBorder="1" applyAlignment="1">
      <alignment horizontal="center" vertical="center"/>
    </xf>
    <xf numFmtId="0" fontId="11" fillId="2" borderId="20" xfId="6" applyFont="1" applyFill="1" applyBorder="1" applyAlignment="1">
      <alignment horizontal="center" vertical="center"/>
    </xf>
    <xf numFmtId="0" fontId="11" fillId="2" borderId="17" xfId="6" applyFont="1" applyFill="1" applyBorder="1" applyAlignment="1">
      <alignment horizontal="center" vertical="center"/>
    </xf>
    <xf numFmtId="0" fontId="11" fillId="2" borderId="12" xfId="6" applyFont="1" applyFill="1" applyBorder="1" applyAlignment="1">
      <alignment horizontal="center" vertical="center"/>
    </xf>
    <xf numFmtId="43" fontId="7" fillId="2" borderId="1" xfId="7" applyFont="1" applyFill="1" applyBorder="1" applyAlignment="1">
      <alignment horizontal="center" vertical="center"/>
    </xf>
    <xf numFmtId="43" fontId="7" fillId="2" borderId="1" xfId="7" applyFont="1" applyFill="1" applyBorder="1" applyAlignment="1">
      <alignment horizontal="center" vertical="center" wrapText="1"/>
    </xf>
    <xf numFmtId="43" fontId="7" fillId="2" borderId="11" xfId="7" applyFont="1" applyFill="1" applyBorder="1" applyAlignment="1">
      <alignment horizontal="center" vertical="center" wrapText="1"/>
    </xf>
    <xf numFmtId="0" fontId="11" fillId="2" borderId="13" xfId="6" applyFont="1" applyFill="1" applyBorder="1" applyAlignment="1">
      <alignment horizontal="center" vertical="center"/>
    </xf>
    <xf numFmtId="43" fontId="7" fillId="2" borderId="14" xfId="7" applyFont="1" applyFill="1" applyBorder="1" applyAlignment="1">
      <alignment horizontal="center" vertical="center"/>
    </xf>
    <xf numFmtId="1" fontId="6" fillId="2" borderId="0" xfId="6" applyNumberFormat="1" applyFont="1" applyFill="1" applyBorder="1"/>
    <xf numFmtId="1" fontId="6" fillId="2" borderId="0" xfId="6" applyNumberFormat="1" applyFont="1" applyFill="1" applyBorder="1" applyAlignment="1">
      <alignment horizontal="center" vertical="center" wrapText="1"/>
    </xf>
    <xf numFmtId="0" fontId="6" fillId="2" borderId="0" xfId="6" applyFont="1" applyFill="1"/>
    <xf numFmtId="0" fontId="11" fillId="2" borderId="16" xfId="6" applyFont="1" applyFill="1" applyBorder="1" applyAlignment="1">
      <alignment horizontal="center"/>
    </xf>
    <xf numFmtId="0" fontId="11" fillId="2" borderId="20" xfId="6" applyFont="1" applyFill="1" applyBorder="1" applyAlignment="1">
      <alignment horizontal="center"/>
    </xf>
    <xf numFmtId="0" fontId="11" fillId="2" borderId="17" xfId="6" applyFont="1" applyFill="1" applyBorder="1" applyAlignment="1">
      <alignment horizontal="center"/>
    </xf>
    <xf numFmtId="0" fontId="6" fillId="2" borderId="12" xfId="6" applyFont="1" applyFill="1" applyBorder="1" applyAlignment="1">
      <alignment horizontal="left"/>
    </xf>
    <xf numFmtId="0" fontId="6" fillId="2" borderId="13" xfId="6" applyFont="1" applyFill="1" applyBorder="1" applyAlignment="1">
      <alignment horizontal="left"/>
    </xf>
    <xf numFmtId="43" fontId="7" fillId="2" borderId="14" xfId="7" applyFont="1" applyFill="1" applyBorder="1" applyAlignment="1">
      <alignment horizontal="right"/>
    </xf>
    <xf numFmtId="165" fontId="6" fillId="2" borderId="1" xfId="2" applyNumberFormat="1" applyFont="1" applyFill="1" applyBorder="1"/>
    <xf numFmtId="165" fontId="6" fillId="2" borderId="11" xfId="2" applyNumberFormat="1" applyFont="1" applyFill="1" applyBorder="1"/>
    <xf numFmtId="165" fontId="7" fillId="2" borderId="1" xfId="3" applyNumberFormat="1" applyFont="1" applyFill="1" applyBorder="1" applyAlignment="1" applyProtection="1">
      <alignment vertical="center"/>
    </xf>
    <xf numFmtId="165" fontId="7" fillId="2" borderId="11" xfId="3" applyNumberFormat="1" applyFont="1" applyFill="1" applyBorder="1" applyAlignment="1" applyProtection="1">
      <alignment vertical="center"/>
    </xf>
    <xf numFmtId="165" fontId="6" fillId="3" borderId="2" xfId="1" applyNumberFormat="1" applyFont="1" applyFill="1" applyBorder="1"/>
    <xf numFmtId="165" fontId="6" fillId="2" borderId="2" xfId="1" applyNumberFormat="1" applyFont="1" applyFill="1" applyBorder="1"/>
    <xf numFmtId="165" fontId="6" fillId="2" borderId="19" xfId="1" applyNumberFormat="1" applyFont="1" applyFill="1" applyBorder="1"/>
    <xf numFmtId="165" fontId="6" fillId="2" borderId="1" xfId="3" applyNumberFormat="1" applyFont="1" applyFill="1" applyBorder="1"/>
    <xf numFmtId="165" fontId="6" fillId="3" borderId="1" xfId="1" applyNumberFormat="1" applyFont="1" applyFill="1" applyBorder="1"/>
    <xf numFmtId="165" fontId="6" fillId="2" borderId="11" xfId="3" applyNumberFormat="1" applyFont="1" applyFill="1" applyBorder="1"/>
    <xf numFmtId="165" fontId="6" fillId="2" borderId="14" xfId="3" applyNumberFormat="1" applyFont="1" applyFill="1" applyBorder="1"/>
    <xf numFmtId="165" fontId="6" fillId="2" borderId="15" xfId="3" applyNumberFormat="1" applyFont="1" applyFill="1" applyBorder="1"/>
    <xf numFmtId="165" fontId="6" fillId="4" borderId="1" xfId="1" applyNumberFormat="1" applyFont="1" applyFill="1" applyBorder="1"/>
    <xf numFmtId="43" fontId="6" fillId="4" borderId="19" xfId="1" applyNumberFormat="1" applyFont="1" applyFill="1" applyBorder="1"/>
    <xf numFmtId="43" fontId="6" fillId="2" borderId="1" xfId="6" applyNumberFormat="1" applyFont="1" applyFill="1" applyBorder="1" applyAlignment="1">
      <alignment horizontal="right"/>
    </xf>
    <xf numFmtId="43" fontId="6" fillId="2" borderId="14" xfId="6" applyNumberFormat="1" applyFont="1" applyFill="1" applyBorder="1" applyAlignment="1">
      <alignment horizontal="right"/>
    </xf>
    <xf numFmtId="10" fontId="6" fillId="2" borderId="11" xfId="6" applyNumberFormat="1" applyFont="1" applyFill="1" applyBorder="1" applyAlignment="1">
      <alignment horizontal="right"/>
    </xf>
    <xf numFmtId="10" fontId="6" fillId="2" borderId="15" xfId="6" applyNumberFormat="1" applyFont="1" applyFill="1" applyBorder="1" applyAlignment="1">
      <alignment horizontal="right"/>
    </xf>
    <xf numFmtId="4" fontId="6" fillId="0" borderId="0" xfId="0" applyNumberFormat="1" applyFont="1"/>
    <xf numFmtId="0" fontId="5" fillId="3" borderId="6" xfId="12" applyFont="1" applyFill="1" applyBorder="1" applyAlignment="1">
      <alignment horizontal="center" vertical="center"/>
    </xf>
    <xf numFmtId="0" fontId="5" fillId="3" borderId="7" xfId="12" applyFont="1" applyFill="1" applyBorder="1" applyAlignment="1">
      <alignment horizontal="center" vertical="center"/>
    </xf>
    <xf numFmtId="0" fontId="5" fillId="3" borderId="8" xfId="12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5" fillId="4" borderId="6" xfId="12" applyFont="1" applyFill="1" applyBorder="1" applyAlignment="1">
      <alignment horizontal="center" vertical="top"/>
    </xf>
    <xf numFmtId="0" fontId="5" fillId="4" borderId="7" xfId="12" applyFont="1" applyFill="1" applyBorder="1" applyAlignment="1">
      <alignment horizontal="center" vertical="top"/>
    </xf>
    <xf numFmtId="0" fontId="5" fillId="4" borderId="8" xfId="12" applyFont="1" applyFill="1" applyBorder="1" applyAlignment="1">
      <alignment horizontal="center" vertical="top"/>
    </xf>
  </cellXfs>
  <cellStyles count="13">
    <cellStyle name="Comma" xfId="3" builtinId="3"/>
    <cellStyle name="Comma [0]" xfId="9" builtinId="6"/>
    <cellStyle name="Comma [0] 5" xfId="2"/>
    <cellStyle name="Comma 2" xfId="7"/>
    <cellStyle name="Heading 1" xfId="10" builtinId="16"/>
    <cellStyle name="Heading 2" xfId="11" builtinId="17"/>
    <cellStyle name="Hyperlink" xfId="8" builtinId="8"/>
    <cellStyle name="Normal" xfId="0" builtinId="0"/>
    <cellStyle name="Normal 2" xfId="4"/>
    <cellStyle name="Normal 2 2" xfId="6"/>
    <cellStyle name="Normal 4" xfId="12"/>
    <cellStyle name="Normal 7" xfId="1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shflo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f 1"/>
      <sheetName val="Alternatif 2"/>
      <sheetName val="Penghematan Listrik"/>
      <sheetName val="Penjualan Karbon"/>
      <sheetName val="Kesimpulan"/>
    </sheetNames>
    <sheetDataSet>
      <sheetData sheetId="0">
        <row r="2">
          <cell r="C2" t="str">
            <v>Alternatif 1 (CER = €0.17)</v>
          </cell>
        </row>
      </sheetData>
      <sheetData sheetId="1">
        <row r="2">
          <cell r="C2" t="str">
            <v>Alternatif 2 (CER = €0.43)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eb.pln.co.id/media/siaran-pers/2021/01/tarif-listrik-triwulan-1-2021-tidak-nai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U62"/>
  <sheetViews>
    <sheetView zoomScale="70" zoomScaleNormal="70" workbookViewId="0">
      <selection activeCell="D15" sqref="D15"/>
    </sheetView>
  </sheetViews>
  <sheetFormatPr defaultRowHeight="15.75" x14ac:dyDescent="0.25"/>
  <cols>
    <col min="1" max="1" width="5.140625" style="1" customWidth="1"/>
    <col min="2" max="2" width="71" style="2" customWidth="1"/>
    <col min="3" max="16" width="22.7109375" style="1" customWidth="1"/>
    <col min="17" max="21" width="18" style="1" bestFit="1" customWidth="1"/>
    <col min="22" max="16384" width="9.140625" style="1"/>
  </cols>
  <sheetData>
    <row r="1" spans="1:21" ht="18.75" x14ac:dyDescent="0.25">
      <c r="B1" s="7" t="s">
        <v>71</v>
      </c>
      <c r="C1" s="7" t="s">
        <v>72</v>
      </c>
    </row>
    <row r="2" spans="1:21" ht="18" customHeight="1" x14ac:dyDescent="0.25">
      <c r="B2" s="8" t="s">
        <v>73</v>
      </c>
      <c r="C2" s="8" t="s">
        <v>74</v>
      </c>
    </row>
    <row r="3" spans="1:21" x14ac:dyDescent="0.25">
      <c r="B3" s="9" t="s">
        <v>75</v>
      </c>
      <c r="C3" s="3">
        <v>7.4999999999999997E-2</v>
      </c>
    </row>
    <row r="4" spans="1:21" ht="16.5" thickBot="1" x14ac:dyDescent="0.3">
      <c r="B4" s="9"/>
      <c r="C4" s="3"/>
    </row>
    <row r="5" spans="1:21" x14ac:dyDescent="0.25">
      <c r="B5" s="10" t="s">
        <v>13</v>
      </c>
      <c r="C5" s="120" t="s">
        <v>66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2"/>
    </row>
    <row r="6" spans="1:21" x14ac:dyDescent="0.25">
      <c r="A6" s="123"/>
      <c r="B6" s="11"/>
      <c r="C6" s="12">
        <v>2017</v>
      </c>
      <c r="D6" s="13">
        <v>2018</v>
      </c>
      <c r="E6" s="12">
        <v>2019</v>
      </c>
      <c r="F6" s="13">
        <v>2020</v>
      </c>
      <c r="G6" s="12">
        <v>2021</v>
      </c>
      <c r="H6" s="13">
        <v>2022</v>
      </c>
      <c r="I6" s="12">
        <v>2023</v>
      </c>
      <c r="J6" s="13">
        <v>2024</v>
      </c>
      <c r="K6" s="12">
        <v>2025</v>
      </c>
      <c r="L6" s="13">
        <v>2026</v>
      </c>
      <c r="M6" s="12">
        <v>2027</v>
      </c>
      <c r="N6" s="13">
        <v>2028</v>
      </c>
      <c r="O6" s="12">
        <v>2029</v>
      </c>
      <c r="P6" s="20">
        <v>2030</v>
      </c>
    </row>
    <row r="7" spans="1:21" x14ac:dyDescent="0.25">
      <c r="A7" s="123"/>
      <c r="B7" s="14"/>
      <c r="C7" s="15">
        <v>0</v>
      </c>
      <c r="D7" s="15">
        <v>1</v>
      </c>
      <c r="E7" s="16">
        <v>2</v>
      </c>
      <c r="F7" s="16">
        <v>3</v>
      </c>
      <c r="G7" s="16">
        <v>4</v>
      </c>
      <c r="H7" s="15">
        <v>5</v>
      </c>
      <c r="I7" s="16">
        <v>6</v>
      </c>
      <c r="J7" s="15">
        <v>7</v>
      </c>
      <c r="K7" s="16">
        <v>8</v>
      </c>
      <c r="L7" s="15">
        <v>9</v>
      </c>
      <c r="M7" s="16">
        <v>10</v>
      </c>
      <c r="N7" s="15">
        <v>11</v>
      </c>
      <c r="O7" s="16">
        <v>12</v>
      </c>
      <c r="P7" s="21">
        <v>13</v>
      </c>
    </row>
    <row r="8" spans="1:21" x14ac:dyDescent="0.25">
      <c r="A8" s="17"/>
      <c r="B8" s="36" t="s">
        <v>14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2"/>
    </row>
    <row r="9" spans="1:21" s="5" customFormat="1" x14ac:dyDescent="0.25">
      <c r="A9" s="18"/>
      <c r="B9" s="23" t="s">
        <v>11</v>
      </c>
      <c r="C9" s="101">
        <v>0</v>
      </c>
      <c r="D9" s="101">
        <f>'Penghematan Listrik'!C22</f>
        <v>13974982599.599998</v>
      </c>
      <c r="E9" s="101">
        <f t="shared" ref="E9:L9" si="0">D9</f>
        <v>13974982599.599998</v>
      </c>
      <c r="F9" s="101">
        <f t="shared" si="0"/>
        <v>13974982599.599998</v>
      </c>
      <c r="G9" s="101">
        <f t="shared" si="0"/>
        <v>13974982599.599998</v>
      </c>
      <c r="H9" s="101">
        <f t="shared" si="0"/>
        <v>13974982599.599998</v>
      </c>
      <c r="I9" s="101">
        <f t="shared" si="0"/>
        <v>13974982599.599998</v>
      </c>
      <c r="J9" s="101">
        <f t="shared" si="0"/>
        <v>13974982599.599998</v>
      </c>
      <c r="K9" s="101">
        <f t="shared" si="0"/>
        <v>13974982599.599998</v>
      </c>
      <c r="L9" s="101">
        <f t="shared" si="0"/>
        <v>13974982599.599998</v>
      </c>
      <c r="M9" s="101">
        <f t="shared" ref="M9" si="1">L9</f>
        <v>13974982599.599998</v>
      </c>
      <c r="N9" s="101">
        <f t="shared" ref="N9" si="2">M9</f>
        <v>13974982599.599998</v>
      </c>
      <c r="O9" s="101">
        <f t="shared" ref="O9" si="3">N9</f>
        <v>13974982599.599998</v>
      </c>
      <c r="P9" s="102">
        <f t="shared" ref="P9" si="4">O9</f>
        <v>13974982599.599998</v>
      </c>
      <c r="Q9" s="1"/>
      <c r="R9" s="1"/>
      <c r="S9" s="1"/>
      <c r="T9" s="1"/>
      <c r="U9" s="1"/>
    </row>
    <row r="10" spans="1:21" s="5" customFormat="1" x14ac:dyDescent="0.25">
      <c r="A10" s="18"/>
      <c r="B10" s="23" t="s">
        <v>0</v>
      </c>
      <c r="C10" s="101">
        <v>0</v>
      </c>
      <c r="D10" s="101">
        <f>'Penjualan Karbon'!B5</f>
        <v>94030852.673874438</v>
      </c>
      <c r="E10" s="101">
        <f>'Penjualan Karbon'!C5</f>
        <v>89540147.32039541</v>
      </c>
      <c r="F10" s="101">
        <f>'Penjualan Karbon'!D5</f>
        <v>86097391.289741442</v>
      </c>
      <c r="G10" s="101">
        <f>'Penjualan Karbon'!E5</f>
        <v>86335517.807834044</v>
      </c>
      <c r="H10" s="101">
        <f>'Penjualan Karbon'!F5</f>
        <v>86575579.728734165</v>
      </c>
      <c r="I10" s="101">
        <f>'Penjualan Karbon'!G5</f>
        <v>86817615.708684191</v>
      </c>
      <c r="J10" s="101">
        <f>'Penjualan Karbon'!H5</f>
        <v>87061641.980617449</v>
      </c>
      <c r="K10" s="101">
        <f>'Penjualan Karbon'!I5</f>
        <v>87307674.910952479</v>
      </c>
      <c r="L10" s="101">
        <f>'Penjualan Karbon'!J5</f>
        <v>87555731.000691116</v>
      </c>
      <c r="M10" s="101">
        <f>'Penjualan Karbon'!K5</f>
        <v>87805826.886524826</v>
      </c>
      <c r="N10" s="101">
        <f>'Penjualan Karbon'!L5</f>
        <v>88057979.341950849</v>
      </c>
      <c r="O10" s="101">
        <f>'Penjualan Karbon'!M5</f>
        <v>88312205.278396785</v>
      </c>
      <c r="P10" s="101">
        <f>'Penjualan Karbon'!N5</f>
        <v>88568521.746355116</v>
      </c>
      <c r="Q10" s="1"/>
      <c r="R10" s="1"/>
      <c r="S10" s="1"/>
      <c r="T10" s="1"/>
      <c r="U10" s="1"/>
    </row>
    <row r="11" spans="1:21" s="5" customFormat="1" x14ac:dyDescent="0.25">
      <c r="A11" s="18"/>
      <c r="B11" s="36" t="s">
        <v>16</v>
      </c>
      <c r="C11" s="101">
        <f>SUM(C9:C10)</f>
        <v>0</v>
      </c>
      <c r="D11" s="101">
        <f t="shared" ref="D11:L11" si="5">SUM(D9:D10)</f>
        <v>14069013452.273872</v>
      </c>
      <c r="E11" s="101">
        <f t="shared" si="5"/>
        <v>14064522746.920393</v>
      </c>
      <c r="F11" s="101">
        <f t="shared" si="5"/>
        <v>14061079990.88974</v>
      </c>
      <c r="G11" s="101">
        <f t="shared" si="5"/>
        <v>14061318117.407833</v>
      </c>
      <c r="H11" s="101">
        <f t="shared" si="5"/>
        <v>14061558179.328733</v>
      </c>
      <c r="I11" s="101">
        <f t="shared" si="5"/>
        <v>14061800215.308683</v>
      </c>
      <c r="J11" s="101">
        <f t="shared" si="5"/>
        <v>14062044241.580616</v>
      </c>
      <c r="K11" s="101">
        <f t="shared" si="5"/>
        <v>14062290274.51095</v>
      </c>
      <c r="L11" s="101">
        <f t="shared" si="5"/>
        <v>14062538330.600689</v>
      </c>
      <c r="M11" s="101">
        <f t="shared" ref="M11:P11" si="6">SUM(M9:M10)</f>
        <v>14062788426.486523</v>
      </c>
      <c r="N11" s="101">
        <f t="shared" si="6"/>
        <v>14063040578.94195</v>
      </c>
      <c r="O11" s="101">
        <f t="shared" si="6"/>
        <v>14063294804.878395</v>
      </c>
      <c r="P11" s="102">
        <f t="shared" si="6"/>
        <v>14063551121.346354</v>
      </c>
      <c r="Q11" s="1"/>
      <c r="R11" s="1"/>
      <c r="S11" s="1"/>
      <c r="T11" s="1"/>
      <c r="U11" s="1"/>
    </row>
    <row r="12" spans="1:21" s="5" customFormat="1" x14ac:dyDescent="0.25">
      <c r="A12" s="17"/>
      <c r="B12" s="36" t="s">
        <v>15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2"/>
      <c r="Q12" s="1"/>
      <c r="R12" s="1"/>
      <c r="S12" s="1"/>
      <c r="T12" s="1"/>
      <c r="U12" s="1"/>
    </row>
    <row r="13" spans="1:21" s="5" customFormat="1" x14ac:dyDescent="0.25">
      <c r="A13" s="19"/>
      <c r="B13" s="36" t="s">
        <v>1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2"/>
      <c r="Q13" s="1"/>
      <c r="R13" s="1"/>
      <c r="S13" s="1"/>
      <c r="T13" s="1"/>
      <c r="U13" s="1"/>
    </row>
    <row r="14" spans="1:21" s="5" customFormat="1" x14ac:dyDescent="0.25">
      <c r="A14" s="18"/>
      <c r="B14" s="24"/>
      <c r="C14" s="101">
        <v>80000000000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/>
      <c r="Q14" s="1"/>
      <c r="R14" s="1"/>
      <c r="S14" s="1"/>
      <c r="T14" s="1"/>
      <c r="U14" s="1"/>
    </row>
    <row r="15" spans="1:21" s="5" customFormat="1" x14ac:dyDescent="0.25">
      <c r="A15" s="18"/>
      <c r="B15" s="38" t="s">
        <v>2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/>
      <c r="Q15" s="1"/>
      <c r="R15" s="1"/>
      <c r="S15" s="1"/>
      <c r="T15" s="1"/>
      <c r="U15" s="1"/>
    </row>
    <row r="16" spans="1:21" s="5" customFormat="1" x14ac:dyDescent="0.25">
      <c r="A16" s="18"/>
      <c r="B16" s="25" t="s">
        <v>3</v>
      </c>
      <c r="C16" s="101">
        <v>0</v>
      </c>
      <c r="D16" s="103">
        <v>476336537.2599678</v>
      </c>
      <c r="E16" s="103">
        <f>D16</f>
        <v>476336537.2599678</v>
      </c>
      <c r="F16" s="103">
        <f t="shared" ref="F16:L16" si="7">E16</f>
        <v>476336537.2599678</v>
      </c>
      <c r="G16" s="103">
        <f t="shared" si="7"/>
        <v>476336537.2599678</v>
      </c>
      <c r="H16" s="103">
        <f t="shared" si="7"/>
        <v>476336537.2599678</v>
      </c>
      <c r="I16" s="103">
        <f t="shared" si="7"/>
        <v>476336537.2599678</v>
      </c>
      <c r="J16" s="103">
        <f t="shared" si="7"/>
        <v>476336537.2599678</v>
      </c>
      <c r="K16" s="103">
        <f t="shared" si="7"/>
        <v>476336537.2599678</v>
      </c>
      <c r="L16" s="103">
        <f t="shared" si="7"/>
        <v>476336537.2599678</v>
      </c>
      <c r="M16" s="103">
        <f t="shared" ref="M16:M19" si="8">L16</f>
        <v>476336537.2599678</v>
      </c>
      <c r="N16" s="103">
        <f t="shared" ref="N16:N19" si="9">M16</f>
        <v>476336537.2599678</v>
      </c>
      <c r="O16" s="103">
        <f t="shared" ref="O16:O19" si="10">N16</f>
        <v>476336537.2599678</v>
      </c>
      <c r="P16" s="104">
        <f t="shared" ref="P16:P19" si="11">O16</f>
        <v>476336537.2599678</v>
      </c>
      <c r="Q16" s="1"/>
      <c r="R16" s="1"/>
      <c r="S16" s="1"/>
      <c r="T16" s="1"/>
      <c r="U16" s="1"/>
    </row>
    <row r="17" spans="1:21" s="5" customFormat="1" x14ac:dyDescent="0.25">
      <c r="A17" s="18"/>
      <c r="B17" s="25" t="s">
        <v>4</v>
      </c>
      <c r="C17" s="101">
        <v>0</v>
      </c>
      <c r="D17" s="103">
        <v>524055976.20000011</v>
      </c>
      <c r="E17" s="103">
        <f t="shared" ref="E17:L19" si="12">D17</f>
        <v>524055976.20000011</v>
      </c>
      <c r="F17" s="103">
        <f t="shared" si="12"/>
        <v>524055976.20000011</v>
      </c>
      <c r="G17" s="103">
        <f t="shared" si="12"/>
        <v>524055976.20000011</v>
      </c>
      <c r="H17" s="103">
        <f t="shared" si="12"/>
        <v>524055976.20000011</v>
      </c>
      <c r="I17" s="103">
        <f t="shared" si="12"/>
        <v>524055976.20000011</v>
      </c>
      <c r="J17" s="103">
        <f t="shared" si="12"/>
        <v>524055976.20000011</v>
      </c>
      <c r="K17" s="103">
        <f t="shared" si="12"/>
        <v>524055976.20000011</v>
      </c>
      <c r="L17" s="103">
        <f t="shared" si="12"/>
        <v>524055976.20000011</v>
      </c>
      <c r="M17" s="103">
        <f t="shared" si="8"/>
        <v>524055976.20000011</v>
      </c>
      <c r="N17" s="103">
        <f t="shared" si="9"/>
        <v>524055976.20000011</v>
      </c>
      <c r="O17" s="103">
        <f t="shared" si="10"/>
        <v>524055976.20000011</v>
      </c>
      <c r="P17" s="104">
        <f t="shared" si="11"/>
        <v>524055976.20000011</v>
      </c>
      <c r="Q17" s="1"/>
      <c r="R17" s="1"/>
      <c r="S17" s="1"/>
      <c r="T17" s="1"/>
      <c r="U17" s="1"/>
    </row>
    <row r="18" spans="1:21" s="5" customFormat="1" x14ac:dyDescent="0.25">
      <c r="A18" s="18"/>
      <c r="B18" s="25" t="s">
        <v>5</v>
      </c>
      <c r="C18" s="101">
        <v>0</v>
      </c>
      <c r="D18" s="103">
        <v>411745020.75</v>
      </c>
      <c r="E18" s="103">
        <f t="shared" si="12"/>
        <v>411745020.75</v>
      </c>
      <c r="F18" s="103">
        <f t="shared" si="12"/>
        <v>411745020.75</v>
      </c>
      <c r="G18" s="103">
        <f t="shared" si="12"/>
        <v>411745020.75</v>
      </c>
      <c r="H18" s="103">
        <f t="shared" si="12"/>
        <v>411745020.75</v>
      </c>
      <c r="I18" s="103">
        <f t="shared" si="12"/>
        <v>411745020.75</v>
      </c>
      <c r="J18" s="103">
        <f t="shared" si="12"/>
        <v>411745020.75</v>
      </c>
      <c r="K18" s="103">
        <f t="shared" si="12"/>
        <v>411745020.75</v>
      </c>
      <c r="L18" s="103">
        <f t="shared" si="12"/>
        <v>411745020.75</v>
      </c>
      <c r="M18" s="103">
        <f t="shared" si="8"/>
        <v>411745020.75</v>
      </c>
      <c r="N18" s="103">
        <f t="shared" si="9"/>
        <v>411745020.75</v>
      </c>
      <c r="O18" s="103">
        <f t="shared" si="10"/>
        <v>411745020.75</v>
      </c>
      <c r="P18" s="104">
        <f t="shared" si="11"/>
        <v>411745020.75</v>
      </c>
      <c r="Q18" s="1"/>
      <c r="R18" s="1"/>
      <c r="S18" s="1"/>
      <c r="T18" s="1"/>
      <c r="U18" s="1"/>
    </row>
    <row r="19" spans="1:21" s="5" customFormat="1" x14ac:dyDescent="0.25">
      <c r="A19" s="18"/>
      <c r="B19" s="25" t="s">
        <v>6</v>
      </c>
      <c r="C19" s="101">
        <v>0</v>
      </c>
      <c r="D19" s="103">
        <v>522543748.8583017</v>
      </c>
      <c r="E19" s="103">
        <f t="shared" si="12"/>
        <v>522543748.8583017</v>
      </c>
      <c r="F19" s="103">
        <f t="shared" si="12"/>
        <v>522543748.8583017</v>
      </c>
      <c r="G19" s="103">
        <f t="shared" si="12"/>
        <v>522543748.8583017</v>
      </c>
      <c r="H19" s="103">
        <f t="shared" si="12"/>
        <v>522543748.8583017</v>
      </c>
      <c r="I19" s="103">
        <f t="shared" si="12"/>
        <v>522543748.8583017</v>
      </c>
      <c r="J19" s="103">
        <f t="shared" si="12"/>
        <v>522543748.8583017</v>
      </c>
      <c r="K19" s="103">
        <f t="shared" si="12"/>
        <v>522543748.8583017</v>
      </c>
      <c r="L19" s="103">
        <f t="shared" si="12"/>
        <v>522543748.8583017</v>
      </c>
      <c r="M19" s="103">
        <f t="shared" si="8"/>
        <v>522543748.8583017</v>
      </c>
      <c r="N19" s="103">
        <f t="shared" si="9"/>
        <v>522543748.8583017</v>
      </c>
      <c r="O19" s="103">
        <f t="shared" si="10"/>
        <v>522543748.8583017</v>
      </c>
      <c r="P19" s="104">
        <f t="shared" si="11"/>
        <v>522543748.8583017</v>
      </c>
      <c r="Q19" s="1"/>
      <c r="R19" s="1"/>
      <c r="S19" s="1"/>
      <c r="T19" s="1"/>
      <c r="U19" s="1"/>
    </row>
    <row r="20" spans="1:21" s="5" customFormat="1" x14ac:dyDescent="0.25">
      <c r="A20" s="18"/>
      <c r="B20" s="38" t="s">
        <v>17</v>
      </c>
      <c r="C20" s="101">
        <f t="shared" ref="C20:P20" si="13">C14+SUM(C16:C19)</f>
        <v>80000000000</v>
      </c>
      <c r="D20" s="101">
        <f t="shared" si="13"/>
        <v>1934681283.0682695</v>
      </c>
      <c r="E20" s="101">
        <f t="shared" si="13"/>
        <v>1934681283.0682695</v>
      </c>
      <c r="F20" s="101">
        <f t="shared" si="13"/>
        <v>1934681283.0682695</v>
      </c>
      <c r="G20" s="101">
        <f t="shared" si="13"/>
        <v>1934681283.0682695</v>
      </c>
      <c r="H20" s="101">
        <f t="shared" si="13"/>
        <v>1934681283.0682695</v>
      </c>
      <c r="I20" s="101">
        <f t="shared" si="13"/>
        <v>1934681283.0682695</v>
      </c>
      <c r="J20" s="101">
        <f t="shared" si="13"/>
        <v>1934681283.0682695</v>
      </c>
      <c r="K20" s="101">
        <f t="shared" si="13"/>
        <v>1934681283.0682695</v>
      </c>
      <c r="L20" s="101">
        <f t="shared" si="13"/>
        <v>1934681283.0682695</v>
      </c>
      <c r="M20" s="101">
        <f t="shared" si="13"/>
        <v>1934681283.0682695</v>
      </c>
      <c r="N20" s="101">
        <f t="shared" si="13"/>
        <v>1934681283.0682695</v>
      </c>
      <c r="O20" s="101">
        <f t="shared" si="13"/>
        <v>1934681283.0682695</v>
      </c>
      <c r="P20" s="102">
        <f t="shared" si="13"/>
        <v>1934681283.0682695</v>
      </c>
      <c r="Q20" s="1"/>
      <c r="R20" s="1"/>
      <c r="S20" s="1"/>
      <c r="T20" s="1"/>
      <c r="U20" s="1"/>
    </row>
    <row r="21" spans="1:21" s="5" customFormat="1" x14ac:dyDescent="0.25">
      <c r="A21" s="18"/>
      <c r="B21" s="23" t="s">
        <v>18</v>
      </c>
      <c r="C21" s="101">
        <f t="shared" ref="C21:P21" si="14">C11-C20</f>
        <v>-80000000000</v>
      </c>
      <c r="D21" s="101">
        <f t="shared" si="14"/>
        <v>12134332169.205603</v>
      </c>
      <c r="E21" s="101">
        <f t="shared" si="14"/>
        <v>12129841463.852123</v>
      </c>
      <c r="F21" s="101">
        <f t="shared" si="14"/>
        <v>12126398707.82147</v>
      </c>
      <c r="G21" s="101">
        <f t="shared" si="14"/>
        <v>12126636834.339563</v>
      </c>
      <c r="H21" s="101">
        <f t="shared" si="14"/>
        <v>12126876896.260464</v>
      </c>
      <c r="I21" s="101">
        <f t="shared" si="14"/>
        <v>12127118932.240414</v>
      </c>
      <c r="J21" s="101">
        <f t="shared" si="14"/>
        <v>12127362958.512346</v>
      </c>
      <c r="K21" s="101">
        <f t="shared" si="14"/>
        <v>12127608991.44268</v>
      </c>
      <c r="L21" s="101">
        <f t="shared" si="14"/>
        <v>12127857047.532419</v>
      </c>
      <c r="M21" s="101">
        <f t="shared" si="14"/>
        <v>12128107143.418253</v>
      </c>
      <c r="N21" s="101">
        <f t="shared" si="14"/>
        <v>12128359295.87368</v>
      </c>
      <c r="O21" s="101">
        <f t="shared" si="14"/>
        <v>12128613521.810125</v>
      </c>
      <c r="P21" s="102">
        <f t="shared" si="14"/>
        <v>12128869838.278084</v>
      </c>
      <c r="Q21" s="1"/>
      <c r="R21" s="1"/>
      <c r="S21" s="1"/>
      <c r="T21" s="1"/>
      <c r="U21" s="1"/>
    </row>
    <row r="22" spans="1:21" s="5" customFormat="1" x14ac:dyDescent="0.25">
      <c r="A22" s="18"/>
      <c r="B22" s="23" t="s">
        <v>24</v>
      </c>
      <c r="C22" s="101">
        <f>C21</f>
        <v>-80000000000</v>
      </c>
      <c r="D22" s="101">
        <f>C22+D21</f>
        <v>-67865667830.794395</v>
      </c>
      <c r="E22" s="101">
        <f>D22+E21</f>
        <v>-55735826366.942276</v>
      </c>
      <c r="F22" s="101">
        <f>E22+F21</f>
        <v>-43609427659.120804</v>
      </c>
      <c r="G22" s="101">
        <f t="shared" ref="G22:O22" si="15">F22+G21</f>
        <v>-31482790824.781242</v>
      </c>
      <c r="H22" s="101">
        <f t="shared" si="15"/>
        <v>-19355913928.520779</v>
      </c>
      <c r="I22" s="101">
        <f t="shared" si="15"/>
        <v>-7228794996.280365</v>
      </c>
      <c r="J22" s="101">
        <f t="shared" si="15"/>
        <v>4898567962.2319813</v>
      </c>
      <c r="K22" s="101">
        <f t="shared" si="15"/>
        <v>17026176953.674662</v>
      </c>
      <c r="L22" s="101">
        <f t="shared" si="15"/>
        <v>29154034001.207081</v>
      </c>
      <c r="M22" s="101">
        <f t="shared" si="15"/>
        <v>41282141144.625336</v>
      </c>
      <c r="N22" s="101">
        <f t="shared" si="15"/>
        <v>53410500440.499016</v>
      </c>
      <c r="O22" s="101">
        <f t="shared" si="15"/>
        <v>65539113962.309143</v>
      </c>
      <c r="P22" s="102">
        <f>O22+P21</f>
        <v>77667983800.587219</v>
      </c>
      <c r="Q22" s="1"/>
      <c r="R22" s="1"/>
      <c r="S22" s="1"/>
      <c r="T22" s="1"/>
      <c r="U22" s="1"/>
    </row>
    <row r="23" spans="1:21" s="5" customFormat="1" x14ac:dyDescent="0.25">
      <c r="A23" s="18"/>
      <c r="B23" s="26" t="s">
        <v>7</v>
      </c>
      <c r="C23" s="6">
        <f t="shared" ref="C23:P23" si="16">1/(1+$C$3)^C7</f>
        <v>1</v>
      </c>
      <c r="D23" s="6">
        <f t="shared" si="16"/>
        <v>0.93023255813953487</v>
      </c>
      <c r="E23" s="6">
        <f t="shared" si="16"/>
        <v>0.86533261222282321</v>
      </c>
      <c r="F23" s="6">
        <f t="shared" si="16"/>
        <v>0.80496056950960304</v>
      </c>
      <c r="G23" s="6">
        <f t="shared" si="16"/>
        <v>0.7488005297763749</v>
      </c>
      <c r="H23" s="6">
        <f t="shared" si="16"/>
        <v>0.69655863235011617</v>
      </c>
      <c r="I23" s="6">
        <f t="shared" si="16"/>
        <v>0.64796151846522443</v>
      </c>
      <c r="J23" s="6">
        <f t="shared" si="16"/>
        <v>0.60275490089788319</v>
      </c>
      <c r="K23" s="6">
        <f t="shared" si="16"/>
        <v>0.56070223339337966</v>
      </c>
      <c r="L23" s="6">
        <f t="shared" si="16"/>
        <v>0.52158347292407414</v>
      </c>
      <c r="M23" s="6">
        <f t="shared" si="16"/>
        <v>0.48519392830146441</v>
      </c>
      <c r="N23" s="6">
        <f t="shared" si="16"/>
        <v>0.45134318911764126</v>
      </c>
      <c r="O23" s="6">
        <f t="shared" si="16"/>
        <v>0.41985412941175931</v>
      </c>
      <c r="P23" s="27">
        <f t="shared" si="16"/>
        <v>0.39056198084814819</v>
      </c>
      <c r="Q23" s="1"/>
      <c r="R23" s="1"/>
      <c r="S23" s="1"/>
      <c r="T23" s="1"/>
      <c r="U23" s="1"/>
    </row>
    <row r="24" spans="1:21" s="5" customFormat="1" x14ac:dyDescent="0.25">
      <c r="A24" s="18"/>
      <c r="B24" s="26" t="s">
        <v>12</v>
      </c>
      <c r="C24" s="6">
        <f>C21*C23</f>
        <v>-80000000000</v>
      </c>
      <c r="D24" s="6">
        <f>D21*D23</f>
        <v>11287750855.07498</v>
      </c>
      <c r="E24" s="6">
        <f t="shared" ref="E24:L24" si="17">E21*E23</f>
        <v>10496347399.763872</v>
      </c>
      <c r="F24" s="6">
        <f t="shared" si="17"/>
        <v>9761272809.9484844</v>
      </c>
      <c r="G24" s="6">
        <f t="shared" si="17"/>
        <v>9080432085.9591675</v>
      </c>
      <c r="H24" s="6">
        <f t="shared" si="17"/>
        <v>8447080785.5374098</v>
      </c>
      <c r="I24" s="6">
        <f t="shared" si="17"/>
        <v>7857906397.9428692</v>
      </c>
      <c r="J24" s="6">
        <f t="shared" si="17"/>
        <v>7309827458.2107687</v>
      </c>
      <c r="K24" s="6">
        <f t="shared" si="17"/>
        <v>6799977447.2235432</v>
      </c>
      <c r="L24" s="6">
        <f t="shared" si="17"/>
        <v>6325689797.9786673</v>
      </c>
      <c r="M24" s="6">
        <f t="shared" ref="M24:P24" si="18">M21*M23</f>
        <v>5884483947.7761545</v>
      </c>
      <c r="N24" s="6">
        <f t="shared" si="18"/>
        <v>5474052363.3642168</v>
      </c>
      <c r="O24" s="6">
        <f t="shared" si="18"/>
        <v>5092248471.1712818</v>
      </c>
      <c r="P24" s="27">
        <f t="shared" si="18"/>
        <v>4737075429.4872475</v>
      </c>
      <c r="Q24" s="1"/>
      <c r="R24" s="1"/>
      <c r="S24" s="1"/>
      <c r="T24" s="1"/>
      <c r="U24" s="1"/>
    </row>
    <row r="25" spans="1:21" s="5" customFormat="1" x14ac:dyDescent="0.25">
      <c r="A25" s="18"/>
      <c r="B25" s="43" t="s">
        <v>8</v>
      </c>
      <c r="C25" s="105">
        <f>SUM(C24:P24)</f>
        <v>18554145249.438667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  <c r="Q25" s="1"/>
      <c r="R25" s="1"/>
      <c r="S25" s="1"/>
      <c r="T25" s="1"/>
      <c r="U25" s="1"/>
    </row>
    <row r="26" spans="1:21" s="5" customFormat="1" x14ac:dyDescent="0.25">
      <c r="A26" s="18"/>
      <c r="B26" s="26" t="s">
        <v>19</v>
      </c>
      <c r="C26" s="108">
        <f>SUM(D24:P24)</f>
        <v>98554145249.43866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7"/>
      <c r="Q26" s="1"/>
      <c r="R26" s="1"/>
      <c r="S26" s="1"/>
      <c r="T26" s="1"/>
      <c r="U26" s="1"/>
    </row>
    <row r="27" spans="1:21" s="5" customFormat="1" x14ac:dyDescent="0.25">
      <c r="A27" s="18"/>
      <c r="B27" s="26" t="s">
        <v>20</v>
      </c>
      <c r="C27" s="6">
        <f>C24*-1</f>
        <v>80000000000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7"/>
      <c r="Q27" s="1"/>
      <c r="R27" s="1"/>
      <c r="S27" s="1"/>
      <c r="T27" s="1"/>
      <c r="U27" s="1"/>
    </row>
    <row r="28" spans="1:21" s="5" customFormat="1" x14ac:dyDescent="0.25">
      <c r="A28" s="18"/>
      <c r="B28" s="44" t="s">
        <v>9</v>
      </c>
      <c r="C28" s="109">
        <f>C26/C27</f>
        <v>1.2319268156179832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7"/>
      <c r="Q28" s="1"/>
      <c r="R28" s="1"/>
      <c r="S28" s="1"/>
      <c r="T28" s="1"/>
      <c r="U28" s="1"/>
    </row>
    <row r="29" spans="1:21" s="5" customFormat="1" x14ac:dyDescent="0.25">
      <c r="A29" s="18"/>
      <c r="B29" s="28" t="s">
        <v>21</v>
      </c>
      <c r="C29" s="108">
        <f t="shared" ref="C29:P29" si="19">C11*C23</f>
        <v>0</v>
      </c>
      <c r="D29" s="108">
        <f t="shared" si="19"/>
        <v>13087454374.208254</v>
      </c>
      <c r="E29" s="108">
        <f t="shared" si="19"/>
        <v>12170490208.259941</v>
      </c>
      <c r="F29" s="108">
        <f t="shared" si="19"/>
        <v>11318614957.386688</v>
      </c>
      <c r="G29" s="108">
        <f t="shared" si="19"/>
        <v>10529122455.669125</v>
      </c>
      <c r="H29" s="108">
        <f t="shared" si="19"/>
        <v>9794699734.1048126</v>
      </c>
      <c r="I29" s="108">
        <f t="shared" si="19"/>
        <v>9111505419.8660336</v>
      </c>
      <c r="J29" s="108">
        <f t="shared" si="19"/>
        <v>8475966083.2555733</v>
      </c>
      <c r="K29" s="108">
        <f t="shared" si="19"/>
        <v>7884757563.5442915</v>
      </c>
      <c r="L29" s="108">
        <f t="shared" si="19"/>
        <v>7334787580.6026192</v>
      </c>
      <c r="M29" s="108">
        <f t="shared" si="19"/>
        <v>6823179559.5193653</v>
      </c>
      <c r="N29" s="108">
        <f t="shared" si="19"/>
        <v>6347257583.5904598</v>
      </c>
      <c r="O29" s="108">
        <f t="shared" si="19"/>
        <v>5904532396.9631357</v>
      </c>
      <c r="P29" s="110">
        <f t="shared" si="19"/>
        <v>5492688383.7122278</v>
      </c>
      <c r="Q29" s="1"/>
      <c r="R29" s="1"/>
      <c r="S29" s="1"/>
      <c r="T29" s="1"/>
      <c r="U29" s="1"/>
    </row>
    <row r="30" spans="1:21" s="5" customFormat="1" ht="16.5" thickBot="1" x14ac:dyDescent="0.3">
      <c r="A30" s="18"/>
      <c r="B30" s="28" t="s">
        <v>22</v>
      </c>
      <c r="C30" s="108">
        <f>C20*C23</f>
        <v>80000000000</v>
      </c>
      <c r="D30" s="111">
        <f t="shared" ref="D30:L30" si="20">D20*D23</f>
        <v>1799703519.1332738</v>
      </c>
      <c r="E30" s="111">
        <f t="shared" si="20"/>
        <v>1674142808.496069</v>
      </c>
      <c r="F30" s="111">
        <f t="shared" si="20"/>
        <v>1557342147.4382038</v>
      </c>
      <c r="G30" s="111">
        <f t="shared" si="20"/>
        <v>1448690369.7099569</v>
      </c>
      <c r="H30" s="111">
        <f t="shared" si="20"/>
        <v>1347618948.5674016</v>
      </c>
      <c r="I30" s="111">
        <f t="shared" si="20"/>
        <v>1253599021.9231646</v>
      </c>
      <c r="J30" s="111">
        <f t="shared" si="20"/>
        <v>1166138625.0448043</v>
      </c>
      <c r="K30" s="111">
        <f t="shared" si="20"/>
        <v>1084780116.3207481</v>
      </c>
      <c r="L30" s="111">
        <f t="shared" si="20"/>
        <v>1009097782.6239518</v>
      </c>
      <c r="M30" s="111">
        <f t="shared" ref="M30:P30" si="21">M20*M23</f>
        <v>938695611.74321115</v>
      </c>
      <c r="N30" s="111">
        <f t="shared" si="21"/>
        <v>873205220.22624278</v>
      </c>
      <c r="O30" s="111">
        <f t="shared" si="21"/>
        <v>812283925.79185379</v>
      </c>
      <c r="P30" s="112">
        <f t="shared" si="21"/>
        <v>755612954.22498024</v>
      </c>
      <c r="Q30" s="1"/>
      <c r="R30" s="1"/>
      <c r="S30" s="1"/>
      <c r="T30" s="1"/>
      <c r="U30" s="1"/>
    </row>
    <row r="31" spans="1:21" s="5" customFormat="1" ht="17.25" customHeight="1" x14ac:dyDescent="0.25">
      <c r="A31" s="18"/>
      <c r="B31" s="39" t="s">
        <v>23</v>
      </c>
      <c r="C31" s="40">
        <f>SUM(C29:P29)/SUM(C30:P30)</f>
        <v>1.1938358614190976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s="5" customFormat="1" ht="16.5" thickBot="1" x14ac:dyDescent="0.3">
      <c r="A32" s="18"/>
      <c r="B32" s="41" t="s">
        <v>10</v>
      </c>
      <c r="C32" s="42">
        <f>IRR(C21:P21)</f>
        <v>0.11461762498416683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0" s="5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0" s="5" customForma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" customFormat="1" x14ac:dyDescent="0.25">
      <c r="A35" s="2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" customFormat="1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" customForma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" customForma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" customForma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" customForma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" customForma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" customForma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2"/>
      <c r="B43" s="1"/>
    </row>
    <row r="44" spans="1:20" x14ac:dyDescent="0.25">
      <c r="A44" s="2"/>
      <c r="B44" s="1"/>
    </row>
    <row r="45" spans="1:20" x14ac:dyDescent="0.25">
      <c r="A45" s="2"/>
      <c r="B45" s="1"/>
    </row>
    <row r="46" spans="1:20" x14ac:dyDescent="0.25">
      <c r="A46" s="2"/>
      <c r="B46" s="1"/>
    </row>
    <row r="47" spans="1:20" x14ac:dyDescent="0.25">
      <c r="A47" s="2"/>
      <c r="B47" s="1"/>
    </row>
    <row r="48" spans="1:20" x14ac:dyDescent="0.25">
      <c r="A48" s="2"/>
      <c r="B48" s="1"/>
    </row>
    <row r="49" spans="1:2" x14ac:dyDescent="0.25">
      <c r="A49" s="2"/>
      <c r="B49" s="1"/>
    </row>
    <row r="50" spans="1:2" x14ac:dyDescent="0.25">
      <c r="A50" s="2"/>
      <c r="B50" s="1"/>
    </row>
    <row r="51" spans="1:2" x14ac:dyDescent="0.25">
      <c r="A51" s="2"/>
      <c r="B51" s="1"/>
    </row>
    <row r="52" spans="1:2" x14ac:dyDescent="0.25">
      <c r="A52" s="2"/>
      <c r="B52" s="1"/>
    </row>
    <row r="53" spans="1:2" x14ac:dyDescent="0.25">
      <c r="A53" s="2"/>
      <c r="B53" s="1"/>
    </row>
    <row r="54" spans="1:2" x14ac:dyDescent="0.25">
      <c r="A54" s="2"/>
      <c r="B54" s="1"/>
    </row>
    <row r="55" spans="1:2" x14ac:dyDescent="0.25">
      <c r="A55" s="2"/>
      <c r="B55" s="1"/>
    </row>
    <row r="56" spans="1:2" x14ac:dyDescent="0.25">
      <c r="A56" s="2"/>
      <c r="B56" s="1"/>
    </row>
    <row r="57" spans="1:2" x14ac:dyDescent="0.25">
      <c r="A57" s="2"/>
      <c r="B57" s="1"/>
    </row>
    <row r="58" spans="1:2" x14ac:dyDescent="0.25">
      <c r="A58" s="2"/>
      <c r="B58" s="1"/>
    </row>
    <row r="59" spans="1:2" x14ac:dyDescent="0.25">
      <c r="A59" s="2"/>
      <c r="B59" s="1"/>
    </row>
    <row r="60" spans="1:2" x14ac:dyDescent="0.25">
      <c r="A60" s="2"/>
      <c r="B60" s="1"/>
    </row>
    <row r="61" spans="1:2" x14ac:dyDescent="0.25">
      <c r="A61" s="2"/>
      <c r="B61" s="1"/>
    </row>
    <row r="62" spans="1:2" x14ac:dyDescent="0.25">
      <c r="A62" s="2"/>
      <c r="B62" s="1"/>
    </row>
  </sheetData>
  <mergeCells count="2">
    <mergeCell ref="C5:P5"/>
    <mergeCell ref="A6:A7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U62"/>
  <sheetViews>
    <sheetView topLeftCell="A4" zoomScale="55" zoomScaleNormal="55" workbookViewId="0">
      <selection activeCell="B10" sqref="B10"/>
    </sheetView>
  </sheetViews>
  <sheetFormatPr defaultRowHeight="15.75" x14ac:dyDescent="0.25"/>
  <cols>
    <col min="1" max="1" width="5.140625" style="1" customWidth="1"/>
    <col min="2" max="2" width="71" style="2" customWidth="1"/>
    <col min="3" max="16" width="22.7109375" style="1" customWidth="1"/>
    <col min="17" max="21" width="18" style="1" bestFit="1" customWidth="1"/>
    <col min="22" max="16384" width="9.140625" style="1"/>
  </cols>
  <sheetData>
    <row r="1" spans="1:21" ht="18.75" x14ac:dyDescent="0.25">
      <c r="B1" s="7" t="s">
        <v>71</v>
      </c>
      <c r="C1" s="7" t="s">
        <v>72</v>
      </c>
    </row>
    <row r="2" spans="1:21" ht="18.75" x14ac:dyDescent="0.25">
      <c r="B2" s="8" t="s">
        <v>73</v>
      </c>
      <c r="C2" s="8" t="s">
        <v>84</v>
      </c>
    </row>
    <row r="3" spans="1:21" x14ac:dyDescent="0.25">
      <c r="B3" s="9" t="s">
        <v>75</v>
      </c>
      <c r="C3" s="3">
        <v>7.4999999999999997E-2</v>
      </c>
    </row>
    <row r="4" spans="1:21" ht="16.5" thickBot="1" x14ac:dyDescent="0.3">
      <c r="B4" s="9"/>
      <c r="C4" s="3"/>
    </row>
    <row r="5" spans="1:21" x14ac:dyDescent="0.25">
      <c r="B5" s="29" t="s">
        <v>13</v>
      </c>
      <c r="C5" s="124" t="s">
        <v>66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21" x14ac:dyDescent="0.25">
      <c r="A6" s="123"/>
      <c r="B6" s="30"/>
      <c r="C6" s="31">
        <v>2017</v>
      </c>
      <c r="D6" s="32">
        <v>2018</v>
      </c>
      <c r="E6" s="31">
        <v>2019</v>
      </c>
      <c r="F6" s="32">
        <v>2020</v>
      </c>
      <c r="G6" s="31">
        <v>2021</v>
      </c>
      <c r="H6" s="32">
        <v>2022</v>
      </c>
      <c r="I6" s="31">
        <v>2023</v>
      </c>
      <c r="J6" s="32">
        <v>2024</v>
      </c>
      <c r="K6" s="31">
        <v>2025</v>
      </c>
      <c r="L6" s="32">
        <v>2026</v>
      </c>
      <c r="M6" s="31">
        <v>2027</v>
      </c>
      <c r="N6" s="32">
        <v>2028</v>
      </c>
      <c r="O6" s="31">
        <v>2029</v>
      </c>
      <c r="P6" s="33">
        <v>2030</v>
      </c>
    </row>
    <row r="7" spans="1:21" x14ac:dyDescent="0.25">
      <c r="A7" s="123"/>
      <c r="B7" s="34"/>
      <c r="C7" s="45">
        <v>0</v>
      </c>
      <c r="D7" s="45">
        <v>1</v>
      </c>
      <c r="E7" s="46">
        <v>2</v>
      </c>
      <c r="F7" s="46">
        <v>3</v>
      </c>
      <c r="G7" s="46">
        <v>4</v>
      </c>
      <c r="H7" s="45">
        <v>5</v>
      </c>
      <c r="I7" s="46">
        <v>6</v>
      </c>
      <c r="J7" s="45">
        <v>7</v>
      </c>
      <c r="K7" s="46">
        <v>8</v>
      </c>
      <c r="L7" s="45">
        <v>9</v>
      </c>
      <c r="M7" s="46">
        <v>10</v>
      </c>
      <c r="N7" s="45">
        <v>11</v>
      </c>
      <c r="O7" s="46">
        <v>12</v>
      </c>
      <c r="P7" s="47">
        <v>13</v>
      </c>
    </row>
    <row r="8" spans="1:21" x14ac:dyDescent="0.25">
      <c r="A8" s="17"/>
      <c r="B8" s="35" t="s">
        <v>14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2"/>
    </row>
    <row r="9" spans="1:21" s="5" customFormat="1" x14ac:dyDescent="0.25">
      <c r="A9" s="18"/>
      <c r="B9" s="23" t="s">
        <v>11</v>
      </c>
      <c r="C9" s="101">
        <v>0</v>
      </c>
      <c r="D9" s="101">
        <f>'Penghematan Listrik'!C22</f>
        <v>13974982599.599998</v>
      </c>
      <c r="E9" s="101">
        <f t="shared" ref="E9:P9" si="0">D9</f>
        <v>13974982599.599998</v>
      </c>
      <c r="F9" s="101">
        <f t="shared" si="0"/>
        <v>13974982599.599998</v>
      </c>
      <c r="G9" s="101">
        <f t="shared" si="0"/>
        <v>13974982599.599998</v>
      </c>
      <c r="H9" s="101">
        <f t="shared" si="0"/>
        <v>13974982599.599998</v>
      </c>
      <c r="I9" s="101">
        <f t="shared" si="0"/>
        <v>13974982599.599998</v>
      </c>
      <c r="J9" s="101">
        <f t="shared" si="0"/>
        <v>13974982599.599998</v>
      </c>
      <c r="K9" s="101">
        <f t="shared" si="0"/>
        <v>13974982599.599998</v>
      </c>
      <c r="L9" s="101">
        <f t="shared" si="0"/>
        <v>13974982599.599998</v>
      </c>
      <c r="M9" s="101">
        <f t="shared" si="0"/>
        <v>13974982599.599998</v>
      </c>
      <c r="N9" s="101">
        <f t="shared" si="0"/>
        <v>13974982599.599998</v>
      </c>
      <c r="O9" s="101">
        <f t="shared" si="0"/>
        <v>13974982599.599998</v>
      </c>
      <c r="P9" s="102">
        <f t="shared" si="0"/>
        <v>13974982599.599998</v>
      </c>
      <c r="Q9" s="1"/>
      <c r="R9" s="1"/>
      <c r="S9" s="1"/>
      <c r="T9" s="1"/>
      <c r="U9" s="1"/>
    </row>
    <row r="10" spans="1:21" s="5" customFormat="1" x14ac:dyDescent="0.25">
      <c r="A10" s="18"/>
      <c r="B10" s="23" t="s">
        <v>0</v>
      </c>
      <c r="C10" s="101">
        <v>0</v>
      </c>
      <c r="D10" s="101">
        <f>'Penjualan Karbon'!B6</f>
        <v>237842744.99862358</v>
      </c>
      <c r="E10" s="101">
        <f>'Penjualan Karbon'!C6</f>
        <v>226483902.04570603</v>
      </c>
      <c r="F10" s="101">
        <f>'Penjualan Karbon'!D6</f>
        <v>217775754.43875778</v>
      </c>
      <c r="G10" s="101">
        <f>'Penjualan Karbon'!E6</f>
        <v>218378074.4551096</v>
      </c>
      <c r="H10" s="101">
        <f>'Penjualan Karbon'!F6</f>
        <v>218985289.90209231</v>
      </c>
      <c r="I10" s="101">
        <f>'Penjualan Karbon'!G6</f>
        <v>219597498.55726004</v>
      </c>
      <c r="J10" s="101">
        <f>'Penjualan Karbon'!H6</f>
        <v>220214741.48038527</v>
      </c>
      <c r="K10" s="101">
        <f>'Penjualan Karbon'!I6</f>
        <v>220837060.06887978</v>
      </c>
      <c r="L10" s="101">
        <f>'Penjualan Karbon'!J6</f>
        <v>221464496.06057164</v>
      </c>
      <c r="M10" s="101">
        <f>'Penjualan Karbon'!K6</f>
        <v>222097091.53650397</v>
      </c>
      <c r="N10" s="101">
        <f>'Penjualan Karbon'!L6</f>
        <v>222734888.92375803</v>
      </c>
      <c r="O10" s="101">
        <f>'Penjualan Karbon'!M6</f>
        <v>223377930.99829769</v>
      </c>
      <c r="P10" s="101">
        <f>'Penjualan Karbon'!N6</f>
        <v>224026260.88783938</v>
      </c>
      <c r="Q10" s="1"/>
      <c r="R10" s="1"/>
      <c r="S10" s="1"/>
      <c r="T10" s="1"/>
      <c r="U10" s="1"/>
    </row>
    <row r="11" spans="1:21" s="5" customFormat="1" x14ac:dyDescent="0.25">
      <c r="A11" s="18"/>
      <c r="B11" s="35" t="s">
        <v>16</v>
      </c>
      <c r="C11" s="101">
        <f>SUM(C9:C10)</f>
        <v>0</v>
      </c>
      <c r="D11" s="101">
        <f t="shared" ref="D11:P11" si="1">SUM(D9:D10)</f>
        <v>14212825344.598621</v>
      </c>
      <c r="E11" s="101">
        <f t="shared" si="1"/>
        <v>14201466501.645704</v>
      </c>
      <c r="F11" s="101">
        <f t="shared" si="1"/>
        <v>14192758354.038755</v>
      </c>
      <c r="G11" s="101">
        <f t="shared" si="1"/>
        <v>14193360674.055107</v>
      </c>
      <c r="H11" s="101">
        <f t="shared" si="1"/>
        <v>14193967889.50209</v>
      </c>
      <c r="I11" s="101">
        <f t="shared" si="1"/>
        <v>14194580098.157259</v>
      </c>
      <c r="J11" s="101">
        <f t="shared" si="1"/>
        <v>14195197341.080383</v>
      </c>
      <c r="K11" s="101">
        <f t="shared" si="1"/>
        <v>14195819659.668879</v>
      </c>
      <c r="L11" s="101">
        <f t="shared" si="1"/>
        <v>14196447095.66057</v>
      </c>
      <c r="M11" s="101">
        <f t="shared" si="1"/>
        <v>14197079691.136503</v>
      </c>
      <c r="N11" s="101">
        <f t="shared" si="1"/>
        <v>14197717488.523756</v>
      </c>
      <c r="O11" s="101">
        <f t="shared" si="1"/>
        <v>14198360530.598297</v>
      </c>
      <c r="P11" s="102">
        <f t="shared" si="1"/>
        <v>14199008860.487839</v>
      </c>
      <c r="Q11" s="1"/>
      <c r="R11" s="1"/>
      <c r="S11" s="1"/>
      <c r="T11" s="1"/>
      <c r="U11" s="1"/>
    </row>
    <row r="12" spans="1:21" s="5" customFormat="1" x14ac:dyDescent="0.25">
      <c r="A12" s="17"/>
      <c r="B12" s="35" t="s">
        <v>15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2"/>
      <c r="Q12" s="1"/>
      <c r="R12" s="1"/>
      <c r="S12" s="1"/>
      <c r="T12" s="1"/>
      <c r="U12" s="1"/>
    </row>
    <row r="13" spans="1:21" s="5" customFormat="1" x14ac:dyDescent="0.25">
      <c r="A13" s="19"/>
      <c r="B13" s="35" t="s">
        <v>1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2"/>
      <c r="Q13" s="1"/>
      <c r="R13" s="1"/>
      <c r="S13" s="1"/>
      <c r="T13" s="1"/>
      <c r="U13" s="1"/>
    </row>
    <row r="14" spans="1:21" s="5" customFormat="1" x14ac:dyDescent="0.25">
      <c r="A14" s="18"/>
      <c r="B14" s="24"/>
      <c r="C14" s="101">
        <v>80000000000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/>
      <c r="Q14" s="1"/>
      <c r="R14" s="1"/>
      <c r="S14" s="1"/>
      <c r="T14" s="1"/>
      <c r="U14" s="1"/>
    </row>
    <row r="15" spans="1:21" s="5" customFormat="1" x14ac:dyDescent="0.25">
      <c r="A15" s="18"/>
      <c r="B15" s="37" t="s">
        <v>2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/>
      <c r="Q15" s="1"/>
      <c r="R15" s="1"/>
      <c r="S15" s="1"/>
      <c r="T15" s="1"/>
      <c r="U15" s="1"/>
    </row>
    <row r="16" spans="1:21" s="5" customFormat="1" x14ac:dyDescent="0.25">
      <c r="A16" s="18"/>
      <c r="B16" s="25" t="s">
        <v>25</v>
      </c>
      <c r="C16" s="101">
        <v>0</v>
      </c>
      <c r="D16" s="103">
        <v>476336537.2599678</v>
      </c>
      <c r="E16" s="103">
        <f>D16</f>
        <v>476336537.2599678</v>
      </c>
      <c r="F16" s="103">
        <f t="shared" ref="F16:P19" si="2">E16</f>
        <v>476336537.2599678</v>
      </c>
      <c r="G16" s="103">
        <f t="shared" si="2"/>
        <v>476336537.2599678</v>
      </c>
      <c r="H16" s="103">
        <f t="shared" si="2"/>
        <v>476336537.2599678</v>
      </c>
      <c r="I16" s="103">
        <f t="shared" si="2"/>
        <v>476336537.2599678</v>
      </c>
      <c r="J16" s="103">
        <f t="shared" si="2"/>
        <v>476336537.2599678</v>
      </c>
      <c r="K16" s="103">
        <f t="shared" si="2"/>
        <v>476336537.2599678</v>
      </c>
      <c r="L16" s="103">
        <f t="shared" si="2"/>
        <v>476336537.2599678</v>
      </c>
      <c r="M16" s="103">
        <f t="shared" si="2"/>
        <v>476336537.2599678</v>
      </c>
      <c r="N16" s="103">
        <f t="shared" si="2"/>
        <v>476336537.2599678</v>
      </c>
      <c r="O16" s="103">
        <f t="shared" si="2"/>
        <v>476336537.2599678</v>
      </c>
      <c r="P16" s="104">
        <f t="shared" si="2"/>
        <v>476336537.2599678</v>
      </c>
      <c r="Q16" s="1"/>
      <c r="R16" s="1"/>
      <c r="S16" s="1"/>
      <c r="T16" s="1"/>
      <c r="U16" s="1"/>
    </row>
    <row r="17" spans="1:21" s="5" customFormat="1" x14ac:dyDescent="0.25">
      <c r="A17" s="18"/>
      <c r="B17" s="25" t="s">
        <v>4</v>
      </c>
      <c r="C17" s="101">
        <v>0</v>
      </c>
      <c r="D17" s="103">
        <v>524055976.20000011</v>
      </c>
      <c r="E17" s="103">
        <f t="shared" ref="E17:L19" si="3">D17</f>
        <v>524055976.20000011</v>
      </c>
      <c r="F17" s="103">
        <f t="shared" si="3"/>
        <v>524055976.20000011</v>
      </c>
      <c r="G17" s="103">
        <f t="shared" si="3"/>
        <v>524055976.20000011</v>
      </c>
      <c r="H17" s="103">
        <f t="shared" si="3"/>
        <v>524055976.20000011</v>
      </c>
      <c r="I17" s="103">
        <f t="shared" si="3"/>
        <v>524055976.20000011</v>
      </c>
      <c r="J17" s="103">
        <f t="shared" si="3"/>
        <v>524055976.20000011</v>
      </c>
      <c r="K17" s="103">
        <f t="shared" si="3"/>
        <v>524055976.20000011</v>
      </c>
      <c r="L17" s="103">
        <f t="shared" si="3"/>
        <v>524055976.20000011</v>
      </c>
      <c r="M17" s="103">
        <f t="shared" si="2"/>
        <v>524055976.20000011</v>
      </c>
      <c r="N17" s="103">
        <f t="shared" si="2"/>
        <v>524055976.20000011</v>
      </c>
      <c r="O17" s="103">
        <f t="shared" si="2"/>
        <v>524055976.20000011</v>
      </c>
      <c r="P17" s="104">
        <f t="shared" si="2"/>
        <v>524055976.20000011</v>
      </c>
      <c r="Q17" s="1"/>
      <c r="R17" s="1"/>
      <c r="S17" s="1"/>
      <c r="T17" s="1"/>
      <c r="U17" s="1"/>
    </row>
    <row r="18" spans="1:21" s="5" customFormat="1" x14ac:dyDescent="0.25">
      <c r="A18" s="18"/>
      <c r="B18" s="25" t="s">
        <v>5</v>
      </c>
      <c r="C18" s="101">
        <v>0</v>
      </c>
      <c r="D18" s="103">
        <v>411745020.75</v>
      </c>
      <c r="E18" s="103">
        <f t="shared" si="3"/>
        <v>411745020.75</v>
      </c>
      <c r="F18" s="103">
        <f t="shared" si="3"/>
        <v>411745020.75</v>
      </c>
      <c r="G18" s="103">
        <f t="shared" si="3"/>
        <v>411745020.75</v>
      </c>
      <c r="H18" s="103">
        <f t="shared" si="3"/>
        <v>411745020.75</v>
      </c>
      <c r="I18" s="103">
        <f t="shared" si="3"/>
        <v>411745020.75</v>
      </c>
      <c r="J18" s="103">
        <f t="shared" si="3"/>
        <v>411745020.75</v>
      </c>
      <c r="K18" s="103">
        <f t="shared" si="3"/>
        <v>411745020.75</v>
      </c>
      <c r="L18" s="103">
        <f t="shared" si="3"/>
        <v>411745020.75</v>
      </c>
      <c r="M18" s="103">
        <f t="shared" si="2"/>
        <v>411745020.75</v>
      </c>
      <c r="N18" s="103">
        <f t="shared" si="2"/>
        <v>411745020.75</v>
      </c>
      <c r="O18" s="103">
        <f t="shared" si="2"/>
        <v>411745020.75</v>
      </c>
      <c r="P18" s="104">
        <f t="shared" si="2"/>
        <v>411745020.75</v>
      </c>
      <c r="Q18" s="1"/>
      <c r="R18" s="1"/>
      <c r="S18" s="1"/>
      <c r="T18" s="1"/>
      <c r="U18" s="1"/>
    </row>
    <row r="19" spans="1:21" s="5" customFormat="1" x14ac:dyDescent="0.25">
      <c r="A19" s="18"/>
      <c r="B19" s="25" t="s">
        <v>6</v>
      </c>
      <c r="C19" s="101">
        <v>0</v>
      </c>
      <c r="D19" s="103">
        <v>522543748.8583017</v>
      </c>
      <c r="E19" s="103">
        <f t="shared" si="3"/>
        <v>522543748.8583017</v>
      </c>
      <c r="F19" s="103">
        <f t="shared" si="3"/>
        <v>522543748.8583017</v>
      </c>
      <c r="G19" s="103">
        <f t="shared" si="3"/>
        <v>522543748.8583017</v>
      </c>
      <c r="H19" s="103">
        <f t="shared" si="3"/>
        <v>522543748.8583017</v>
      </c>
      <c r="I19" s="103">
        <f t="shared" si="3"/>
        <v>522543748.8583017</v>
      </c>
      <c r="J19" s="103">
        <f t="shared" si="3"/>
        <v>522543748.8583017</v>
      </c>
      <c r="K19" s="103">
        <f t="shared" si="3"/>
        <v>522543748.8583017</v>
      </c>
      <c r="L19" s="103">
        <f t="shared" si="3"/>
        <v>522543748.8583017</v>
      </c>
      <c r="M19" s="103">
        <f t="shared" si="2"/>
        <v>522543748.8583017</v>
      </c>
      <c r="N19" s="103">
        <f t="shared" si="2"/>
        <v>522543748.8583017</v>
      </c>
      <c r="O19" s="103">
        <f t="shared" si="2"/>
        <v>522543748.8583017</v>
      </c>
      <c r="P19" s="104">
        <f t="shared" si="2"/>
        <v>522543748.8583017</v>
      </c>
      <c r="Q19" s="1"/>
      <c r="R19" s="1"/>
      <c r="S19" s="1"/>
      <c r="T19" s="1"/>
      <c r="U19" s="1"/>
    </row>
    <row r="20" spans="1:21" s="5" customFormat="1" x14ac:dyDescent="0.25">
      <c r="A20" s="18"/>
      <c r="B20" s="37" t="s">
        <v>17</v>
      </c>
      <c r="C20" s="101">
        <f t="shared" ref="C20:P20" si="4">C14+SUM(C16:C19)</f>
        <v>80000000000</v>
      </c>
      <c r="D20" s="101">
        <f t="shared" si="4"/>
        <v>1934681283.0682695</v>
      </c>
      <c r="E20" s="101">
        <f t="shared" si="4"/>
        <v>1934681283.0682695</v>
      </c>
      <c r="F20" s="101">
        <f t="shared" si="4"/>
        <v>1934681283.0682695</v>
      </c>
      <c r="G20" s="101">
        <f t="shared" si="4"/>
        <v>1934681283.0682695</v>
      </c>
      <c r="H20" s="101">
        <f t="shared" si="4"/>
        <v>1934681283.0682695</v>
      </c>
      <c r="I20" s="101">
        <f t="shared" si="4"/>
        <v>1934681283.0682695</v>
      </c>
      <c r="J20" s="101">
        <f t="shared" si="4"/>
        <v>1934681283.0682695</v>
      </c>
      <c r="K20" s="101">
        <f t="shared" si="4"/>
        <v>1934681283.0682695</v>
      </c>
      <c r="L20" s="101">
        <f t="shared" si="4"/>
        <v>1934681283.0682695</v>
      </c>
      <c r="M20" s="101">
        <f t="shared" si="4"/>
        <v>1934681283.0682695</v>
      </c>
      <c r="N20" s="101">
        <f t="shared" si="4"/>
        <v>1934681283.0682695</v>
      </c>
      <c r="O20" s="101">
        <f t="shared" si="4"/>
        <v>1934681283.0682695</v>
      </c>
      <c r="P20" s="102">
        <f t="shared" si="4"/>
        <v>1934681283.0682695</v>
      </c>
      <c r="Q20" s="1"/>
      <c r="R20" s="1"/>
      <c r="S20" s="1"/>
      <c r="T20" s="1"/>
      <c r="U20" s="1"/>
    </row>
    <row r="21" spans="1:21" s="5" customFormat="1" x14ac:dyDescent="0.25">
      <c r="A21" s="18"/>
      <c r="B21" s="23" t="s">
        <v>18</v>
      </c>
      <c r="C21" s="101">
        <f t="shared" ref="C21:P21" si="5">C11-C20</f>
        <v>-80000000000</v>
      </c>
      <c r="D21" s="101">
        <f t="shared" si="5"/>
        <v>12278144061.530352</v>
      </c>
      <c r="E21" s="101">
        <f t="shared" si="5"/>
        <v>12266785218.577435</v>
      </c>
      <c r="F21" s="101">
        <f t="shared" si="5"/>
        <v>12258077070.970486</v>
      </c>
      <c r="G21" s="101">
        <f t="shared" si="5"/>
        <v>12258679390.986837</v>
      </c>
      <c r="H21" s="101">
        <f t="shared" si="5"/>
        <v>12259286606.433821</v>
      </c>
      <c r="I21" s="101">
        <f t="shared" si="5"/>
        <v>12259898815.088989</v>
      </c>
      <c r="J21" s="101">
        <f t="shared" si="5"/>
        <v>12260516058.012114</v>
      </c>
      <c r="K21" s="101">
        <f t="shared" si="5"/>
        <v>12261138376.600609</v>
      </c>
      <c r="L21" s="101">
        <f t="shared" si="5"/>
        <v>12261765812.5923</v>
      </c>
      <c r="M21" s="101">
        <f t="shared" si="5"/>
        <v>12262398408.068233</v>
      </c>
      <c r="N21" s="101">
        <f t="shared" si="5"/>
        <v>12263036205.455486</v>
      </c>
      <c r="O21" s="101">
        <f t="shared" si="5"/>
        <v>12263679247.530027</v>
      </c>
      <c r="P21" s="102">
        <f t="shared" si="5"/>
        <v>12264327577.419569</v>
      </c>
      <c r="Q21" s="1"/>
      <c r="R21" s="1"/>
      <c r="S21" s="1"/>
      <c r="T21" s="1"/>
      <c r="U21" s="1"/>
    </row>
    <row r="22" spans="1:21" s="5" customFormat="1" x14ac:dyDescent="0.25">
      <c r="A22" s="18"/>
      <c r="B22" s="23" t="s">
        <v>24</v>
      </c>
      <c r="C22" s="101">
        <f>C21</f>
        <v>-80000000000</v>
      </c>
      <c r="D22" s="101">
        <f>C22+D21</f>
        <v>-67721855938.46965</v>
      </c>
      <c r="E22" s="101">
        <f>D22+E21</f>
        <v>-55455070719.892212</v>
      </c>
      <c r="F22" s="101">
        <f>E22+F21</f>
        <v>-43196993648.921722</v>
      </c>
      <c r="G22" s="101">
        <f t="shared" ref="G22:P22" si="6">F22+G21</f>
        <v>-30938314257.934883</v>
      </c>
      <c r="H22" s="101">
        <f t="shared" si="6"/>
        <v>-18679027651.50106</v>
      </c>
      <c r="I22" s="101">
        <f t="shared" si="6"/>
        <v>-6419128836.4120712</v>
      </c>
      <c r="J22" s="101">
        <f t="shared" si="6"/>
        <v>5841387221.6000423</v>
      </c>
      <c r="K22" s="101">
        <f t="shared" si="6"/>
        <v>18102525598.200653</v>
      </c>
      <c r="L22" s="101">
        <f t="shared" si="6"/>
        <v>30364291410.792953</v>
      </c>
      <c r="M22" s="101">
        <f t="shared" si="6"/>
        <v>42626689818.861191</v>
      </c>
      <c r="N22" s="101">
        <f t="shared" si="6"/>
        <v>54889726024.316681</v>
      </c>
      <c r="O22" s="101">
        <f t="shared" si="6"/>
        <v>67153405271.84671</v>
      </c>
      <c r="P22" s="102">
        <f t="shared" si="6"/>
        <v>79417732849.266281</v>
      </c>
      <c r="Q22" s="1"/>
      <c r="R22" s="1"/>
      <c r="S22" s="1"/>
      <c r="T22" s="1"/>
      <c r="U22" s="1"/>
    </row>
    <row r="23" spans="1:21" s="5" customFormat="1" x14ac:dyDescent="0.25">
      <c r="A23" s="18"/>
      <c r="B23" s="26" t="s">
        <v>7</v>
      </c>
      <c r="C23" s="6">
        <f t="shared" ref="C23:P23" si="7">1/(1+$C$3)^C7</f>
        <v>1</v>
      </c>
      <c r="D23" s="6">
        <f t="shared" si="7"/>
        <v>0.93023255813953487</v>
      </c>
      <c r="E23" s="6">
        <f t="shared" si="7"/>
        <v>0.86533261222282321</v>
      </c>
      <c r="F23" s="6">
        <f t="shared" si="7"/>
        <v>0.80496056950960304</v>
      </c>
      <c r="G23" s="6">
        <f t="shared" si="7"/>
        <v>0.7488005297763749</v>
      </c>
      <c r="H23" s="6">
        <f t="shared" si="7"/>
        <v>0.69655863235011617</v>
      </c>
      <c r="I23" s="6">
        <f t="shared" si="7"/>
        <v>0.64796151846522443</v>
      </c>
      <c r="J23" s="6">
        <f t="shared" si="7"/>
        <v>0.60275490089788319</v>
      </c>
      <c r="K23" s="6">
        <f t="shared" si="7"/>
        <v>0.56070223339337966</v>
      </c>
      <c r="L23" s="6">
        <f t="shared" si="7"/>
        <v>0.52158347292407414</v>
      </c>
      <c r="M23" s="6">
        <f t="shared" si="7"/>
        <v>0.48519392830146441</v>
      </c>
      <c r="N23" s="6">
        <f t="shared" si="7"/>
        <v>0.45134318911764126</v>
      </c>
      <c r="O23" s="6">
        <f t="shared" si="7"/>
        <v>0.41985412941175931</v>
      </c>
      <c r="P23" s="27">
        <f t="shared" si="7"/>
        <v>0.39056198084814819</v>
      </c>
      <c r="Q23" s="1"/>
      <c r="R23" s="1"/>
      <c r="S23" s="1"/>
      <c r="T23" s="1"/>
      <c r="U23" s="1"/>
    </row>
    <row r="24" spans="1:21" s="5" customFormat="1" x14ac:dyDescent="0.25">
      <c r="A24" s="18"/>
      <c r="B24" s="26" t="s">
        <v>12</v>
      </c>
      <c r="C24" s="6">
        <f>C21*C23</f>
        <v>-80000000000</v>
      </c>
      <c r="D24" s="6">
        <f>D21*D23</f>
        <v>11421529359.563118</v>
      </c>
      <c r="E24" s="6">
        <f t="shared" ref="E24:P24" si="8">E21*E23</f>
        <v>10614849296.767927</v>
      </c>
      <c r="F24" s="6">
        <f t="shared" si="8"/>
        <v>9867268700.1410084</v>
      </c>
      <c r="G24" s="6">
        <f t="shared" si="8"/>
        <v>9179305622.3296719</v>
      </c>
      <c r="H24" s="6">
        <f t="shared" si="8"/>
        <v>8539311912.1656389</v>
      </c>
      <c r="I24" s="6">
        <f t="shared" si="8"/>
        <v>7943942652.4550676</v>
      </c>
      <c r="J24" s="6">
        <f t="shared" si="8"/>
        <v>7390086141.5039968</v>
      </c>
      <c r="K24" s="6">
        <f t="shared" si="8"/>
        <v>6874847671.7052383</v>
      </c>
      <c r="L24" s="6">
        <f t="shared" si="8"/>
        <v>6395534396.7135744</v>
      </c>
      <c r="M24" s="6">
        <f t="shared" si="8"/>
        <v>5949641254.0082493</v>
      </c>
      <c r="N24" s="6">
        <f t="shared" si="8"/>
        <v>5534837869.2353773</v>
      </c>
      <c r="O24" s="6">
        <f t="shared" si="8"/>
        <v>5148956373.8567791</v>
      </c>
      <c r="P24" s="27">
        <f t="shared" si="8"/>
        <v>4789980072.4075575</v>
      </c>
      <c r="Q24" s="1"/>
      <c r="R24" s="1"/>
      <c r="S24" s="1"/>
      <c r="T24" s="1"/>
      <c r="U24" s="1"/>
    </row>
    <row r="25" spans="1:21" s="5" customFormat="1" x14ac:dyDescent="0.25">
      <c r="A25" s="18"/>
      <c r="B25" s="48" t="s">
        <v>8</v>
      </c>
      <c r="C25" s="113">
        <f>SUM(C24:P24)</f>
        <v>19650091322.853207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7"/>
      <c r="Q25" s="1"/>
      <c r="R25" s="1"/>
      <c r="S25" s="1"/>
      <c r="T25" s="1"/>
      <c r="U25" s="1"/>
    </row>
    <row r="26" spans="1:21" s="5" customFormat="1" x14ac:dyDescent="0.25">
      <c r="A26" s="18"/>
      <c r="B26" s="26" t="s">
        <v>19</v>
      </c>
      <c r="C26" s="108">
        <f>SUM(D24:P24)</f>
        <v>99650091322.853241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7"/>
      <c r="Q26" s="1"/>
      <c r="R26" s="1"/>
      <c r="S26" s="1"/>
      <c r="T26" s="1"/>
      <c r="U26" s="1"/>
    </row>
    <row r="27" spans="1:21" s="5" customFormat="1" x14ac:dyDescent="0.25">
      <c r="A27" s="18"/>
      <c r="B27" s="26" t="s">
        <v>20</v>
      </c>
      <c r="C27" s="6">
        <f>C24*-1</f>
        <v>80000000000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7"/>
      <c r="Q27" s="1"/>
      <c r="R27" s="1"/>
      <c r="S27" s="1"/>
      <c r="T27" s="1"/>
      <c r="U27" s="1"/>
    </row>
    <row r="28" spans="1:21" s="5" customFormat="1" x14ac:dyDescent="0.25">
      <c r="A28" s="18"/>
      <c r="B28" s="48" t="s">
        <v>9</v>
      </c>
      <c r="C28" s="113">
        <f>C26/C27</f>
        <v>1.2456261415356655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7"/>
      <c r="Q28" s="1"/>
      <c r="R28" s="1"/>
      <c r="S28" s="1"/>
      <c r="T28" s="1"/>
      <c r="U28" s="1"/>
    </row>
    <row r="29" spans="1:21" s="5" customFormat="1" x14ac:dyDescent="0.25">
      <c r="A29" s="18"/>
      <c r="B29" s="28" t="s">
        <v>21</v>
      </c>
      <c r="C29" s="108">
        <f t="shared" ref="C29:P29" si="9">C11*C23</f>
        <v>0</v>
      </c>
      <c r="D29" s="108">
        <f t="shared" si="9"/>
        <v>13221232878.696392</v>
      </c>
      <c r="E29" s="108">
        <f t="shared" si="9"/>
        <v>12288992105.263996</v>
      </c>
      <c r="F29" s="108">
        <f t="shared" si="9"/>
        <v>11424610847.579212</v>
      </c>
      <c r="G29" s="108">
        <f t="shared" si="9"/>
        <v>10627995992.039629</v>
      </c>
      <c r="H29" s="108">
        <f t="shared" si="9"/>
        <v>9886930860.7330418</v>
      </c>
      <c r="I29" s="108">
        <f t="shared" si="9"/>
        <v>9197541674.378231</v>
      </c>
      <c r="J29" s="108">
        <f t="shared" si="9"/>
        <v>8556224766.5488014</v>
      </c>
      <c r="K29" s="108">
        <f t="shared" si="9"/>
        <v>7959627788.0259867</v>
      </c>
      <c r="L29" s="108">
        <f t="shared" si="9"/>
        <v>7404632179.3375263</v>
      </c>
      <c r="M29" s="108">
        <f t="shared" si="9"/>
        <v>6888336865.751461</v>
      </c>
      <c r="N29" s="108">
        <f t="shared" si="9"/>
        <v>6408043089.4616203</v>
      </c>
      <c r="O29" s="108">
        <f t="shared" si="9"/>
        <v>5961240299.648633</v>
      </c>
      <c r="P29" s="110">
        <f t="shared" si="9"/>
        <v>5545593026.6325378</v>
      </c>
      <c r="Q29" s="1"/>
      <c r="R29" s="1"/>
      <c r="S29" s="1"/>
      <c r="T29" s="1"/>
      <c r="U29" s="1"/>
    </row>
    <row r="30" spans="1:21" s="5" customFormat="1" ht="16.5" thickBot="1" x14ac:dyDescent="0.3">
      <c r="A30" s="18"/>
      <c r="B30" s="28" t="s">
        <v>22</v>
      </c>
      <c r="C30" s="108">
        <f>C20*C23</f>
        <v>80000000000</v>
      </c>
      <c r="D30" s="111">
        <f t="shared" ref="D30:P30" si="10">D20*D23</f>
        <v>1799703519.1332738</v>
      </c>
      <c r="E30" s="111">
        <f t="shared" si="10"/>
        <v>1674142808.496069</v>
      </c>
      <c r="F30" s="111">
        <f t="shared" si="10"/>
        <v>1557342147.4382038</v>
      </c>
      <c r="G30" s="111">
        <f t="shared" si="10"/>
        <v>1448690369.7099569</v>
      </c>
      <c r="H30" s="111">
        <f t="shared" si="10"/>
        <v>1347618948.5674016</v>
      </c>
      <c r="I30" s="111">
        <f t="shared" si="10"/>
        <v>1253599021.9231646</v>
      </c>
      <c r="J30" s="111">
        <f t="shared" si="10"/>
        <v>1166138625.0448043</v>
      </c>
      <c r="K30" s="111">
        <f t="shared" si="10"/>
        <v>1084780116.3207481</v>
      </c>
      <c r="L30" s="111">
        <f t="shared" si="10"/>
        <v>1009097782.6239518</v>
      </c>
      <c r="M30" s="111">
        <f t="shared" si="10"/>
        <v>938695611.74321115</v>
      </c>
      <c r="N30" s="111">
        <f t="shared" si="10"/>
        <v>873205220.22624278</v>
      </c>
      <c r="O30" s="111">
        <f t="shared" si="10"/>
        <v>812283925.79185379</v>
      </c>
      <c r="P30" s="112">
        <f t="shared" si="10"/>
        <v>755612954.22498024</v>
      </c>
      <c r="Q30" s="1"/>
      <c r="R30" s="1"/>
      <c r="S30" s="1"/>
      <c r="T30" s="1"/>
      <c r="U30" s="1"/>
    </row>
    <row r="31" spans="1:21" s="5" customFormat="1" ht="17.25" customHeight="1" x14ac:dyDescent="0.25">
      <c r="A31" s="18"/>
      <c r="B31" s="49" t="s">
        <v>23</v>
      </c>
      <c r="C31" s="114">
        <f>SUM(C29:P29)/SUM(C30:P30)</f>
        <v>1.2052852517495745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s="5" customFormat="1" ht="16.5" thickBot="1" x14ac:dyDescent="0.3">
      <c r="A32" s="18"/>
      <c r="B32" s="50" t="s">
        <v>10</v>
      </c>
      <c r="C32" s="51">
        <f>IRR(C21:P21)</f>
        <v>0.1168577134334261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0" s="5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0" s="5" customForma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" customFormat="1" x14ac:dyDescent="0.25">
      <c r="A35" s="2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" customFormat="1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" customForma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" customForma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" customForma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" customForma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" customForma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" customForma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2"/>
      <c r="B43" s="1"/>
    </row>
    <row r="44" spans="1:20" x14ac:dyDescent="0.25">
      <c r="A44" s="2"/>
      <c r="B44" s="1"/>
    </row>
    <row r="45" spans="1:20" x14ac:dyDescent="0.25">
      <c r="A45" s="2"/>
      <c r="B45" s="1"/>
    </row>
    <row r="46" spans="1:20" x14ac:dyDescent="0.25">
      <c r="A46" s="2"/>
      <c r="B46" s="1"/>
    </row>
    <row r="47" spans="1:20" x14ac:dyDescent="0.25">
      <c r="A47" s="2"/>
      <c r="B47" s="1"/>
    </row>
    <row r="48" spans="1:20" x14ac:dyDescent="0.25">
      <c r="A48" s="2"/>
      <c r="B48" s="1"/>
    </row>
    <row r="49" spans="1:2" x14ac:dyDescent="0.25">
      <c r="A49" s="2"/>
      <c r="B49" s="1"/>
    </row>
    <row r="50" spans="1:2" x14ac:dyDescent="0.25">
      <c r="A50" s="2"/>
      <c r="B50" s="1"/>
    </row>
    <row r="51" spans="1:2" x14ac:dyDescent="0.25">
      <c r="A51" s="2"/>
      <c r="B51" s="1"/>
    </row>
    <row r="52" spans="1:2" x14ac:dyDescent="0.25">
      <c r="A52" s="2"/>
      <c r="B52" s="1"/>
    </row>
    <row r="53" spans="1:2" x14ac:dyDescent="0.25">
      <c r="A53" s="2"/>
      <c r="B53" s="1"/>
    </row>
    <row r="54" spans="1:2" x14ac:dyDescent="0.25">
      <c r="A54" s="2"/>
      <c r="B54" s="1"/>
    </row>
    <row r="55" spans="1:2" x14ac:dyDescent="0.25">
      <c r="A55" s="2"/>
      <c r="B55" s="1"/>
    </row>
    <row r="56" spans="1:2" x14ac:dyDescent="0.25">
      <c r="A56" s="2"/>
      <c r="B56" s="1"/>
    </row>
    <row r="57" spans="1:2" x14ac:dyDescent="0.25">
      <c r="A57" s="2"/>
      <c r="B57" s="1"/>
    </row>
    <row r="58" spans="1:2" x14ac:dyDescent="0.25">
      <c r="A58" s="2"/>
      <c r="B58" s="1"/>
    </row>
    <row r="59" spans="1:2" x14ac:dyDescent="0.25">
      <c r="A59" s="2"/>
      <c r="B59" s="1"/>
    </row>
    <row r="60" spans="1:2" x14ac:dyDescent="0.25">
      <c r="A60" s="2"/>
      <c r="B60" s="1"/>
    </row>
    <row r="61" spans="1:2" x14ac:dyDescent="0.25">
      <c r="A61" s="2"/>
      <c r="B61" s="1"/>
    </row>
    <row r="62" spans="1:2" x14ac:dyDescent="0.25">
      <c r="A62" s="2"/>
      <c r="B62" s="1"/>
    </row>
  </sheetData>
  <mergeCells count="2">
    <mergeCell ref="A6:A7"/>
    <mergeCell ref="C5:P5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tabSelected="1" zoomScale="70" zoomScaleNormal="70" workbookViewId="0">
      <selection activeCell="P13" sqref="P13"/>
    </sheetView>
  </sheetViews>
  <sheetFormatPr defaultRowHeight="15.75" x14ac:dyDescent="0.25"/>
  <cols>
    <col min="1" max="1" width="3" style="53" customWidth="1"/>
    <col min="2" max="2" width="41.5703125" style="53" customWidth="1"/>
    <col min="3" max="3" width="22.28515625" style="53" customWidth="1"/>
    <col min="4" max="16" width="19.85546875" style="53" customWidth="1"/>
    <col min="17" max="17" width="16.85546875" style="53" customWidth="1"/>
    <col min="18" max="20" width="13.7109375" style="53" customWidth="1"/>
    <col min="21" max="16384" width="9.140625" style="53"/>
  </cols>
  <sheetData>
    <row r="2" spans="2:17" x14ac:dyDescent="0.25">
      <c r="B2" s="52" t="s">
        <v>26</v>
      </c>
    </row>
    <row r="3" spans="2:17" x14ac:dyDescent="0.25">
      <c r="B3" s="54" t="s">
        <v>13</v>
      </c>
      <c r="C3" s="54" t="s">
        <v>56</v>
      </c>
      <c r="D3" s="54" t="s">
        <v>27</v>
      </c>
      <c r="E3" s="54" t="s">
        <v>28</v>
      </c>
      <c r="F3" s="54" t="s">
        <v>29</v>
      </c>
      <c r="G3" s="54" t="s">
        <v>30</v>
      </c>
      <c r="H3" s="54" t="s">
        <v>31</v>
      </c>
      <c r="I3" s="54" t="s">
        <v>32</v>
      </c>
      <c r="J3" s="54" t="s">
        <v>33</v>
      </c>
      <c r="K3" s="54" t="s">
        <v>34</v>
      </c>
      <c r="L3" s="54" t="s">
        <v>35</v>
      </c>
      <c r="M3" s="54" t="s">
        <v>36</v>
      </c>
      <c r="N3" s="54" t="s">
        <v>37</v>
      </c>
      <c r="O3" s="54" t="s">
        <v>38</v>
      </c>
      <c r="P3" s="55" t="s">
        <v>39</v>
      </c>
    </row>
    <row r="4" spans="2:17" x14ac:dyDescent="0.25">
      <c r="B4" s="56" t="s">
        <v>41</v>
      </c>
      <c r="C4" s="57" t="s">
        <v>40</v>
      </c>
      <c r="D4" s="58">
        <f t="shared" ref="D4:O4" si="0">SUM(D5:D5)</f>
        <v>552017</v>
      </c>
      <c r="E4" s="58">
        <f t="shared" si="0"/>
        <v>607871</v>
      </c>
      <c r="F4" s="58">
        <f t="shared" si="0"/>
        <v>579556</v>
      </c>
      <c r="G4" s="58">
        <f t="shared" si="0"/>
        <v>126306</v>
      </c>
      <c r="H4" s="58">
        <f t="shared" si="0"/>
        <v>539201</v>
      </c>
      <c r="I4" s="58">
        <f t="shared" si="0"/>
        <v>540839</v>
      </c>
      <c r="J4" s="58">
        <f t="shared" si="0"/>
        <v>417095</v>
      </c>
      <c r="K4" s="58">
        <f t="shared" si="0"/>
        <v>507744</v>
      </c>
      <c r="L4" s="58">
        <f t="shared" si="0"/>
        <v>590498</v>
      </c>
      <c r="M4" s="58">
        <f t="shared" si="0"/>
        <v>737663</v>
      </c>
      <c r="N4" s="58">
        <f t="shared" si="0"/>
        <v>728913</v>
      </c>
      <c r="O4" s="58">
        <f t="shared" si="0"/>
        <v>6608837</v>
      </c>
      <c r="P4" s="58">
        <f t="shared" ref="P4:P9" si="1">SUM(D4:O4)</f>
        <v>12536540</v>
      </c>
      <c r="Q4" s="53">
        <f>P4/(24*299)</f>
        <v>1747.0094760312152</v>
      </c>
    </row>
    <row r="5" spans="2:17" x14ac:dyDescent="0.25">
      <c r="B5" s="59" t="s">
        <v>76</v>
      </c>
      <c r="C5" s="57" t="s">
        <v>40</v>
      </c>
      <c r="D5" s="58">
        <v>552017</v>
      </c>
      <c r="E5" s="58">
        <v>607871</v>
      </c>
      <c r="F5" s="58">
        <v>579556</v>
      </c>
      <c r="G5" s="58">
        <v>126306</v>
      </c>
      <c r="H5" s="58">
        <v>539201</v>
      </c>
      <c r="I5" s="58">
        <v>540839</v>
      </c>
      <c r="J5" s="58">
        <v>417095</v>
      </c>
      <c r="K5" s="58">
        <v>507744</v>
      </c>
      <c r="L5" s="58">
        <v>590498</v>
      </c>
      <c r="M5" s="58">
        <v>737663</v>
      </c>
      <c r="N5" s="58">
        <v>728913</v>
      </c>
      <c r="O5" s="58">
        <v>6608837</v>
      </c>
      <c r="P5" s="58">
        <f t="shared" si="1"/>
        <v>12536540</v>
      </c>
    </row>
    <row r="6" spans="2:17" x14ac:dyDescent="0.25">
      <c r="B6" s="56" t="s">
        <v>43</v>
      </c>
      <c r="C6" s="57" t="s">
        <v>40</v>
      </c>
      <c r="D6" s="58">
        <v>254146</v>
      </c>
      <c r="E6" s="58">
        <v>280066</v>
      </c>
      <c r="F6" s="58">
        <v>251411</v>
      </c>
      <c r="G6" s="58">
        <v>85837</v>
      </c>
      <c r="H6" s="58">
        <v>273572</v>
      </c>
      <c r="I6" s="58">
        <v>255995</v>
      </c>
      <c r="J6" s="58">
        <v>253573</v>
      </c>
      <c r="K6" s="58">
        <v>248739</v>
      </c>
      <c r="L6" s="58">
        <v>308024</v>
      </c>
      <c r="M6" s="58">
        <v>358827</v>
      </c>
      <c r="N6" s="58">
        <v>317444</v>
      </c>
      <c r="O6" s="58">
        <v>3196580</v>
      </c>
      <c r="P6" s="58">
        <f t="shared" si="1"/>
        <v>6084214</v>
      </c>
    </row>
    <row r="7" spans="2:17" x14ac:dyDescent="0.25">
      <c r="B7" s="56" t="s">
        <v>44</v>
      </c>
      <c r="C7" s="57" t="s">
        <v>40</v>
      </c>
      <c r="D7" s="58">
        <v>0</v>
      </c>
      <c r="E7" s="58">
        <v>0</v>
      </c>
      <c r="F7" s="58">
        <v>37200</v>
      </c>
      <c r="G7" s="58">
        <v>31200</v>
      </c>
      <c r="H7" s="58">
        <v>37200</v>
      </c>
      <c r="I7" s="58">
        <v>36000</v>
      </c>
      <c r="J7" s="58">
        <v>37200</v>
      </c>
      <c r="K7" s="58">
        <v>37200</v>
      </c>
      <c r="L7" s="58">
        <v>36000</v>
      </c>
      <c r="M7" s="58">
        <v>37200</v>
      </c>
      <c r="N7" s="58">
        <v>54675</v>
      </c>
      <c r="O7" s="58">
        <v>381075</v>
      </c>
      <c r="P7" s="58">
        <f t="shared" si="1"/>
        <v>724950</v>
      </c>
    </row>
    <row r="8" spans="2:17" x14ac:dyDescent="0.25">
      <c r="B8" s="56" t="s">
        <v>45</v>
      </c>
      <c r="C8" s="57" t="s">
        <v>40</v>
      </c>
      <c r="D8" s="58">
        <v>58893</v>
      </c>
      <c r="E8" s="58">
        <v>69589</v>
      </c>
      <c r="F8" s="58">
        <v>66100</v>
      </c>
      <c r="G8" s="58">
        <v>48547</v>
      </c>
      <c r="H8" s="58">
        <v>64674</v>
      </c>
      <c r="I8" s="58">
        <v>61184</v>
      </c>
      <c r="J8" s="58">
        <v>59684</v>
      </c>
      <c r="K8" s="58">
        <v>56386</v>
      </c>
      <c r="L8" s="58">
        <v>55694</v>
      </c>
      <c r="M8" s="58">
        <v>72182</v>
      </c>
      <c r="N8" s="58">
        <v>66505</v>
      </c>
      <c r="O8" s="58">
        <v>751635.5</v>
      </c>
      <c r="P8" s="58">
        <f t="shared" si="1"/>
        <v>1431073.5</v>
      </c>
    </row>
    <row r="9" spans="2:17" x14ac:dyDescent="0.25">
      <c r="B9" s="56" t="s">
        <v>46</v>
      </c>
      <c r="C9" s="57" t="s">
        <v>40</v>
      </c>
      <c r="D9" s="58">
        <f t="shared" ref="D9:O9" si="2">D5-SUM(D6:D8)</f>
        <v>238978</v>
      </c>
      <c r="E9" s="58">
        <f t="shared" si="2"/>
        <v>258216</v>
      </c>
      <c r="F9" s="58">
        <f t="shared" si="2"/>
        <v>224845</v>
      </c>
      <c r="G9" s="58">
        <f t="shared" si="2"/>
        <v>-39278</v>
      </c>
      <c r="H9" s="58">
        <f t="shared" si="2"/>
        <v>163755</v>
      </c>
      <c r="I9" s="58">
        <f t="shared" si="2"/>
        <v>187660</v>
      </c>
      <c r="J9" s="58">
        <f t="shared" si="2"/>
        <v>66638</v>
      </c>
      <c r="K9" s="58">
        <f t="shared" si="2"/>
        <v>165419</v>
      </c>
      <c r="L9" s="58">
        <f t="shared" si="2"/>
        <v>190780</v>
      </c>
      <c r="M9" s="58">
        <f t="shared" si="2"/>
        <v>269454</v>
      </c>
      <c r="N9" s="58">
        <f t="shared" si="2"/>
        <v>290289</v>
      </c>
      <c r="O9" s="58">
        <f t="shared" si="2"/>
        <v>2279546.5</v>
      </c>
      <c r="P9" s="58">
        <f t="shared" si="1"/>
        <v>4296302.5</v>
      </c>
    </row>
    <row r="10" spans="2:17" x14ac:dyDescent="0.25">
      <c r="B10" s="60" t="s">
        <v>42</v>
      </c>
      <c r="C10" s="57" t="s">
        <v>40</v>
      </c>
      <c r="D10" s="61">
        <f t="shared" ref="D10:P10" si="3">SUM(D6:D9)</f>
        <v>552017</v>
      </c>
      <c r="E10" s="61">
        <f t="shared" si="3"/>
        <v>607871</v>
      </c>
      <c r="F10" s="61">
        <f t="shared" si="3"/>
        <v>579556</v>
      </c>
      <c r="G10" s="61">
        <f t="shared" si="3"/>
        <v>126306</v>
      </c>
      <c r="H10" s="61">
        <f t="shared" si="3"/>
        <v>539201</v>
      </c>
      <c r="I10" s="61">
        <f t="shared" si="3"/>
        <v>540839</v>
      </c>
      <c r="J10" s="61">
        <f t="shared" si="3"/>
        <v>417095</v>
      </c>
      <c r="K10" s="61">
        <f t="shared" si="3"/>
        <v>507744</v>
      </c>
      <c r="L10" s="61">
        <f t="shared" si="3"/>
        <v>590498</v>
      </c>
      <c r="M10" s="61">
        <f t="shared" si="3"/>
        <v>737663</v>
      </c>
      <c r="N10" s="61">
        <f t="shared" si="3"/>
        <v>728913</v>
      </c>
      <c r="O10" s="61">
        <f t="shared" si="3"/>
        <v>6608837</v>
      </c>
      <c r="P10" s="61">
        <f t="shared" si="3"/>
        <v>12536540</v>
      </c>
    </row>
    <row r="11" spans="2:17" x14ac:dyDescent="0.25">
      <c r="B11" s="62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2:17" x14ac:dyDescent="0.25">
      <c r="B12" s="62" t="s">
        <v>47</v>
      </c>
      <c r="C12" s="65"/>
    </row>
    <row r="13" spans="2:17" ht="31.5" x14ac:dyDescent="0.25">
      <c r="B13" s="66" t="s">
        <v>48</v>
      </c>
      <c r="C13" s="66" t="s">
        <v>49</v>
      </c>
      <c r="D13" s="66" t="s">
        <v>50</v>
      </c>
      <c r="E13" s="67" t="s">
        <v>77</v>
      </c>
    </row>
    <row r="14" spans="2:17" x14ac:dyDescent="0.25">
      <c r="B14" s="56" t="s">
        <v>51</v>
      </c>
      <c r="C14" s="61">
        <f>P4</f>
        <v>12536540</v>
      </c>
      <c r="D14" s="68">
        <f>C14/(12)</f>
        <v>1044711.6666666666</v>
      </c>
      <c r="E14" s="69"/>
    </row>
    <row r="15" spans="2:17" x14ac:dyDescent="0.25">
      <c r="B15" s="70" t="s">
        <v>52</v>
      </c>
      <c r="C15" s="71">
        <f>SUM(C14:C14)</f>
        <v>12536540</v>
      </c>
      <c r="D15" s="72">
        <f>D14</f>
        <v>1044711.6666666666</v>
      </c>
      <c r="E15" s="69" t="s">
        <v>78</v>
      </c>
    </row>
    <row r="16" spans="2:17" x14ac:dyDescent="0.25">
      <c r="E16" s="69"/>
    </row>
    <row r="17" spans="2:6" x14ac:dyDescent="0.25">
      <c r="B17" s="62" t="s">
        <v>53</v>
      </c>
      <c r="E17" s="69"/>
    </row>
    <row r="18" spans="2:6" x14ac:dyDescent="0.25">
      <c r="B18" s="55" t="s">
        <v>54</v>
      </c>
      <c r="C18" s="55" t="s">
        <v>55</v>
      </c>
      <c r="D18" s="55" t="s">
        <v>56</v>
      </c>
      <c r="E18" s="67" t="s">
        <v>77</v>
      </c>
    </row>
    <row r="19" spans="2:6" x14ac:dyDescent="0.25">
      <c r="B19" s="56" t="s">
        <v>57</v>
      </c>
      <c r="C19" s="73">
        <f>D15</f>
        <v>1044711.6666666666</v>
      </c>
      <c r="D19" s="74" t="s">
        <v>58</v>
      </c>
      <c r="E19" s="69" t="s">
        <v>79</v>
      </c>
    </row>
    <row r="20" spans="2:6" x14ac:dyDescent="0.25">
      <c r="B20" s="56" t="s">
        <v>59</v>
      </c>
      <c r="C20" s="73">
        <v>1114.74</v>
      </c>
      <c r="D20" s="74" t="s">
        <v>60</v>
      </c>
      <c r="E20" s="75" t="s">
        <v>61</v>
      </c>
    </row>
    <row r="21" spans="2:6" x14ac:dyDescent="0.25">
      <c r="B21" s="56" t="s">
        <v>62</v>
      </c>
      <c r="C21" s="74">
        <v>12</v>
      </c>
      <c r="D21" s="74" t="s">
        <v>63</v>
      </c>
      <c r="E21" s="69"/>
      <c r="F21" s="76"/>
    </row>
    <row r="22" spans="2:6" x14ac:dyDescent="0.25">
      <c r="B22" s="77" t="s">
        <v>39</v>
      </c>
      <c r="C22" s="78">
        <f>C19*C20*C21</f>
        <v>13974982599.599998</v>
      </c>
      <c r="D22" s="79" t="s">
        <v>64</v>
      </c>
      <c r="E22" s="69" t="s">
        <v>80</v>
      </c>
    </row>
    <row r="23" spans="2:6" x14ac:dyDescent="0.25">
      <c r="B23" s="80"/>
      <c r="C23" s="80"/>
      <c r="D23" s="81"/>
      <c r="E23" s="82"/>
    </row>
  </sheetData>
  <hyperlinks>
    <hyperlink ref="E2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zoomScale="70" zoomScaleNormal="70" workbookViewId="0">
      <selection activeCell="B6" sqref="B6:N6"/>
    </sheetView>
  </sheetViews>
  <sheetFormatPr defaultRowHeight="15.75" x14ac:dyDescent="0.25"/>
  <cols>
    <col min="1" max="14" width="18.7109375" style="53" customWidth="1"/>
    <col min="15" max="16" width="15.7109375" style="53" customWidth="1"/>
    <col min="17" max="16384" width="9.140625" style="53"/>
  </cols>
  <sheetData>
    <row r="2" spans="1:14" ht="16.5" thickBot="1" x14ac:dyDescent="0.3">
      <c r="A2" s="52" t="s">
        <v>65</v>
      </c>
    </row>
    <row r="3" spans="1:14" x14ac:dyDescent="0.25">
      <c r="A3" s="83" t="s">
        <v>66</v>
      </c>
      <c r="B3" s="84">
        <v>2018</v>
      </c>
      <c r="C3" s="84">
        <v>2019</v>
      </c>
      <c r="D3" s="84">
        <v>2020</v>
      </c>
      <c r="E3" s="84">
        <v>2021</v>
      </c>
      <c r="F3" s="84">
        <v>2022</v>
      </c>
      <c r="G3" s="84">
        <v>2023</v>
      </c>
      <c r="H3" s="84">
        <v>2024</v>
      </c>
      <c r="I3" s="84">
        <v>2025</v>
      </c>
      <c r="J3" s="84">
        <v>2026</v>
      </c>
      <c r="K3" s="84">
        <v>2027</v>
      </c>
      <c r="L3" s="84">
        <v>2028</v>
      </c>
      <c r="M3" s="84">
        <v>2029</v>
      </c>
      <c r="N3" s="85">
        <v>2030</v>
      </c>
    </row>
    <row r="4" spans="1:14" x14ac:dyDescent="0.25">
      <c r="A4" s="86" t="s">
        <v>67</v>
      </c>
      <c r="B4" s="87">
        <v>32202.685375450499</v>
      </c>
      <c r="C4" s="87">
        <v>30664.756413841544</v>
      </c>
      <c r="D4" s="87">
        <v>29485.717979891582</v>
      </c>
      <c r="E4" s="88">
        <v>29567.269014723555</v>
      </c>
      <c r="F4" s="88">
        <v>29649.482865704842</v>
      </c>
      <c r="G4" s="88">
        <v>29732.372771413793</v>
      </c>
      <c r="H4" s="88">
        <v>29815.944291132593</v>
      </c>
      <c r="I4" s="88">
        <v>29900.203029858043</v>
      </c>
      <c r="J4" s="88">
        <v>29985.154638677574</v>
      </c>
      <c r="K4" s="88">
        <v>30070.804815148167</v>
      </c>
      <c r="L4" s="88">
        <v>30157.159303678582</v>
      </c>
      <c r="M4" s="88">
        <v>30244.223895914511</v>
      </c>
      <c r="N4" s="89">
        <v>30332.004431127101</v>
      </c>
    </row>
    <row r="5" spans="1:14" x14ac:dyDescent="0.25">
      <c r="A5" s="86" t="s">
        <v>81</v>
      </c>
      <c r="B5" s="87">
        <f>B4*0.17*$B$9</f>
        <v>94030852.673874438</v>
      </c>
      <c r="C5" s="87">
        <f t="shared" ref="C5:N5" si="0">C4*0.17*$B$9</f>
        <v>89540147.32039541</v>
      </c>
      <c r="D5" s="87">
        <f t="shared" si="0"/>
        <v>86097391.289741442</v>
      </c>
      <c r="E5" s="87">
        <f t="shared" si="0"/>
        <v>86335517.807834044</v>
      </c>
      <c r="F5" s="87">
        <f t="shared" si="0"/>
        <v>86575579.728734165</v>
      </c>
      <c r="G5" s="87">
        <f t="shared" si="0"/>
        <v>86817615.708684191</v>
      </c>
      <c r="H5" s="87">
        <f t="shared" si="0"/>
        <v>87061641.980617449</v>
      </c>
      <c r="I5" s="87">
        <f t="shared" si="0"/>
        <v>87307674.910952479</v>
      </c>
      <c r="J5" s="87">
        <f t="shared" si="0"/>
        <v>87555731.000691116</v>
      </c>
      <c r="K5" s="87">
        <f t="shared" si="0"/>
        <v>87805826.886524826</v>
      </c>
      <c r="L5" s="87">
        <f t="shared" si="0"/>
        <v>88057979.341950849</v>
      </c>
      <c r="M5" s="87">
        <f t="shared" si="0"/>
        <v>88312205.278396785</v>
      </c>
      <c r="N5" s="87">
        <f t="shared" si="0"/>
        <v>88568521.746355116</v>
      </c>
    </row>
    <row r="6" spans="1:14" ht="16.5" thickBot="1" x14ac:dyDescent="0.3">
      <c r="A6" s="90" t="s">
        <v>82</v>
      </c>
      <c r="B6" s="91">
        <f>B4*0.43*$B$9</f>
        <v>237842744.99862358</v>
      </c>
      <c r="C6" s="91">
        <f t="shared" ref="C6:N6" si="1">C4*0.43*$B$9</f>
        <v>226483902.04570603</v>
      </c>
      <c r="D6" s="91">
        <f t="shared" si="1"/>
        <v>217775754.43875778</v>
      </c>
      <c r="E6" s="91">
        <f t="shared" si="1"/>
        <v>218378074.4551096</v>
      </c>
      <c r="F6" s="91">
        <f t="shared" si="1"/>
        <v>218985289.90209231</v>
      </c>
      <c r="G6" s="91">
        <f t="shared" si="1"/>
        <v>219597498.55726004</v>
      </c>
      <c r="H6" s="91">
        <f t="shared" si="1"/>
        <v>220214741.48038527</v>
      </c>
      <c r="I6" s="91">
        <f t="shared" si="1"/>
        <v>220837060.06887978</v>
      </c>
      <c r="J6" s="91">
        <f t="shared" si="1"/>
        <v>221464496.06057164</v>
      </c>
      <c r="K6" s="91">
        <f t="shared" si="1"/>
        <v>222097091.53650397</v>
      </c>
      <c r="L6" s="91">
        <f t="shared" si="1"/>
        <v>222734888.92375803</v>
      </c>
      <c r="M6" s="91">
        <f t="shared" si="1"/>
        <v>223377930.99829769</v>
      </c>
      <c r="N6" s="91">
        <f t="shared" si="1"/>
        <v>224026260.88783938</v>
      </c>
    </row>
    <row r="7" spans="1:14" x14ac:dyDescent="0.25">
      <c r="A7" s="65"/>
    </row>
    <row r="8" spans="1:14" x14ac:dyDescent="0.25">
      <c r="A8" s="52" t="s">
        <v>83</v>
      </c>
      <c r="B8" s="53" t="s">
        <v>68</v>
      </c>
    </row>
    <row r="9" spans="1:14" x14ac:dyDescent="0.25">
      <c r="A9" s="65"/>
      <c r="B9" s="119">
        <v>17176.29</v>
      </c>
    </row>
    <row r="10" spans="1:14" x14ac:dyDescent="0.25">
      <c r="A10" s="65"/>
    </row>
    <row r="11" spans="1:14" x14ac:dyDescent="0.25">
      <c r="A11" s="65"/>
      <c r="F11" s="92"/>
    </row>
    <row r="12" spans="1:14" x14ac:dyDescent="0.25">
      <c r="A12" s="65"/>
      <c r="F12" s="92"/>
    </row>
    <row r="13" spans="1:14" x14ac:dyDescent="0.25">
      <c r="A13" s="65"/>
      <c r="F13" s="92"/>
    </row>
    <row r="14" spans="1:14" x14ac:dyDescent="0.25">
      <c r="C14" s="93"/>
      <c r="F14" s="92"/>
    </row>
    <row r="15" spans="1:14" x14ac:dyDescent="0.25">
      <c r="F15" s="92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"/>
  <sheetViews>
    <sheetView workbookViewId="0">
      <selection activeCell="H6" sqref="H6"/>
    </sheetView>
  </sheetViews>
  <sheetFormatPr defaultRowHeight="15.75" x14ac:dyDescent="0.25"/>
  <cols>
    <col min="1" max="1" width="3.42578125" style="94" customWidth="1"/>
    <col min="2" max="2" width="27.42578125" style="94" customWidth="1"/>
    <col min="3" max="5" width="20.7109375" style="94" customWidth="1"/>
    <col min="6" max="16384" width="9.140625" style="94"/>
  </cols>
  <sheetData>
    <row r="2" spans="2:5" ht="16.5" thickBot="1" x14ac:dyDescent="0.3">
      <c r="B2" s="52" t="s">
        <v>69</v>
      </c>
    </row>
    <row r="3" spans="2:5" x14ac:dyDescent="0.25">
      <c r="B3" s="95" t="s">
        <v>13</v>
      </c>
      <c r="C3" s="96" t="s">
        <v>8</v>
      </c>
      <c r="D3" s="96" t="s">
        <v>70</v>
      </c>
      <c r="E3" s="97" t="s">
        <v>10</v>
      </c>
    </row>
    <row r="4" spans="2:5" x14ac:dyDescent="0.25">
      <c r="B4" s="98" t="str">
        <f>'[1]Alternatif 1'!C2</f>
        <v>Alternatif 1 (CER = €0.17)</v>
      </c>
      <c r="C4" s="73">
        <f>'Alternatif 1 (CER = 0.17)'!C25</f>
        <v>18554145249.438667</v>
      </c>
      <c r="D4" s="115">
        <f>'Alternatif 1 (CER = 0.17)'!C31</f>
        <v>1.1938358614190976</v>
      </c>
      <c r="E4" s="117">
        <f>'Alternatif 1 (CER = 0.17)'!C32</f>
        <v>0.11461762498416683</v>
      </c>
    </row>
    <row r="5" spans="2:5" ht="16.5" thickBot="1" x14ac:dyDescent="0.3">
      <c r="B5" s="99" t="str">
        <f>'[1]Alternatif 2'!C2</f>
        <v>Alternatif 2 (CER = €0.43)</v>
      </c>
      <c r="C5" s="100">
        <f>'Alternatif 2 (CER = 0.43)'!C25</f>
        <v>19650091322.853207</v>
      </c>
      <c r="D5" s="116">
        <f>'Alternatif 2 (CER = 0.43)'!C31</f>
        <v>1.2052852517495745</v>
      </c>
      <c r="E5" s="118">
        <f>'Alternatif 2 (CER = 0.43)'!C32</f>
        <v>0.1168577134334261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Alternatif 1 (CER = 0.17)</vt:lpstr>
      <vt:lpstr>Alternatif 2 (CER = 0.43)</vt:lpstr>
      <vt:lpstr>Penghematan Listrik</vt:lpstr>
      <vt:lpstr>Penjualan Karbon</vt:lpstr>
      <vt:lpstr>Kesimpulan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dcterms:created xsi:type="dcterms:W3CDTF">2021-02-03T16:44:16Z</dcterms:created>
  <dcterms:modified xsi:type="dcterms:W3CDTF">2021-06-01T14:33:42Z</dcterms:modified>
</cp:coreProperties>
</file>