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dang\"/>
    </mc:Choice>
  </mc:AlternateContent>
  <bookViews>
    <workbookView xWindow="0" yWindow="0" windowWidth="15345" windowHeight="3975" firstSheet="7" activeTab="11"/>
  </bookViews>
  <sheets>
    <sheet name="Ringkasan" sheetId="22" r:id="rId1"/>
    <sheet name="Volume POME" sheetId="3" r:id="rId2"/>
    <sheet name="COD" sheetId="1" r:id="rId3"/>
    <sheet name="Em" sheetId="8" r:id="rId4"/>
    <sheet name="Flare" sheetId="17" r:id="rId5"/>
    <sheet name=" ER Tanpa skenario" sheetId="29" r:id="rId6"/>
    <sheet name="Em. POME naik" sheetId="25" r:id="rId7"/>
    <sheet name="Flare POME naik" sheetId="26" r:id="rId8"/>
    <sheet name="Em. POME turun" sheetId="27" r:id="rId9"/>
    <sheet name="Flare POME turun" sheetId="28" r:id="rId10"/>
    <sheet name=" ER POME naik" sheetId="11" r:id="rId11"/>
    <sheet name=" ER POME turun" sheetId="21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2" l="1"/>
  <c r="C8" i="22"/>
  <c r="C27" i="21" l="1"/>
  <c r="C27" i="11"/>
  <c r="C28" i="29"/>
  <c r="C29" i="29"/>
  <c r="C30" i="29"/>
  <c r="C31" i="29"/>
  <c r="C32" i="29"/>
  <c r="C33" i="29"/>
  <c r="C34" i="29"/>
  <c r="C35" i="29"/>
  <c r="C36" i="29"/>
  <c r="C37" i="29"/>
  <c r="C27" i="29"/>
  <c r="H27" i="29" l="1"/>
  <c r="I27" i="29" s="1"/>
  <c r="G27" i="29"/>
  <c r="F27" i="29"/>
  <c r="D27" i="29"/>
  <c r="E27" i="29" s="1"/>
  <c r="H26" i="29"/>
  <c r="I26" i="29" s="1"/>
  <c r="J26" i="29" s="1"/>
  <c r="G26" i="29"/>
  <c r="F26" i="29"/>
  <c r="D26" i="29"/>
  <c r="E26" i="29" s="1"/>
  <c r="H25" i="29"/>
  <c r="I25" i="29" s="1"/>
  <c r="G25" i="29"/>
  <c r="F25" i="29"/>
  <c r="D25" i="29"/>
  <c r="E25" i="29" s="1"/>
  <c r="H24" i="29"/>
  <c r="I24" i="29" s="1"/>
  <c r="J24" i="29" s="1"/>
  <c r="G24" i="29"/>
  <c r="F24" i="29"/>
  <c r="D24" i="29"/>
  <c r="E24" i="29" s="1"/>
  <c r="H23" i="29"/>
  <c r="G23" i="29"/>
  <c r="F23" i="29"/>
  <c r="D23" i="29"/>
  <c r="E23" i="29" s="1"/>
  <c r="K24" i="29" l="1"/>
  <c r="L24" i="29" s="1"/>
  <c r="M24" i="29" s="1"/>
  <c r="K26" i="29"/>
  <c r="L26" i="29" s="1"/>
  <c r="M26" i="29" s="1"/>
  <c r="H28" i="29"/>
  <c r="D28" i="29"/>
  <c r="E28" i="29" s="1"/>
  <c r="F28" i="29"/>
  <c r="G28" i="29"/>
  <c r="I23" i="29"/>
  <c r="J23" i="29" s="1"/>
  <c r="K23" i="29" s="1"/>
  <c r="L23" i="29" s="1"/>
  <c r="M23" i="29" s="1"/>
  <c r="J25" i="29"/>
  <c r="K25" i="29" s="1"/>
  <c r="L25" i="29" s="1"/>
  <c r="M25" i="29" s="1"/>
  <c r="J27" i="29"/>
  <c r="K27" i="29" s="1"/>
  <c r="L27" i="29" s="1"/>
  <c r="M27" i="29" s="1"/>
  <c r="G6" i="28"/>
  <c r="G6" i="26"/>
  <c r="G29" i="28"/>
  <c r="F29" i="28"/>
  <c r="D29" i="28"/>
  <c r="C29" i="28"/>
  <c r="B29" i="28"/>
  <c r="E20" i="28"/>
  <c r="E19" i="28"/>
  <c r="E23" i="28" s="1"/>
  <c r="E10" i="28"/>
  <c r="E9" i="28"/>
  <c r="E8" i="28"/>
  <c r="E7" i="28"/>
  <c r="G54" i="27"/>
  <c r="F54" i="27"/>
  <c r="D54" i="27"/>
  <c r="C54" i="27"/>
  <c r="B54" i="27"/>
  <c r="G53" i="27"/>
  <c r="F53" i="27"/>
  <c r="D53" i="27"/>
  <c r="C53" i="27"/>
  <c r="B53" i="27"/>
  <c r="G52" i="27"/>
  <c r="F52" i="27"/>
  <c r="D52" i="27"/>
  <c r="C52" i="27"/>
  <c r="B52" i="27"/>
  <c r="G51" i="27"/>
  <c r="F51" i="27"/>
  <c r="D51" i="27"/>
  <c r="C51" i="27"/>
  <c r="B51" i="27"/>
  <c r="G36" i="27"/>
  <c r="E36" i="27"/>
  <c r="E35" i="27"/>
  <c r="G34" i="27"/>
  <c r="E34" i="27"/>
  <c r="G33" i="27"/>
  <c r="E33" i="27"/>
  <c r="G32" i="27"/>
  <c r="E25" i="27"/>
  <c r="E37" i="27" s="1"/>
  <c r="E43" i="27" s="1"/>
  <c r="G23" i="27"/>
  <c r="E23" i="27"/>
  <c r="G22" i="27"/>
  <c r="E22" i="27"/>
  <c r="E21" i="27"/>
  <c r="E20" i="27"/>
  <c r="G19" i="27"/>
  <c r="E9" i="27"/>
  <c r="E8" i="27"/>
  <c r="G29" i="26"/>
  <c r="F29" i="26"/>
  <c r="D29" i="26"/>
  <c r="C29" i="26"/>
  <c r="B29" i="26"/>
  <c r="E20" i="26"/>
  <c r="E19" i="26"/>
  <c r="E23" i="26" s="1"/>
  <c r="E10" i="26"/>
  <c r="E9" i="26"/>
  <c r="E8" i="26"/>
  <c r="E7" i="26"/>
  <c r="G54" i="25"/>
  <c r="F54" i="25"/>
  <c r="D54" i="25"/>
  <c r="C54" i="25"/>
  <c r="B54" i="25"/>
  <c r="G53" i="25"/>
  <c r="F53" i="25"/>
  <c r="D53" i="25"/>
  <c r="C53" i="25"/>
  <c r="B53" i="25"/>
  <c r="G52" i="25"/>
  <c r="F52" i="25"/>
  <c r="D52" i="25"/>
  <c r="C52" i="25"/>
  <c r="B52" i="25"/>
  <c r="G51" i="25"/>
  <c r="F51" i="25"/>
  <c r="D51" i="25"/>
  <c r="C51" i="25"/>
  <c r="B51" i="25"/>
  <c r="E37" i="25"/>
  <c r="E43" i="25" s="1"/>
  <c r="G36" i="25"/>
  <c r="E35" i="25"/>
  <c r="G34" i="25"/>
  <c r="E34" i="25"/>
  <c r="G32" i="25"/>
  <c r="E25" i="25"/>
  <c r="G23" i="25"/>
  <c r="G33" i="25" s="1"/>
  <c r="E23" i="25"/>
  <c r="E33" i="25" s="1"/>
  <c r="G22" i="25"/>
  <c r="E22" i="25"/>
  <c r="E36" i="25" s="1"/>
  <c r="E21" i="25"/>
  <c r="E20" i="25"/>
  <c r="G19" i="25"/>
  <c r="E9" i="25"/>
  <c r="E8" i="25"/>
  <c r="I28" i="29" l="1"/>
  <c r="J28" i="29" s="1"/>
  <c r="K28" i="29" s="1"/>
  <c r="L28" i="29" s="1"/>
  <c r="M28" i="29" s="1"/>
  <c r="G29" i="29"/>
  <c r="H29" i="29"/>
  <c r="D29" i="29"/>
  <c r="E29" i="29" s="1"/>
  <c r="F29" i="29"/>
  <c r="F30" i="29" l="1"/>
  <c r="D30" i="29"/>
  <c r="E30" i="29" s="1"/>
  <c r="G30" i="29"/>
  <c r="H30" i="29"/>
  <c r="I29" i="29"/>
  <c r="J29" i="29" s="1"/>
  <c r="K29" i="29" s="1"/>
  <c r="L29" i="29" s="1"/>
  <c r="M29" i="29" s="1"/>
  <c r="I30" i="29" l="1"/>
  <c r="J30" i="29" s="1"/>
  <c r="K30" i="29" s="1"/>
  <c r="L30" i="29" s="1"/>
  <c r="M30" i="29" s="1"/>
  <c r="G31" i="29"/>
  <c r="D31" i="29"/>
  <c r="E31" i="29" s="1"/>
  <c r="F31" i="29"/>
  <c r="H31" i="29"/>
  <c r="F4" i="22"/>
  <c r="E4" i="22"/>
  <c r="D4" i="22"/>
  <c r="C4" i="22"/>
  <c r="I31" i="29" l="1"/>
  <c r="J31" i="29" s="1"/>
  <c r="K31" i="29" s="1"/>
  <c r="L31" i="29" s="1"/>
  <c r="M31" i="29" s="1"/>
  <c r="H32" i="29"/>
  <c r="D32" i="29"/>
  <c r="E32" i="29" s="1"/>
  <c r="G32" i="29"/>
  <c r="F32" i="29"/>
  <c r="J23" i="11"/>
  <c r="I32" i="29" l="1"/>
  <c r="J32" i="29" s="1"/>
  <c r="K32" i="29" s="1"/>
  <c r="L32" i="29" s="1"/>
  <c r="M32" i="29" s="1"/>
  <c r="G33" i="29"/>
  <c r="H33" i="29"/>
  <c r="D33" i="29"/>
  <c r="E33" i="29" s="1"/>
  <c r="F33" i="29"/>
  <c r="D23" i="11"/>
  <c r="F34" i="29" l="1"/>
  <c r="D34" i="29"/>
  <c r="E34" i="29" s="1"/>
  <c r="G34" i="29"/>
  <c r="H34" i="29"/>
  <c r="I33" i="29"/>
  <c r="J33" i="29" s="1"/>
  <c r="K33" i="29" s="1"/>
  <c r="L33" i="29" s="1"/>
  <c r="M33" i="29" s="1"/>
  <c r="G23" i="21"/>
  <c r="H23" i="21"/>
  <c r="G24" i="21"/>
  <c r="H24" i="21"/>
  <c r="I24" i="21" s="1"/>
  <c r="G25" i="21"/>
  <c r="H25" i="21"/>
  <c r="I25" i="21" s="1"/>
  <c r="G26" i="21"/>
  <c r="H26" i="21"/>
  <c r="I26" i="21" s="1"/>
  <c r="J26" i="21" s="1"/>
  <c r="K26" i="21" s="1"/>
  <c r="G27" i="21"/>
  <c r="H27" i="21"/>
  <c r="I27" i="21" s="1"/>
  <c r="J27" i="21" s="1"/>
  <c r="F23" i="21"/>
  <c r="F24" i="21"/>
  <c r="F25" i="21"/>
  <c r="F26" i="21"/>
  <c r="F27" i="21"/>
  <c r="E24" i="21"/>
  <c r="D23" i="21"/>
  <c r="E23" i="21" s="1"/>
  <c r="D24" i="21"/>
  <c r="D25" i="21"/>
  <c r="E25" i="21" s="1"/>
  <c r="D26" i="21"/>
  <c r="E26" i="21" s="1"/>
  <c r="D27" i="21"/>
  <c r="E27" i="21" s="1"/>
  <c r="I25" i="11"/>
  <c r="H23" i="11"/>
  <c r="H24" i="11"/>
  <c r="H25" i="11"/>
  <c r="J25" i="11" s="1"/>
  <c r="H26" i="11"/>
  <c r="I26" i="11" s="1"/>
  <c r="J26" i="11" s="1"/>
  <c r="H27" i="11"/>
  <c r="G23" i="11"/>
  <c r="G24" i="11"/>
  <c r="G25" i="11"/>
  <c r="G26" i="11"/>
  <c r="G27" i="11"/>
  <c r="F23" i="11"/>
  <c r="F24" i="11"/>
  <c r="F25" i="11"/>
  <c r="F26" i="11"/>
  <c r="F27" i="11"/>
  <c r="E23" i="11"/>
  <c r="D24" i="11"/>
  <c r="E24" i="11" s="1"/>
  <c r="D25" i="11"/>
  <c r="E25" i="11" s="1"/>
  <c r="D26" i="11"/>
  <c r="E26" i="11" s="1"/>
  <c r="D27" i="11"/>
  <c r="E27" i="11" s="1"/>
  <c r="I34" i="29" l="1"/>
  <c r="J34" i="29" s="1"/>
  <c r="K34" i="29" s="1"/>
  <c r="L34" i="29" s="1"/>
  <c r="M34" i="29" s="1"/>
  <c r="G35" i="29"/>
  <c r="H35" i="29"/>
  <c r="F35" i="29"/>
  <c r="D35" i="29"/>
  <c r="E35" i="29" s="1"/>
  <c r="K26" i="11"/>
  <c r="L26" i="11" s="1"/>
  <c r="M26" i="11" s="1"/>
  <c r="K25" i="11"/>
  <c r="L25" i="11" s="1"/>
  <c r="M25" i="11" s="1"/>
  <c r="J27" i="11"/>
  <c r="K27" i="11" s="1"/>
  <c r="L27" i="11" s="1"/>
  <c r="M27" i="11" s="1"/>
  <c r="I24" i="11"/>
  <c r="J24" i="11" s="1"/>
  <c r="K24" i="11" s="1"/>
  <c r="L24" i="11" s="1"/>
  <c r="M24" i="11" s="1"/>
  <c r="I27" i="11"/>
  <c r="I23" i="11"/>
  <c r="K23" i="11" s="1"/>
  <c r="L23" i="11" s="1"/>
  <c r="M23" i="11" s="1"/>
  <c r="L26" i="21"/>
  <c r="M26" i="21" s="1"/>
  <c r="K27" i="21"/>
  <c r="L27" i="21" s="1"/>
  <c r="M27" i="21" s="1"/>
  <c r="I23" i="21"/>
  <c r="J23" i="21" s="1"/>
  <c r="J24" i="21"/>
  <c r="K24" i="21" s="1"/>
  <c r="L24" i="21" s="1"/>
  <c r="M24" i="21" s="1"/>
  <c r="J25" i="21"/>
  <c r="K25" i="21" s="1"/>
  <c r="L25" i="21" s="1"/>
  <c r="M25" i="21" s="1"/>
  <c r="G17" i="3"/>
  <c r="G16" i="3"/>
  <c r="G15" i="3"/>
  <c r="G14" i="3"/>
  <c r="G18" i="3" s="1"/>
  <c r="C19" i="21" s="1"/>
  <c r="H36" i="29" l="1"/>
  <c r="D36" i="29"/>
  <c r="E36" i="29" s="1"/>
  <c r="G36" i="29"/>
  <c r="F36" i="29"/>
  <c r="I35" i="29"/>
  <c r="J35" i="29" s="1"/>
  <c r="K35" i="29" s="1"/>
  <c r="L35" i="29" s="1"/>
  <c r="M35" i="29" s="1"/>
  <c r="K23" i="21"/>
  <c r="L23" i="21" s="1"/>
  <c r="M23" i="21" s="1"/>
  <c r="I36" i="29" l="1"/>
  <c r="J36" i="29" s="1"/>
  <c r="K36" i="29" s="1"/>
  <c r="L36" i="29" s="1"/>
  <c r="M36" i="29" s="1"/>
  <c r="G37" i="29"/>
  <c r="H37" i="29"/>
  <c r="D37" i="29"/>
  <c r="E37" i="29" s="1"/>
  <c r="F37" i="29"/>
  <c r="G9" i="3"/>
  <c r="G8" i="3"/>
  <c r="G7" i="3"/>
  <c r="G6" i="3"/>
  <c r="G10" i="3" s="1"/>
  <c r="C19" i="11" l="1"/>
  <c r="C19" i="29"/>
  <c r="I37" i="29"/>
  <c r="J37" i="29" s="1"/>
  <c r="K37" i="29" s="1"/>
  <c r="L37" i="29" s="1"/>
  <c r="M37" i="29" s="1"/>
  <c r="E20" i="17"/>
  <c r="C29" i="17" l="1"/>
  <c r="D29" i="17"/>
  <c r="F29" i="17"/>
  <c r="G29" i="17"/>
  <c r="B29" i="17"/>
  <c r="E19" i="17"/>
  <c r="E23" i="17" s="1"/>
  <c r="C18" i="1" l="1"/>
  <c r="G54" i="8" l="1"/>
  <c r="F54" i="8"/>
  <c r="D54" i="8"/>
  <c r="C54" i="8"/>
  <c r="B54" i="8"/>
  <c r="G53" i="8"/>
  <c r="F53" i="8"/>
  <c r="D53" i="8"/>
  <c r="C53" i="8"/>
  <c r="B53" i="8"/>
  <c r="G52" i="8"/>
  <c r="F52" i="8"/>
  <c r="D52" i="8"/>
  <c r="C52" i="8"/>
  <c r="B52" i="8"/>
  <c r="G51" i="8"/>
  <c r="F51" i="8"/>
  <c r="D51" i="8"/>
  <c r="C51" i="8"/>
  <c r="B51" i="8"/>
  <c r="G36" i="8"/>
  <c r="G34" i="8"/>
  <c r="E34" i="8"/>
  <c r="E8" i="17" s="1"/>
  <c r="G32" i="8"/>
  <c r="E25" i="8"/>
  <c r="E37" i="8" s="1"/>
  <c r="E43" i="8" s="1"/>
  <c r="G23" i="8"/>
  <c r="G33" i="8" s="1"/>
  <c r="E23" i="8"/>
  <c r="E33" i="8" s="1"/>
  <c r="E7" i="17" s="1"/>
  <c r="G22" i="8"/>
  <c r="E22" i="8"/>
  <c r="E36" i="8" s="1"/>
  <c r="E10" i="17" s="1"/>
  <c r="G19" i="8"/>
  <c r="B43" i="1"/>
  <c r="C18" i="3" l="1"/>
  <c r="C18" i="29" l="1"/>
  <c r="E7" i="27"/>
  <c r="E7" i="25"/>
  <c r="C18" i="21"/>
  <c r="C28" i="21" s="1"/>
  <c r="C18" i="11"/>
  <c r="C28" i="11" s="1"/>
  <c r="E6" i="17"/>
  <c r="E7" i="8"/>
  <c r="E19" i="8"/>
  <c r="E32" i="8"/>
  <c r="B44" i="1"/>
  <c r="B32" i="1"/>
  <c r="B33" i="1" s="1"/>
  <c r="E20" i="8" s="1"/>
  <c r="B18" i="1"/>
  <c r="B23" i="1" s="1"/>
  <c r="B24" i="1" s="1"/>
  <c r="D18" i="1"/>
  <c r="B25" i="1" s="1"/>
  <c r="B26" i="1" s="1"/>
  <c r="E19" i="27" l="1"/>
  <c r="E26" i="27" s="1"/>
  <c r="E52" i="27" s="1"/>
  <c r="E6" i="28"/>
  <c r="E11" i="28" s="1"/>
  <c r="E14" i="27"/>
  <c r="E51" i="27" s="1"/>
  <c r="E32" i="27"/>
  <c r="E38" i="27" s="1"/>
  <c r="E53" i="27" s="1"/>
  <c r="E6" i="26"/>
  <c r="E11" i="26" s="1"/>
  <c r="E32" i="25"/>
  <c r="E38" i="25" s="1"/>
  <c r="E53" i="25" s="1"/>
  <c r="E19" i="25"/>
  <c r="E26" i="25" s="1"/>
  <c r="E52" i="25" s="1"/>
  <c r="E14" i="25"/>
  <c r="E51" i="25" s="1"/>
  <c r="C29" i="11"/>
  <c r="G28" i="11"/>
  <c r="E5" i="22" s="1"/>
  <c r="F28" i="11"/>
  <c r="D5" i="22" s="1"/>
  <c r="H28" i="11"/>
  <c r="D28" i="11"/>
  <c r="D28" i="21"/>
  <c r="G28" i="21"/>
  <c r="E6" i="22" s="1"/>
  <c r="H28" i="21"/>
  <c r="C29" i="21"/>
  <c r="F28" i="21"/>
  <c r="D6" i="22" s="1"/>
  <c r="E8" i="8"/>
  <c r="B28" i="1"/>
  <c r="B27" i="1"/>
  <c r="E9" i="8" s="1"/>
  <c r="B41" i="1"/>
  <c r="B42" i="1" s="1"/>
  <c r="B46" i="1" s="1"/>
  <c r="E35" i="8" s="1"/>
  <c r="B34" i="1"/>
  <c r="B35" i="1" s="1"/>
  <c r="E29" i="28" l="1"/>
  <c r="E30" i="28" s="1"/>
  <c r="E44" i="27"/>
  <c r="E46" i="27" s="1"/>
  <c r="E54" i="27" s="1"/>
  <c r="E55" i="27" s="1"/>
  <c r="E56" i="27"/>
  <c r="H6" i="22" s="1"/>
  <c r="E29" i="26"/>
  <c r="E30" i="26" s="1"/>
  <c r="E44" i="25" s="1"/>
  <c r="E46" i="25" s="1"/>
  <c r="E54" i="25" s="1"/>
  <c r="I28" i="11"/>
  <c r="J24" i="17" s="1"/>
  <c r="J28" i="11"/>
  <c r="E28" i="21"/>
  <c r="C6" i="22"/>
  <c r="I28" i="21"/>
  <c r="J28" i="21"/>
  <c r="D29" i="21"/>
  <c r="E29" i="21" s="1"/>
  <c r="H29" i="21"/>
  <c r="I29" i="21" s="1"/>
  <c r="J29" i="21" s="1"/>
  <c r="F29" i="21"/>
  <c r="C30" i="21"/>
  <c r="G29" i="21"/>
  <c r="C5" i="22"/>
  <c r="E28" i="11"/>
  <c r="H29" i="11"/>
  <c r="I29" i="11" s="1"/>
  <c r="J29" i="11" s="1"/>
  <c r="C30" i="11"/>
  <c r="D29" i="11"/>
  <c r="E29" i="11" s="1"/>
  <c r="G29" i="11"/>
  <c r="F29" i="11"/>
  <c r="K29" i="11" s="1"/>
  <c r="L29" i="11" s="1"/>
  <c r="M29" i="11" s="1"/>
  <c r="E38" i="8"/>
  <c r="E53" i="8" s="1"/>
  <c r="E9" i="17"/>
  <c r="E11" i="17" s="1"/>
  <c r="B36" i="1"/>
  <c r="E21" i="8" s="1"/>
  <c r="B37" i="1"/>
  <c r="B45" i="1"/>
  <c r="E14" i="8"/>
  <c r="E51" i="8" s="1"/>
  <c r="E55" i="25" l="1"/>
  <c r="E56" i="25"/>
  <c r="H5" i="22" s="1"/>
  <c r="J24" i="26"/>
  <c r="J24" i="28"/>
  <c r="C31" i="11"/>
  <c r="D30" i="11"/>
  <c r="E30" i="11" s="1"/>
  <c r="H30" i="11"/>
  <c r="I30" i="11" s="1"/>
  <c r="J30" i="11" s="1"/>
  <c r="G30" i="11"/>
  <c r="F30" i="11"/>
  <c r="H30" i="21"/>
  <c r="I30" i="21" s="1"/>
  <c r="J30" i="21" s="1"/>
  <c r="F30" i="21"/>
  <c r="G30" i="21"/>
  <c r="C31" i="21"/>
  <c r="D30" i="21"/>
  <c r="E30" i="21" s="1"/>
  <c r="K28" i="21"/>
  <c r="L28" i="21" s="1"/>
  <c r="F6" i="22"/>
  <c r="K28" i="11"/>
  <c r="L28" i="11" s="1"/>
  <c r="F5" i="22"/>
  <c r="K29" i="21"/>
  <c r="L29" i="21" s="1"/>
  <c r="M29" i="21" s="1"/>
  <c r="E29" i="17"/>
  <c r="E30" i="17" s="1"/>
  <c r="E44" i="8" s="1"/>
  <c r="E26" i="8"/>
  <c r="E52" i="8" s="1"/>
  <c r="G6" i="22" l="1"/>
  <c r="M28" i="21"/>
  <c r="K30" i="21"/>
  <c r="L30" i="21" s="1"/>
  <c r="M30" i="21" s="1"/>
  <c r="M28" i="11"/>
  <c r="G5" i="22"/>
  <c r="D31" i="21"/>
  <c r="E31" i="21" s="1"/>
  <c r="C32" i="21"/>
  <c r="F31" i="21"/>
  <c r="G31" i="21"/>
  <c r="H31" i="21"/>
  <c r="I31" i="21" s="1"/>
  <c r="J31" i="21" s="1"/>
  <c r="K31" i="21" s="1"/>
  <c r="L31" i="21" s="1"/>
  <c r="M31" i="21" s="1"/>
  <c r="K30" i="11"/>
  <c r="L30" i="11" s="1"/>
  <c r="M30" i="11" s="1"/>
  <c r="C32" i="11"/>
  <c r="F31" i="11"/>
  <c r="H31" i="11"/>
  <c r="I31" i="11" s="1"/>
  <c r="J31" i="11" s="1"/>
  <c r="D31" i="11"/>
  <c r="E31" i="11" s="1"/>
  <c r="G31" i="11"/>
  <c r="E46" i="8"/>
  <c r="E54" i="8" s="1"/>
  <c r="H32" i="21" l="1"/>
  <c r="I32" i="21" s="1"/>
  <c r="J32" i="21" s="1"/>
  <c r="D32" i="21"/>
  <c r="E32" i="21" s="1"/>
  <c r="G32" i="21"/>
  <c r="F32" i="21"/>
  <c r="C33" i="21"/>
  <c r="K31" i="11"/>
  <c r="L31" i="11" s="1"/>
  <c r="M31" i="11" s="1"/>
  <c r="C33" i="11"/>
  <c r="D32" i="11"/>
  <c r="E32" i="11" s="1"/>
  <c r="F32" i="11"/>
  <c r="G32" i="11"/>
  <c r="H32" i="11"/>
  <c r="I32" i="11" s="1"/>
  <c r="J32" i="11" s="1"/>
  <c r="E56" i="8"/>
  <c r="E55" i="8"/>
  <c r="C34" i="11" l="1"/>
  <c r="F33" i="11"/>
  <c r="G33" i="11"/>
  <c r="D33" i="11"/>
  <c r="E33" i="11" s="1"/>
  <c r="H33" i="11"/>
  <c r="I33" i="11" s="1"/>
  <c r="J33" i="11" s="1"/>
  <c r="K32" i="11"/>
  <c r="L32" i="11" s="1"/>
  <c r="M32" i="11" s="1"/>
  <c r="D33" i="21"/>
  <c r="E33" i="21" s="1"/>
  <c r="G33" i="21"/>
  <c r="F33" i="21"/>
  <c r="C34" i="21"/>
  <c r="H33" i="21"/>
  <c r="I33" i="21" s="1"/>
  <c r="J33" i="21" s="1"/>
  <c r="K32" i="21"/>
  <c r="L32" i="21" s="1"/>
  <c r="M32" i="21" s="1"/>
  <c r="K33" i="21" l="1"/>
  <c r="L33" i="21" s="1"/>
  <c r="M33" i="21" s="1"/>
  <c r="D34" i="21"/>
  <c r="E34" i="21" s="1"/>
  <c r="C35" i="21"/>
  <c r="F34" i="21"/>
  <c r="G34" i="21"/>
  <c r="H34" i="21"/>
  <c r="K33" i="11"/>
  <c r="L33" i="11" s="1"/>
  <c r="M33" i="11" s="1"/>
  <c r="C35" i="11"/>
  <c r="H34" i="11"/>
  <c r="I34" i="11" s="1"/>
  <c r="J34" i="11" s="1"/>
  <c r="D34" i="11"/>
  <c r="E34" i="11" s="1"/>
  <c r="F34" i="11"/>
  <c r="G34" i="11"/>
  <c r="C36" i="11" l="1"/>
  <c r="H35" i="11"/>
  <c r="I35" i="11" s="1"/>
  <c r="J35" i="11" s="1"/>
  <c r="F35" i="11"/>
  <c r="D35" i="11"/>
  <c r="E35" i="11" s="1"/>
  <c r="G35" i="11"/>
  <c r="K34" i="11"/>
  <c r="L34" i="11" s="1"/>
  <c r="M34" i="11" s="1"/>
  <c r="D35" i="21"/>
  <c r="E35" i="21" s="1"/>
  <c r="F35" i="21"/>
  <c r="H35" i="21"/>
  <c r="I35" i="21" s="1"/>
  <c r="J35" i="21" s="1"/>
  <c r="C36" i="21"/>
  <c r="G35" i="21"/>
  <c r="I34" i="21"/>
  <c r="J34" i="21" s="1"/>
  <c r="K34" i="21" s="1"/>
  <c r="L34" i="21" s="1"/>
  <c r="M34" i="21" s="1"/>
  <c r="K35" i="11" l="1"/>
  <c r="L35" i="11"/>
  <c r="M35" i="11" s="1"/>
  <c r="D36" i="21"/>
  <c r="E36" i="21" s="1"/>
  <c r="G36" i="21"/>
  <c r="F36" i="21"/>
  <c r="C37" i="21"/>
  <c r="H36" i="21"/>
  <c r="I36" i="21" s="1"/>
  <c r="J36" i="21" s="1"/>
  <c r="K35" i="21"/>
  <c r="L35" i="21" s="1"/>
  <c r="M35" i="21" s="1"/>
  <c r="C37" i="11"/>
  <c r="G36" i="11"/>
  <c r="H36" i="11"/>
  <c r="I36" i="11" s="1"/>
  <c r="J36" i="11" s="1"/>
  <c r="F36" i="11"/>
  <c r="D36" i="11"/>
  <c r="E36" i="11" s="1"/>
  <c r="K36" i="11" l="1"/>
  <c r="H37" i="11"/>
  <c r="I37" i="11" s="1"/>
  <c r="J37" i="11" s="1"/>
  <c r="G37" i="11"/>
  <c r="F37" i="11"/>
  <c r="K37" i="11" s="1"/>
  <c r="D37" i="11"/>
  <c r="E37" i="11" s="1"/>
  <c r="L36" i="11"/>
  <c r="M36" i="11" s="1"/>
  <c r="K36" i="21"/>
  <c r="L36" i="21" s="1"/>
  <c r="M36" i="21" s="1"/>
  <c r="H37" i="21"/>
  <c r="I37" i="21" s="1"/>
  <c r="J37" i="21" s="1"/>
  <c r="K37" i="21" s="1"/>
  <c r="D37" i="21"/>
  <c r="E37" i="21" s="1"/>
  <c r="G37" i="21"/>
  <c r="F37" i="21"/>
  <c r="L37" i="21" l="1"/>
  <c r="M37" i="21" s="1"/>
  <c r="L37" i="11"/>
  <c r="M37" i="11" s="1"/>
</calcChain>
</file>

<file path=xl/sharedStrings.xml><?xml version="1.0" encoding="utf-8"?>
<sst xmlns="http://schemas.openxmlformats.org/spreadsheetml/2006/main" count="1119" uniqueCount="213">
  <si>
    <t>Judul Proyek:</t>
  </si>
  <si>
    <t>Pemulihan Metana dari POME melalui Pembangkit Listrik Tenaga Biogas</t>
  </si>
  <si>
    <t>Skenario</t>
  </si>
  <si>
    <t>Parameter</t>
  </si>
  <si>
    <t>Diskripsi</t>
  </si>
  <si>
    <t>Unit</t>
  </si>
  <si>
    <t>Per Tahun</t>
  </si>
  <si>
    <t>Keterangan</t>
  </si>
  <si>
    <t>Sumber Data</t>
  </si>
  <si>
    <t>Pengamatan</t>
  </si>
  <si>
    <t>Standar nilai</t>
  </si>
  <si>
    <t xml:space="preserve">t CO2e </t>
  </si>
  <si>
    <t>Perhitungan</t>
  </si>
  <si>
    <t xml:space="preserve">Emisi baseline dari sistem pengolahan air limbah yang dipengaruhi oleh aktivitas proyek </t>
  </si>
  <si>
    <t>Qww,i,y</t>
  </si>
  <si>
    <t>Volume air limbah yang diolah dalam sistem pengolahan air limbah dasar i dalam tahun y</t>
  </si>
  <si>
    <t>m3</t>
  </si>
  <si>
    <t>CODinflow,i,y</t>
  </si>
  <si>
    <t xml:space="preserve">Kebutuhan oksigen kimiawi dari aliran air limbah ke sistem pengolahan dasar i pada tahun y </t>
  </si>
  <si>
    <t>t/m3</t>
  </si>
  <si>
    <t>ⴄCOD,BL,i</t>
  </si>
  <si>
    <t>Efisiensi penghilangan COD dari sistem pengolahan dasar i</t>
  </si>
  <si>
    <t>-</t>
  </si>
  <si>
    <t>MCFww,treatment,BL,i</t>
  </si>
  <si>
    <t>Faktor koreksi gas metana untuk sistem pengolahan dasar air limbah proyek i</t>
  </si>
  <si>
    <t>Bo,ww</t>
  </si>
  <si>
    <t>Kapasitas produksi gas metana air limbah</t>
  </si>
  <si>
    <t>kg CH4/kg COD</t>
  </si>
  <si>
    <t xml:space="preserve">Tabel 6.2 Bab 6 Hal 12 dari Vol. 5 (Limbah) dari IPCC (2006) </t>
  </si>
  <si>
    <t>UFBL</t>
  </si>
  <si>
    <t>Faktor koreksi model untuk memperhitungkan ketidakpastian model</t>
  </si>
  <si>
    <t>FCCC/SBSTA/2003/10/Add.2, Hal 25.</t>
  </si>
  <si>
    <t>GWPCH4</t>
  </si>
  <si>
    <t>Potensi pemanasan global untuk gas metana</t>
  </si>
  <si>
    <t>IPCC Fifth Assessment Report, 2014 (AR5)</t>
  </si>
  <si>
    <t>BEww,treatment,y</t>
  </si>
  <si>
    <t>Emisi baseline dari sistem pengolahan air limbah yang dipengaruhi oleh aktivitas proyek pada tahun y</t>
  </si>
  <si>
    <t>CDM AMS III H UNFCCC V.19.0 P.13 (2019) | BEww,treatment,y = penjumlahan dari i untuk (Qww,i,y*CODinflow,i,y*ⴄCOD,BL,i*MCFww,treatment,BL,i)*Bo,ww*UFBL* GWPCH4</t>
  </si>
  <si>
    <t>B3.</t>
  </si>
  <si>
    <t>Emisi Proyek dari  sistem pengolahan air limbah dipengaruhi oleh aktivitas proyek tidak dilengkapi  dengan pemulihan biogas</t>
  </si>
  <si>
    <t>Qww,k,y</t>
  </si>
  <si>
    <t>Volume air limbah yang diolah dalam sistem pengolahan air limbah proyek k dalam tahun y</t>
  </si>
  <si>
    <t>CODinflow,k,y</t>
  </si>
  <si>
    <t xml:space="preserve">Kebutuhan oksigen kimiawi dari aliran air limbah ke sistem pengolahan proyek k pada tahun y </t>
  </si>
  <si>
    <t>ⴄCOD,PJ,k</t>
  </si>
  <si>
    <t xml:space="preserve">Efisiensi penghilangan COD dari sistem pengolahan proyek k </t>
  </si>
  <si>
    <t>MCFww,treatment,PJ,k</t>
  </si>
  <si>
    <t>Faktor koreksi gas metana untuk sistem pengolahan dasar air limbah proyek k</t>
  </si>
  <si>
    <t>UFPJ</t>
  </si>
  <si>
    <t>CDM AMS III H UNFCCC (2019) Hal 21</t>
  </si>
  <si>
    <t>PEww,treatment,y</t>
  </si>
  <si>
    <t xml:space="preserve">Emisi Proyek dari  sistem pengolahan air limbah  dipengaruhi oleh aktivitas proyek tidak dilengkapi  dengan pemulihan biogas, pada tahun y </t>
  </si>
  <si>
    <t>CDM AMS III H UNFCCC V.19.0 P.21 (2019) | PEww,treatment,y = penjumlahan dari i untuk (Qww,k,y*CODinflow,k,y*ⴄCOD,PJ,k*MCFww,treatment,PJ,k)*Bo,ww*UFPJ* GWPCH4</t>
  </si>
  <si>
    <t>B4.</t>
  </si>
  <si>
    <t>Emisi Proyek dari inefisiensi penangkapan dalam sistem pengolahan air limbah anaerobik</t>
  </si>
  <si>
    <t>CFEww</t>
  </si>
  <si>
    <t>Menangkap efisiensi peralatan pemulihan biogas dalam sistem pengolahan air limbah</t>
  </si>
  <si>
    <t>CDM AMS III H UNFCCC (2019) Hal 23</t>
  </si>
  <si>
    <t>Qww,y</t>
  </si>
  <si>
    <t>Volume air limbah olahan yang dibuang pada tahun y</t>
  </si>
  <si>
    <t>CODremoval,PJ,k,y</t>
  </si>
  <si>
    <t xml:space="preserve">Kebutuhan oksigen kimiawi dihilangkan oleh sistem  pengolahan k kegiatan proyek dilengkapi dengan  pemulihan biogas pada tahun y </t>
  </si>
  <si>
    <t>Faktor koreksi gas metana untuk sistem pengolahan air  limbah proyek k dilengkapi dengan peralatan pemulihan  biogas</t>
  </si>
  <si>
    <t>PEfugitive,ww,y</t>
  </si>
  <si>
    <t xml:space="preserve">Emisi fugitive melalui inefisiensi penangkapan dalam  sistem pengolahan air limbah anaerobik di tahun y </t>
  </si>
  <si>
    <t>CDM AMS III H UNFCCC V.19.0 P.23 (2019) | PEfugitive,ww,y = (1-CFEww)*(Qww,y* Boww*UFPJ)*penjumlahan dari k untuk (CODremoval,PJ,k,y* MCFww,treatment,PJ,k)*GWPCH4</t>
  </si>
  <si>
    <t>B5.</t>
  </si>
  <si>
    <t xml:space="preserve">Emisi Proyek dari gas metana akibat flaring yang tidak sempurna </t>
  </si>
  <si>
    <t>ⴄflare,m</t>
  </si>
  <si>
    <t>PEflare,y</t>
  </si>
  <si>
    <t xml:space="preserve">Emisi gas metana akibat flaring yang tidak sempurna pada  tahun y </t>
  </si>
  <si>
    <t>Pengurangan Emisi GRK</t>
  </si>
  <si>
    <t>ER,y</t>
  </si>
  <si>
    <t>Pengurangan Emisi GRK di tahun y</t>
  </si>
  <si>
    <t>ERy = BEpower + BEww,treatment,y - PEww,treatment,y - PEfugitive,ww,y - PEflare,y</t>
  </si>
  <si>
    <t>PER,y</t>
  </si>
  <si>
    <t>Persentase Pengurangan Emisi GRK dalam tahun y</t>
  </si>
  <si>
    <t>%</t>
  </si>
  <si>
    <t>PERy = (BEpower + BEww,treatment,y - PEww,treatment,y - PEfugitive,ww,y - PEflare,y) / (BEpower + BEww,treatment,y)</t>
  </si>
  <si>
    <t>Chemical Oxygen Demand (COD)</t>
  </si>
  <si>
    <t>COD inflow</t>
  </si>
  <si>
    <t>Bulan</t>
  </si>
  <si>
    <t>COD outflow</t>
  </si>
  <si>
    <t>COD Biogas</t>
  </si>
  <si>
    <t>COD POME</t>
  </si>
  <si>
    <t>Januari</t>
  </si>
  <si>
    <t>Februari</t>
  </si>
  <si>
    <t>Maret</t>
  </si>
  <si>
    <t>April</t>
  </si>
  <si>
    <t xml:space="preserve">Mei </t>
  </si>
  <si>
    <t>Juni</t>
  </si>
  <si>
    <t xml:space="preserve">Juli </t>
  </si>
  <si>
    <t>Agustus</t>
  </si>
  <si>
    <t>September</t>
  </si>
  <si>
    <t>Oktober</t>
  </si>
  <si>
    <t>November</t>
  </si>
  <si>
    <t>Desember</t>
  </si>
  <si>
    <t>Rata-rata</t>
  </si>
  <si>
    <t>mg COD/l</t>
  </si>
  <si>
    <t>kg COD/m3</t>
  </si>
  <si>
    <t>kgCOD/m3</t>
  </si>
  <si>
    <t>Data Proyek</t>
  </si>
  <si>
    <t>Nilai</t>
  </si>
  <si>
    <t>Satuan</t>
  </si>
  <si>
    <t>ⴄCOD</t>
  </si>
  <si>
    <t>COD removal</t>
  </si>
  <si>
    <t>Volume POME (m3)</t>
  </si>
  <si>
    <t xml:space="preserve">Volume POME </t>
  </si>
  <si>
    <t>Total</t>
  </si>
  <si>
    <t>Tabel 6.3 Bab 6 Hal 13 dari Vol. 5 (Limbah) dari IPCC (2006) | Kedalaman kolam &gt; 2 meter</t>
  </si>
  <si>
    <t>Tool 06 V.03.0 P.06 UNFCCC (2019) | efisiensi suar terbuka = 50%</t>
  </si>
  <si>
    <t>B1. emisi baseline dari ….... Jika ada ada lebih dari satu sumber emisi, misal tabel tas untuk emisi dari TPA tabel bawah untuk transportasi</t>
  </si>
  <si>
    <t>B2.</t>
  </si>
  <si>
    <t>Data</t>
  </si>
  <si>
    <t>Tahun</t>
  </si>
  <si>
    <t>PE fugitive,y</t>
  </si>
  <si>
    <t>Pengurangan Emisi (tCO2e)</t>
  </si>
  <si>
    <t>PER (%)</t>
  </si>
  <si>
    <t>(1)</t>
  </si>
  <si>
    <t>(2)</t>
  </si>
  <si>
    <t>(3)</t>
  </si>
  <si>
    <t>(5)</t>
  </si>
  <si>
    <t>(6)</t>
  </si>
  <si>
    <t>(7)</t>
  </si>
  <si>
    <t>Volume POME</t>
  </si>
  <si>
    <t>(4) = (3)</t>
  </si>
  <si>
    <t>COD Land Application</t>
  </si>
  <si>
    <t>Volume air limbah yang diolah untuk pemulihan metana menjadi biogas pada tahun 2020| Lihat lampiran 'Volume POME' [C18]</t>
  </si>
  <si>
    <t>Nilai COD sebelum memasuki kolam pengolahan air limbah| Rata-rata CODinflow selama satu tahun | Lihat lampiran 'COD' [B24]</t>
  </si>
  <si>
    <t>(CODinflow - CODoutflow)/CODinflow | Lihat lampiran 'COD' [B27]</t>
  </si>
  <si>
    <t>Nilai COD sebelum memasuki kolam pengolahan air limbah| Rata-rata CODinflow selama satu tahun | Lihat lampiran 'COD' [B33]</t>
  </si>
  <si>
    <t>(CODinflow - CODoutflow)/CODinflow | Lihat lampiran 'COD' [B36]</t>
  </si>
  <si>
    <t>Selisih CODinflow dan CODoutflow | Lihat lampiran 'COD' [B46]</t>
  </si>
  <si>
    <t>Rata-rata COD POME dari bulan Januari 2020 sampai Desember 2020 | Input data lampiran 'ER' [E8]</t>
  </si>
  <si>
    <t xml:space="preserve">Rata-rata COD Land Application dari bulan Januari 2020 sampai Desember 2020 </t>
  </si>
  <si>
    <t>(CODinflow - CODoutflow)/CODinflow | Perhitungan data historis COD perusahaan Jan 2020 - Des 2020 |Input data lampiran 'ER' [E9]</t>
  </si>
  <si>
    <t>Rata-rata COD Biogas dari bulan Januari 2020 sampai Desember 2020 | Input data lampiran 'ER' [E20]</t>
  </si>
  <si>
    <t>(CODinflow - CODoutflow)/CODinflow | Perhitungan data historis COD perusahaan Jan 2020 - Des 2020 |Input data lampiran 'ER' [E21]</t>
  </si>
  <si>
    <t>Rata-rata COD POME dari bulan Januari 2020 sampai Desember 2020</t>
  </si>
  <si>
    <t>Rata-rata COD Biogas dari bulan Januari 2020 sampai Desember 2020</t>
  </si>
  <si>
    <t xml:space="preserve">(CODinflow - CODoutflow)/CODinflow | Perhitungan data historis COD perusahaan Jan 2020 - Des 2020 </t>
  </si>
  <si>
    <t>Selisih CODinflow dan CODoutflow | Perhitungan data historis COD perusahaan Jan 2020 - Des 2020 | Input data lampiran 'ER' [E35]</t>
  </si>
  <si>
    <t>TM,RG,h</t>
  </si>
  <si>
    <t>MGburnt,y</t>
  </si>
  <si>
    <t>Sisa gas metana dibakar di gas engine</t>
  </si>
  <si>
    <t>Kapasitas gas engine</t>
  </si>
  <si>
    <t>Febijanto (2018) | MGburnt,y = (kapasitas gas engine*jam kerja gas engine* kapasitas faktor gas engine)/(efisiensi listrik gas engine*konversi koefisien dari panas ke listrik*nilai kalor CH4)</t>
  </si>
  <si>
    <t>Jam kerja gas engine</t>
  </si>
  <si>
    <t>Kapasitas faktor gas engine</t>
  </si>
  <si>
    <t>Efisiensi listrik gas engine</t>
  </si>
  <si>
    <t>Konversi koefisien dari panas ke listrik</t>
  </si>
  <si>
    <t>Nilai kalor CH4</t>
  </si>
  <si>
    <t>kw</t>
  </si>
  <si>
    <t>jam</t>
  </si>
  <si>
    <t>Hari kerja gas engine</t>
  </si>
  <si>
    <t>hari</t>
  </si>
  <si>
    <t>kwh/Mj</t>
  </si>
  <si>
    <t>Data Perusahaan</t>
  </si>
  <si>
    <t>Pembagian jumlah hari kerja gas engine dan jumlah hari dalam setahun</t>
  </si>
  <si>
    <t>Mj/t CH4</t>
  </si>
  <si>
    <t xml:space="preserve">Febijanto (2018) </t>
  </si>
  <si>
    <t>Potensi emisi gas metana dari kolam anaerobik yang dilengkapi dengan sistem penangkapan gasbio</t>
  </si>
  <si>
    <t>MEPfugitive,ww,y</t>
  </si>
  <si>
    <t>FCCC/SBSTA/2003/10/Add.2, Hal 21</t>
  </si>
  <si>
    <t>CDM AMS III H UNFCCC V.19.0 P.23 (2019) | MEPfugitive,ww,y = Qww,y* Boww*UFPJ*penjumlahan dari k untuk CODremoval,PJ,k,y* MCFww,treatment,PJ,k</t>
  </si>
  <si>
    <t xml:space="preserve">t CH4e </t>
  </si>
  <si>
    <t>t CH4e</t>
  </si>
  <si>
    <t>Potensi emisi gas metana dari kolam anaerobik yang dilengkapi dengan sistem penangkapan biogas</t>
  </si>
  <si>
    <t>Potensi emisi gas metana dari inefisiensi penangkapan dalam sistem pengolahan air limbah anaerobik</t>
  </si>
  <si>
    <t>CDM AMS III H UNFCCC V.19.0 P.23 (2019) | PEfugitive,ww,y = (1-CFEww)* MEPfugitive,ww,y</t>
  </si>
  <si>
    <t>kg CH4</t>
  </si>
  <si>
    <t>Tool 06 V.03.0 P.13 UNFCCC (2019) | PEflare,y = GWPCH4*penjumlahan dari H = 1 menuju 8760 untuk (TM,RG,h)*(1-ⴄflare,m)*(1/1000)</t>
  </si>
  <si>
    <t>Data Perusahaan | memiliki 2 gas engine</t>
  </si>
  <si>
    <t>Data Perusahaan | Kapasitas yang dapat dibangkitkan oleh PLTBg Tungkal Ulu | memiliki 2 gas engine dengan kapasitas masing masing 1200 kw</t>
  </si>
  <si>
    <t>Febijanto (2018) | TMRG,h = MEPww,treatment,y-MGburnt,y-PEfugitive,ww,y | Lihat lampiran 'Flare' [E11-E23-E30]</t>
  </si>
  <si>
    <t>Selisih CODinflow dan CODoutflow | Perhitungan data historis COD perusahaan Jan 2020 - Des 2020</t>
  </si>
  <si>
    <t>(8)</t>
  </si>
  <si>
    <t>(9)</t>
  </si>
  <si>
    <t>(10) = (5)+(6)+(9)</t>
  </si>
  <si>
    <t>(11) = (4)-(10)</t>
  </si>
  <si>
    <t>(12)=((11)/(4))*100%</t>
  </si>
  <si>
    <t>Rata-rata peningkatan POME</t>
  </si>
  <si>
    <t>%/thn</t>
  </si>
  <si>
    <t>PE flaring,y</t>
  </si>
  <si>
    <t>PE fugitive,ww,y</t>
  </si>
  <si>
    <t>MEP fugitive,ww,y</t>
  </si>
  <si>
    <t>Laju Perubahan POME (%)</t>
  </si>
  <si>
    <t>Laju Perubahan TBS (%)</t>
  </si>
  <si>
    <t xml:space="preserve">Rata-rata </t>
  </si>
  <si>
    <t>POME (m3)</t>
  </si>
  <si>
    <t>TBS Olah (ton)</t>
  </si>
  <si>
    <t>Efisiensi flare dalam menit h</t>
  </si>
  <si>
    <t xml:space="preserve">Aliran massa gas metana dalam gas sisa dalam menit h </t>
  </si>
  <si>
    <t>ⴄflare,h</t>
  </si>
  <si>
    <t>Kombinasi</t>
  </si>
  <si>
    <t>Emisi (t CO2e)</t>
  </si>
  <si>
    <t>Ringkasan dari dua skenario</t>
  </si>
  <si>
    <t>COD (Proyek) Kolam aerobik (tanpa penutup)</t>
  </si>
  <si>
    <t>COD (Proyek) Digester anerob (dengan penutup)</t>
  </si>
  <si>
    <t>COD (Baseline) Kolam terbuka</t>
  </si>
  <si>
    <t>Optimis (Peningkatan POME 1% per tahun)</t>
  </si>
  <si>
    <t>Volume air limbah yang diolah untuk pemulihan metana menjadi biogas pada tahun 2020|  'Volume POME' [C18]+('Volume POME' [C18]*1%)</t>
  </si>
  <si>
    <t>Febijanto (2018) | TMRG,h = MEPww,treatment,y-MGburnt,y-PEfugitive,ww,y | Lihat lampiran 'Flare Optimis' [E11-E23-E30]</t>
  </si>
  <si>
    <t>Volume air limbah yang diolah untuk pemulihan metana menjadi biogas pada tahun 2020| 'Volume POME' [C18]+('Volume POME' [C18]*1%)</t>
  </si>
  <si>
    <t>POME naik</t>
  </si>
  <si>
    <t>POME turun</t>
  </si>
  <si>
    <t>Emisi Baseline POME turun</t>
  </si>
  <si>
    <t>Emisi Proyek POME turun</t>
  </si>
  <si>
    <t>Emisi Baseline POME naik</t>
  </si>
  <si>
    <t>Emisi Proyek POME naik</t>
  </si>
  <si>
    <t>Emisi Baseline Tanpa skenario</t>
  </si>
  <si>
    <t>Emisi Proyek Tanpa skenario</t>
  </si>
  <si>
    <t>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</si>
</sst>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_);_(@_)"/>
    <numFmt numFmtId="166" formatCode="_(* #,##0.00_);_(* \(#,##0.00\);_(* &quot;-&quot;_);_(@_)"/>
    <numFmt numFmtId="167" formatCode="_(* #,##0.0_);_(* \(#,##0.0\);_(* &quot;-&quot;_);_(@_)"/>
    <numFmt numFmtId="168" formatCode="_-* #,##0_-;\-* #,##0_-;_-* &quot;-&quot;??_-;_-@_-"/>
    <numFmt numFmtId="169" formatCode="_-* #,##0.00_-;\-* #,##0.00_-;_-* &quot;-&quot;??_-;_-@_-"/>
    <numFmt numFmtId="171" formatCode="0.0000"/>
    <numFmt numFmtId="172" formatCode="_(* #,##0.0000_);_(* \(#,##0.0000\);_(* &quot;-&quot;??_);_(@_)"/>
    <numFmt numFmtId="173" formatCode="0.00000"/>
    <numFmt numFmtId="174" formatCode="_(* #,##0.00000_);_(* \(#,##0.00000\);_(* &quot;-&quot;_);_(@_)"/>
    <numFmt numFmtId="175" formatCode="_(* #,##0.000_);_(* \(#,##0.0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indexed="56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222222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" fillId="0" borderId="0"/>
    <xf numFmtId="0" fontId="7" fillId="0" borderId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9">
    <xf numFmtId="0" fontId="0" fillId="0" borderId="0" xfId="0"/>
    <xf numFmtId="0" fontId="5" fillId="0" borderId="0" xfId="4" applyFont="1"/>
    <xf numFmtId="0" fontId="6" fillId="0" borderId="1" xfId="2" applyFont="1" applyAlignment="1">
      <alignment vertical="center"/>
    </xf>
    <xf numFmtId="0" fontId="8" fillId="0" borderId="0" xfId="5" applyFont="1" applyAlignment="1">
      <alignment vertical="center"/>
    </xf>
    <xf numFmtId="0" fontId="9" fillId="0" borderId="0" xfId="4" applyFont="1" applyAlignment="1">
      <alignment vertical="center"/>
    </xf>
    <xf numFmtId="0" fontId="9" fillId="0" borderId="0" xfId="4" applyFont="1" applyAlignment="1">
      <alignment horizontal="right" vertical="center"/>
    </xf>
    <xf numFmtId="0" fontId="9" fillId="0" borderId="0" xfId="4" applyFont="1" applyAlignment="1">
      <alignment horizontal="center" vertical="center"/>
    </xf>
    <xf numFmtId="0" fontId="9" fillId="0" borderId="0" xfId="4" applyFont="1"/>
    <xf numFmtId="0" fontId="6" fillId="0" borderId="2" xfId="3" applyFont="1" applyAlignment="1">
      <alignment vertical="center"/>
    </xf>
    <xf numFmtId="0" fontId="10" fillId="0" borderId="0" xfId="5" applyFont="1" applyAlignment="1">
      <alignment vertical="center"/>
    </xf>
    <xf numFmtId="0" fontId="11" fillId="0" borderId="0" xfId="4" applyFont="1"/>
    <xf numFmtId="0" fontId="8" fillId="0" borderId="6" xfId="5" applyFont="1" applyBorder="1" applyAlignment="1">
      <alignment horizontal="left" vertical="center" wrapText="1"/>
    </xf>
    <xf numFmtId="0" fontId="8" fillId="0" borderId="6" xfId="4" applyFont="1" applyBorder="1" applyAlignment="1">
      <alignment horizontal="center" vertical="center" wrapText="1"/>
    </xf>
    <xf numFmtId="0" fontId="13" fillId="0" borderId="6" xfId="4" applyFont="1" applyFill="1" applyBorder="1" applyAlignment="1">
      <alignment horizontal="left" vertical="center" wrapText="1"/>
    </xf>
    <xf numFmtId="0" fontId="13" fillId="0" borderId="0" xfId="4" applyFont="1"/>
    <xf numFmtId="0" fontId="8" fillId="0" borderId="6" xfId="5" applyFont="1" applyBorder="1" applyAlignment="1">
      <alignment vertical="center" wrapText="1"/>
    </xf>
    <xf numFmtId="165" fontId="12" fillId="0" borderId="6" xfId="7" applyNumberFormat="1" applyFont="1" applyFill="1" applyBorder="1" applyAlignment="1">
      <alignment horizontal="center" vertical="center" wrapText="1"/>
    </xf>
    <xf numFmtId="166" fontId="12" fillId="0" borderId="6" xfId="8" applyNumberFormat="1" applyFont="1" applyBorder="1" applyAlignment="1">
      <alignment horizontal="right" vertical="center" wrapText="1"/>
    </xf>
    <xf numFmtId="0" fontId="12" fillId="0" borderId="6" xfId="4" applyFont="1" applyBorder="1" applyAlignment="1">
      <alignment horizontal="center" vertical="center" wrapText="1"/>
    </xf>
    <xf numFmtId="0" fontId="13" fillId="0" borderId="0" xfId="4" applyFont="1" applyAlignment="1">
      <alignment vertical="center"/>
    </xf>
    <xf numFmtId="43" fontId="13" fillId="0" borderId="0" xfId="6" applyFont="1" applyAlignment="1">
      <alignment horizontal="center" vertical="center"/>
    </xf>
    <xf numFmtId="0" fontId="13" fillId="0" borderId="0" xfId="4" applyFont="1" applyAlignment="1">
      <alignment horizontal="right" vertical="center"/>
    </xf>
    <xf numFmtId="0" fontId="13" fillId="0" borderId="0" xfId="4" applyFont="1" applyAlignment="1">
      <alignment horizontal="center" vertical="center"/>
    </xf>
    <xf numFmtId="0" fontId="11" fillId="0" borderId="0" xfId="4" applyFont="1" applyAlignment="1">
      <alignment horizontal="left" vertical="center"/>
    </xf>
    <xf numFmtId="0" fontId="11" fillId="0" borderId="0" xfId="4" applyFont="1" applyFill="1"/>
    <xf numFmtId="0" fontId="8" fillId="0" borderId="6" xfId="4" applyFont="1" applyFill="1" applyBorder="1" applyAlignment="1">
      <alignment horizontal="center" vertical="center"/>
    </xf>
    <xf numFmtId="0" fontId="8" fillId="0" borderId="6" xfId="4" applyFont="1" applyFill="1" applyBorder="1" applyAlignment="1">
      <alignment horizontal="left" vertical="center" wrapText="1"/>
    </xf>
    <xf numFmtId="0" fontId="8" fillId="0" borderId="6" xfId="4" applyFont="1" applyFill="1" applyBorder="1" applyAlignment="1">
      <alignment horizontal="left" vertical="center"/>
    </xf>
    <xf numFmtId="0" fontId="13" fillId="0" borderId="6" xfId="4" applyFont="1" applyBorder="1" applyAlignment="1">
      <alignment horizontal="left" vertical="center"/>
    </xf>
    <xf numFmtId="0" fontId="9" fillId="0" borderId="6" xfId="4" applyFont="1" applyBorder="1" applyAlignment="1">
      <alignment horizontal="center" vertical="center"/>
    </xf>
    <xf numFmtId="166" fontId="9" fillId="0" borderId="6" xfId="8" applyNumberFormat="1" applyFont="1" applyBorder="1" applyAlignment="1">
      <alignment horizontal="right" vertical="center"/>
    </xf>
    <xf numFmtId="0" fontId="11" fillId="0" borderId="0" xfId="4" applyFont="1" applyFill="1" applyBorder="1"/>
    <xf numFmtId="0" fontId="13" fillId="0" borderId="6" xfId="4" applyFont="1" applyBorder="1" applyAlignment="1">
      <alignment horizontal="left" vertical="center" wrapText="1"/>
    </xf>
    <xf numFmtId="164" fontId="9" fillId="0" borderId="6" xfId="4" applyNumberFormat="1" applyFont="1" applyBorder="1" applyAlignment="1">
      <alignment horizontal="center" vertical="center"/>
    </xf>
    <xf numFmtId="41" fontId="9" fillId="0" borderId="6" xfId="8" applyNumberFormat="1" applyFont="1" applyBorder="1" applyAlignment="1">
      <alignment horizontal="right" vertical="center"/>
    </xf>
    <xf numFmtId="0" fontId="15" fillId="0" borderId="6" xfId="5" applyFont="1" applyBorder="1" applyAlignment="1">
      <alignment horizontal="left" vertical="center" wrapText="1"/>
    </xf>
    <xf numFmtId="0" fontId="12" fillId="0" borderId="6" xfId="4" applyFont="1" applyBorder="1" applyAlignment="1">
      <alignment horizontal="left" vertical="center" wrapText="1"/>
    </xf>
    <xf numFmtId="0" fontId="12" fillId="0" borderId="0" xfId="4" quotePrefix="1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right" vertical="center"/>
    </xf>
    <xf numFmtId="0" fontId="11" fillId="0" borderId="0" xfId="4" applyFont="1" applyAlignment="1">
      <alignment vertical="center"/>
    </xf>
    <xf numFmtId="0" fontId="5" fillId="0" borderId="0" xfId="4" applyFont="1" applyAlignment="1">
      <alignment vertical="center" wrapText="1"/>
    </xf>
    <xf numFmtId="0" fontId="9" fillId="0" borderId="0" xfId="4" applyFont="1" applyBorder="1"/>
    <xf numFmtId="0" fontId="8" fillId="0" borderId="6" xfId="4" quotePrefix="1" applyFont="1" applyFill="1" applyBorder="1" applyAlignment="1">
      <alignment horizontal="left" vertical="center"/>
    </xf>
    <xf numFmtId="167" fontId="8" fillId="0" borderId="6" xfId="8" applyNumberFormat="1" applyFont="1" applyBorder="1" applyAlignment="1">
      <alignment horizontal="right" vertical="center"/>
    </xf>
    <xf numFmtId="166" fontId="8" fillId="0" borderId="6" xfId="8" applyNumberFormat="1" applyFont="1" applyBorder="1" applyAlignment="1">
      <alignment horizontal="right" vertical="center"/>
    </xf>
    <xf numFmtId="41" fontId="8" fillId="0" borderId="6" xfId="8" applyNumberFormat="1" applyFont="1" applyBorder="1" applyAlignment="1">
      <alignment horizontal="right" vertical="center"/>
    </xf>
    <xf numFmtId="0" fontId="15" fillId="0" borderId="6" xfId="5" applyFont="1" applyBorder="1" applyAlignment="1">
      <alignment vertical="center"/>
    </xf>
    <xf numFmtId="0" fontId="12" fillId="0" borderId="6" xfId="4" applyFont="1" applyBorder="1" applyAlignment="1">
      <alignment vertical="center" wrapText="1"/>
    </xf>
    <xf numFmtId="41" fontId="8" fillId="0" borderId="6" xfId="4" applyNumberFormat="1" applyFont="1" applyBorder="1" applyAlignment="1">
      <alignment horizontal="right" vertical="center"/>
    </xf>
    <xf numFmtId="0" fontId="5" fillId="0" borderId="0" xfId="4" applyFont="1" applyBorder="1"/>
    <xf numFmtId="0" fontId="8" fillId="0" borderId="0" xfId="4" applyFont="1" applyBorder="1" applyAlignment="1">
      <alignment horizontal="justify" vertical="center"/>
    </xf>
    <xf numFmtId="2" fontId="8" fillId="0" borderId="0" xfId="4" applyNumberFormat="1" applyFont="1" applyBorder="1" applyAlignment="1">
      <alignment horizontal="center" vertical="center"/>
    </xf>
    <xf numFmtId="0" fontId="8" fillId="0" borderId="0" xfId="4" applyFont="1" applyBorder="1" applyAlignment="1">
      <alignment horizontal="right" vertical="center"/>
    </xf>
    <xf numFmtId="43" fontId="8" fillId="0" borderId="0" xfId="4" applyNumberFormat="1" applyFont="1" applyBorder="1" applyAlignment="1">
      <alignment horizontal="center" vertical="center" wrapText="1"/>
    </xf>
    <xf numFmtId="0" fontId="8" fillId="0" borderId="0" xfId="4" applyFont="1" applyBorder="1" applyAlignment="1">
      <alignment horizontal="left" vertical="center" wrapText="1"/>
    </xf>
    <xf numFmtId="43" fontId="8" fillId="0" borderId="6" xfId="6" applyFont="1" applyFill="1" applyBorder="1" applyAlignment="1">
      <alignment horizontal="center" vertical="center"/>
    </xf>
    <xf numFmtId="0" fontId="8" fillId="0" borderId="6" xfId="5" applyFont="1" applyBorder="1" applyAlignment="1">
      <alignment horizontal="center" vertical="center"/>
    </xf>
    <xf numFmtId="0" fontId="8" fillId="0" borderId="6" xfId="5" applyFont="1" applyBorder="1" applyAlignment="1">
      <alignment horizontal="left" vertical="center"/>
    </xf>
    <xf numFmtId="0" fontId="9" fillId="0" borderId="6" xfId="5" applyFont="1" applyBorder="1" applyAlignment="1">
      <alignment horizontal="center" vertical="center"/>
    </xf>
    <xf numFmtId="0" fontId="16" fillId="0" borderId="6" xfId="5" applyFont="1" applyBorder="1" applyAlignment="1">
      <alignment vertical="center"/>
    </xf>
    <xf numFmtId="0" fontId="11" fillId="0" borderId="6" xfId="4" applyFont="1" applyBorder="1" applyAlignment="1">
      <alignment horizontal="justify" vertical="center" wrapText="1"/>
    </xf>
    <xf numFmtId="166" fontId="12" fillId="0" borderId="6" xfId="8" applyNumberFormat="1" applyFont="1" applyBorder="1" applyAlignment="1">
      <alignment horizontal="right" vertical="center"/>
    </xf>
    <xf numFmtId="0" fontId="8" fillId="0" borderId="6" xfId="5" applyFont="1" applyFill="1" applyBorder="1" applyAlignment="1">
      <alignment vertical="center"/>
    </xf>
    <xf numFmtId="0" fontId="16" fillId="0" borderId="6" xfId="5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17" fillId="0" borderId="6" xfId="5" applyFont="1" applyBorder="1" applyAlignment="1">
      <alignment horizontal="left" vertical="center" wrapText="1"/>
    </xf>
    <xf numFmtId="0" fontId="13" fillId="0" borderId="6" xfId="4" applyFont="1" applyBorder="1" applyAlignment="1">
      <alignment horizontal="center" vertical="center" wrapText="1"/>
    </xf>
    <xf numFmtId="0" fontId="18" fillId="0" borderId="6" xfId="5" applyFont="1" applyBorder="1" applyAlignment="1">
      <alignment horizontal="left" vertical="center" wrapText="1"/>
    </xf>
    <xf numFmtId="0" fontId="18" fillId="0" borderId="6" xfId="5" applyFont="1" applyBorder="1" applyAlignment="1">
      <alignment horizontal="center" vertical="center" wrapText="1"/>
    </xf>
    <xf numFmtId="0" fontId="17" fillId="0" borderId="6" xfId="5" applyFont="1" applyBorder="1" applyAlignment="1">
      <alignment horizontal="left" vertical="center"/>
    </xf>
    <xf numFmtId="0" fontId="18" fillId="0" borderId="6" xfId="5" applyFont="1" applyBorder="1" applyAlignment="1">
      <alignment horizontal="center" vertical="center"/>
    </xf>
    <xf numFmtId="0" fontId="16" fillId="0" borderId="6" xfId="5" applyFont="1" applyBorder="1" applyAlignment="1">
      <alignment horizontal="left" vertical="center" wrapText="1"/>
    </xf>
    <xf numFmtId="0" fontId="11" fillId="0" borderId="6" xfId="4" applyFont="1" applyBorder="1" applyAlignment="1">
      <alignment horizontal="left" vertical="center" wrapText="1"/>
    </xf>
    <xf numFmtId="165" fontId="8" fillId="0" borderId="6" xfId="7" applyNumberFormat="1" applyFont="1" applyFill="1" applyBorder="1" applyAlignment="1">
      <alignment horizontal="center" vertical="center"/>
    </xf>
    <xf numFmtId="4" fontId="12" fillId="0" borderId="6" xfId="8" applyNumberFormat="1" applyFont="1" applyBorder="1" applyAlignment="1">
      <alignment horizontal="right" vertical="center"/>
    </xf>
    <xf numFmtId="0" fontId="19" fillId="0" borderId="6" xfId="5" applyFont="1" applyBorder="1" applyAlignment="1">
      <alignment horizontal="left" vertical="center"/>
    </xf>
    <xf numFmtId="0" fontId="5" fillId="0" borderId="6" xfId="4" applyFont="1" applyBorder="1" applyAlignment="1">
      <alignment horizontal="center" vertical="center"/>
    </xf>
    <xf numFmtId="10" fontId="5" fillId="0" borderId="6" xfId="9" applyNumberFormat="1" applyFont="1" applyBorder="1" applyAlignment="1">
      <alignment horizontal="right" vertical="center"/>
    </xf>
    <xf numFmtId="0" fontId="0" fillId="0" borderId="0" xfId="0" applyBorder="1"/>
    <xf numFmtId="0" fontId="0" fillId="0" borderId="6" xfId="0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Border="1"/>
    <xf numFmtId="168" fontId="0" fillId="0" borderId="6" xfId="1" applyNumberFormat="1" applyFont="1" applyBorder="1"/>
    <xf numFmtId="0" fontId="12" fillId="6" borderId="6" xfId="0" applyFont="1" applyFill="1" applyBorder="1" applyAlignment="1">
      <alignment horizontal="center" vertical="center"/>
    </xf>
    <xf numFmtId="168" fontId="4" fillId="6" borderId="6" xfId="0" applyNumberFormat="1" applyFont="1" applyFill="1" applyBorder="1" applyAlignment="1">
      <alignment horizontal="center" vertical="center"/>
    </xf>
    <xf numFmtId="168" fontId="0" fillId="0" borderId="6" xfId="0" applyNumberFormat="1" applyBorder="1"/>
    <xf numFmtId="169" fontId="0" fillId="0" borderId="6" xfId="0" applyNumberFormat="1" applyBorder="1"/>
    <xf numFmtId="9" fontId="8" fillId="0" borderId="5" xfId="4" applyNumberFormat="1" applyFont="1" applyFill="1" applyBorder="1" applyAlignment="1">
      <alignment horizontal="right" vertical="center"/>
    </xf>
    <xf numFmtId="0" fontId="8" fillId="0" borderId="6" xfId="5" applyFont="1" applyFill="1" applyBorder="1" applyAlignment="1">
      <alignment horizontal="left" vertical="center" wrapText="1"/>
    </xf>
    <xf numFmtId="49" fontId="10" fillId="0" borderId="6" xfId="5" applyNumberFormat="1" applyFont="1" applyFill="1" applyBorder="1" applyAlignment="1">
      <alignment horizontal="center" vertical="center" wrapText="1"/>
    </xf>
    <xf numFmtId="0" fontId="7" fillId="0" borderId="6" xfId="5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1" fontId="21" fillId="0" borderId="0" xfId="4" applyNumberFormat="1" applyFont="1" applyFill="1" applyBorder="1" applyAlignment="1">
      <alignment horizontal="right" vertical="center"/>
    </xf>
    <xf numFmtId="9" fontId="21" fillId="0" borderId="0" xfId="4" applyNumberFormat="1" applyFont="1" applyFill="1" applyBorder="1" applyAlignment="1">
      <alignment horizontal="right" vertical="center"/>
    </xf>
    <xf numFmtId="0" fontId="22" fillId="0" borderId="0" xfId="4" applyFont="1" applyBorder="1" applyAlignment="1">
      <alignment horizontal="center" vertical="center"/>
    </xf>
    <xf numFmtId="166" fontId="22" fillId="0" borderId="0" xfId="8" applyNumberFormat="1" applyFont="1" applyBorder="1" applyAlignment="1">
      <alignment horizontal="right" vertical="center"/>
    </xf>
    <xf numFmtId="164" fontId="22" fillId="0" borderId="0" xfId="4" applyNumberFormat="1" applyFont="1" applyBorder="1" applyAlignment="1">
      <alignment horizontal="center" vertical="center"/>
    </xf>
    <xf numFmtId="41" fontId="22" fillId="0" borderId="0" xfId="8" applyNumberFormat="1" applyFont="1" applyBorder="1" applyAlignment="1">
      <alignment horizontal="right" vertical="center"/>
    </xf>
    <xf numFmtId="165" fontId="21" fillId="0" borderId="0" xfId="8" applyNumberFormat="1" applyFont="1" applyBorder="1" applyAlignment="1">
      <alignment horizontal="right" vertical="center"/>
    </xf>
    <xf numFmtId="10" fontId="21" fillId="0" borderId="0" xfId="8" applyNumberFormat="1" applyFont="1" applyBorder="1" applyAlignment="1">
      <alignment horizontal="right" vertical="center"/>
    </xf>
    <xf numFmtId="167" fontId="21" fillId="0" borderId="0" xfId="8" applyNumberFormat="1" applyFont="1" applyBorder="1" applyAlignment="1">
      <alignment horizontal="right" vertical="center"/>
    </xf>
    <xf numFmtId="166" fontId="21" fillId="0" borderId="0" xfId="8" applyNumberFormat="1" applyFont="1" applyBorder="1" applyAlignment="1">
      <alignment horizontal="right" vertical="center"/>
    </xf>
    <xf numFmtId="41" fontId="21" fillId="0" borderId="0" xfId="8" applyNumberFormat="1" applyFont="1" applyBorder="1" applyAlignment="1">
      <alignment horizontal="right" vertical="center"/>
    </xf>
    <xf numFmtId="43" fontId="21" fillId="0" borderId="0" xfId="6" applyFont="1" applyFill="1" applyBorder="1" applyAlignment="1">
      <alignment horizontal="center" vertical="center"/>
    </xf>
    <xf numFmtId="43" fontId="0" fillId="0" borderId="0" xfId="0" applyNumberFormat="1"/>
    <xf numFmtId="0" fontId="22" fillId="0" borderId="0" xfId="5" applyFont="1" applyBorder="1" applyAlignment="1">
      <alignment horizontal="center" vertical="center"/>
    </xf>
    <xf numFmtId="172" fontId="0" fillId="0" borderId="0" xfId="0" applyNumberFormat="1"/>
    <xf numFmtId="43" fontId="11" fillId="0" borderId="0" xfId="4" applyNumberFormat="1" applyFont="1"/>
    <xf numFmtId="9" fontId="8" fillId="0" borderId="6" xfId="8" applyNumberFormat="1" applyFont="1" applyBorder="1" applyAlignment="1">
      <alignment horizontal="right" vertical="center"/>
    </xf>
    <xf numFmtId="0" fontId="4" fillId="0" borderId="0" xfId="0" applyFont="1" applyBorder="1"/>
    <xf numFmtId="43" fontId="7" fillId="0" borderId="6" xfId="5" applyNumberFormat="1" applyBorder="1" applyAlignment="1">
      <alignment horizontal="center" vertical="center"/>
    </xf>
    <xf numFmtId="0" fontId="20" fillId="7" borderId="6" xfId="5" applyFont="1" applyFill="1" applyBorder="1" applyAlignment="1">
      <alignment horizontal="center" vertical="center" wrapText="1"/>
    </xf>
    <xf numFmtId="10" fontId="10" fillId="0" borderId="6" xfId="5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173" fontId="8" fillId="0" borderId="5" xfId="4" applyNumberFormat="1" applyFont="1" applyFill="1" applyBorder="1" applyAlignment="1">
      <alignment horizontal="right" vertical="center"/>
    </xf>
    <xf numFmtId="1" fontId="8" fillId="0" borderId="5" xfId="4" applyNumberFormat="1" applyFont="1" applyFill="1" applyBorder="1" applyAlignment="1">
      <alignment horizontal="right" vertical="center"/>
    </xf>
    <xf numFmtId="174" fontId="8" fillId="0" borderId="6" xfId="8" applyNumberFormat="1" applyFont="1" applyBorder="1" applyAlignment="1">
      <alignment horizontal="right" vertical="center"/>
    </xf>
    <xf numFmtId="1" fontId="8" fillId="0" borderId="6" xfId="8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68" fontId="0" fillId="0" borderId="6" xfId="0" applyNumberFormat="1" applyBorder="1" applyAlignment="1">
      <alignment vertical="center" wrapText="1"/>
    </xf>
    <xf numFmtId="0" fontId="8" fillId="0" borderId="6" xfId="0" applyFont="1" applyFill="1" applyBorder="1" applyAlignment="1">
      <alignment vertical="center"/>
    </xf>
    <xf numFmtId="9" fontId="0" fillId="0" borderId="6" xfId="0" applyNumberFormat="1" applyBorder="1" applyAlignment="1">
      <alignment vertical="center"/>
    </xf>
    <xf numFmtId="2" fontId="0" fillId="0" borderId="6" xfId="0" applyNumberFormat="1" applyBorder="1" applyAlignment="1">
      <alignment vertical="center"/>
    </xf>
    <xf numFmtId="0" fontId="13" fillId="0" borderId="7" xfId="4" applyFont="1" applyBorder="1" applyAlignment="1">
      <alignment horizontal="left" vertical="center" wrapText="1"/>
    </xf>
    <xf numFmtId="0" fontId="13" fillId="0" borderId="7" xfId="4" applyFont="1" applyBorder="1" applyAlignment="1">
      <alignment horizontal="left" vertical="center"/>
    </xf>
    <xf numFmtId="0" fontId="16" fillId="0" borderId="7" xfId="5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9" fillId="3" borderId="0" xfId="4" applyFont="1" applyFill="1" applyAlignment="1">
      <alignment vertical="center"/>
    </xf>
    <xf numFmtId="0" fontId="5" fillId="3" borderId="0" xfId="0" applyFont="1" applyFill="1"/>
    <xf numFmtId="0" fontId="9" fillId="0" borderId="6" xfId="0" applyFont="1" applyBorder="1" applyAlignment="1">
      <alignment horizontal="center" vertical="center" wrapText="1"/>
    </xf>
    <xf numFmtId="10" fontId="9" fillId="0" borderId="6" xfId="0" applyNumberFormat="1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2" fontId="13" fillId="0" borderId="6" xfId="4" applyNumberFormat="1" applyFont="1" applyBorder="1" applyAlignment="1">
      <alignment horizontal="right" vertical="center" wrapText="1"/>
    </xf>
    <xf numFmtId="9" fontId="9" fillId="0" borderId="6" xfId="10" applyFont="1" applyBorder="1" applyAlignment="1">
      <alignment wrapText="1"/>
    </xf>
    <xf numFmtId="0" fontId="9" fillId="0" borderId="0" xfId="4" applyNumberFormat="1" applyFont="1"/>
    <xf numFmtId="49" fontId="7" fillId="0" borderId="6" xfId="5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21" fillId="0" borderId="0" xfId="4" quotePrefix="1" applyFont="1" applyFill="1" applyBorder="1" applyAlignment="1">
      <alignment horizontal="left" vertical="center"/>
    </xf>
    <xf numFmtId="0" fontId="21" fillId="0" borderId="0" xfId="4" applyFont="1" applyBorder="1" applyAlignment="1">
      <alignment horizontal="left" vertical="center"/>
    </xf>
    <xf numFmtId="0" fontId="21" fillId="0" borderId="0" xfId="4" applyFont="1" applyBorder="1" applyAlignment="1">
      <alignment horizontal="left" vertical="center" wrapText="1"/>
    </xf>
    <xf numFmtId="9" fontId="0" fillId="0" borderId="0" xfId="0" applyNumberFormat="1"/>
    <xf numFmtId="0" fontId="21" fillId="0" borderId="0" xfId="4" applyFont="1" applyFill="1" applyBorder="1" applyAlignment="1">
      <alignment horizontal="left" vertical="center" wrapText="1"/>
    </xf>
    <xf numFmtId="43" fontId="7" fillId="0" borderId="6" xfId="5" applyNumberFormat="1" applyFont="1" applyBorder="1" applyAlignment="1">
      <alignment horizontal="center" vertical="center"/>
    </xf>
    <xf numFmtId="2" fontId="7" fillId="0" borderId="6" xfId="5" applyNumberFormat="1" applyFont="1" applyBorder="1" applyAlignment="1">
      <alignment horizontal="center" vertical="center"/>
    </xf>
    <xf numFmtId="10" fontId="7" fillId="0" borderId="6" xfId="5" applyNumberFormat="1" applyFont="1" applyBorder="1" applyAlignment="1">
      <alignment horizontal="center" vertical="center"/>
    </xf>
    <xf numFmtId="0" fontId="7" fillId="0" borderId="6" xfId="5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8" fillId="0" borderId="6" xfId="4" applyFont="1" applyFill="1" applyBorder="1" applyAlignment="1">
      <alignment horizontal="center" vertical="center" wrapText="1"/>
    </xf>
    <xf numFmtId="43" fontId="0" fillId="0" borderId="6" xfId="1" applyFont="1" applyBorder="1"/>
    <xf numFmtId="0" fontId="20" fillId="0" borderId="6" xfId="5" applyFont="1" applyBorder="1" applyAlignment="1">
      <alignment horizontal="center" vertical="center"/>
    </xf>
    <xf numFmtId="43" fontId="4" fillId="0" borderId="6" xfId="1" applyFont="1" applyBorder="1"/>
    <xf numFmtId="43" fontId="20" fillId="0" borderId="6" xfId="5" applyNumberFormat="1" applyFont="1" applyBorder="1" applyAlignment="1">
      <alignment horizontal="center" vertical="center"/>
    </xf>
    <xf numFmtId="2" fontId="20" fillId="0" borderId="6" xfId="5" applyNumberFormat="1" applyFont="1" applyBorder="1" applyAlignment="1">
      <alignment horizontal="center" vertical="center"/>
    </xf>
    <xf numFmtId="10" fontId="20" fillId="0" borderId="6" xfId="5" applyNumberFormat="1" applyFont="1" applyBorder="1" applyAlignment="1">
      <alignment horizontal="center" vertical="center"/>
    </xf>
    <xf numFmtId="10" fontId="0" fillId="0" borderId="0" xfId="0" applyNumberFormat="1"/>
    <xf numFmtId="2" fontId="0" fillId="0" borderId="0" xfId="0" applyNumberFormat="1"/>
    <xf numFmtId="0" fontId="0" fillId="0" borderId="6" xfId="0" applyBorder="1" applyAlignment="1">
      <alignment horizontal="left" vertical="center" wrapText="1"/>
    </xf>
    <xf numFmtId="2" fontId="0" fillId="0" borderId="6" xfId="0" applyNumberFormat="1" applyBorder="1" applyAlignment="1">
      <alignment horizontal="right" vertical="center" wrapText="1"/>
    </xf>
    <xf numFmtId="166" fontId="8" fillId="0" borderId="6" xfId="4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 wrapText="1"/>
    </xf>
    <xf numFmtId="2" fontId="0" fillId="0" borderId="5" xfId="0" applyNumberFormat="1" applyBorder="1" applyAlignment="1">
      <alignment horizontal="right" vertical="center" wrapText="1"/>
    </xf>
    <xf numFmtId="0" fontId="24" fillId="0" borderId="0" xfId="0" applyFont="1"/>
    <xf numFmtId="0" fontId="23" fillId="9" borderId="6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27" fillId="0" borderId="0" xfId="0" applyFont="1"/>
    <xf numFmtId="0" fontId="28" fillId="10" borderId="6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/>
    </xf>
    <xf numFmtId="0" fontId="27" fillId="0" borderId="6" xfId="0" applyFont="1" applyBorder="1"/>
    <xf numFmtId="0" fontId="29" fillId="0" borderId="6" xfId="0" applyFont="1" applyFill="1" applyBorder="1" applyAlignment="1">
      <alignment horizontal="center" vertical="center"/>
    </xf>
    <xf numFmtId="168" fontId="27" fillId="0" borderId="6" xfId="1" applyNumberFormat="1" applyFont="1" applyBorder="1"/>
    <xf numFmtId="9" fontId="27" fillId="0" borderId="6" xfId="10" applyNumberFormat="1" applyFont="1" applyBorder="1"/>
    <xf numFmtId="9" fontId="27" fillId="0" borderId="0" xfId="0" applyNumberFormat="1" applyFont="1"/>
    <xf numFmtId="9" fontId="28" fillId="6" borderId="6" xfId="10" applyNumberFormat="1" applyFont="1" applyFill="1" applyBorder="1"/>
    <xf numFmtId="9" fontId="27" fillId="0" borderId="0" xfId="10" applyNumberFormat="1" applyFont="1"/>
    <xf numFmtId="0" fontId="30" fillId="6" borderId="6" xfId="0" applyFont="1" applyFill="1" applyBorder="1" applyAlignment="1">
      <alignment horizontal="center" vertical="center"/>
    </xf>
    <xf numFmtId="168" fontId="28" fillId="6" borderId="6" xfId="0" applyNumberFormat="1" applyFont="1" applyFill="1" applyBorder="1" applyAlignment="1">
      <alignment horizontal="center" vertical="center"/>
    </xf>
    <xf numFmtId="175" fontId="27" fillId="0" borderId="0" xfId="0" applyNumberFormat="1" applyFont="1"/>
    <xf numFmtId="0" fontId="25" fillId="6" borderId="0" xfId="0" applyFont="1" applyFill="1"/>
    <xf numFmtId="0" fontId="31" fillId="0" borderId="0" xfId="0" applyFont="1"/>
    <xf numFmtId="0" fontId="32" fillId="6" borderId="0" xfId="0" applyFont="1" applyFill="1"/>
    <xf numFmtId="168" fontId="0" fillId="0" borderId="0" xfId="0" applyNumberFormat="1" applyFill="1"/>
    <xf numFmtId="0" fontId="0" fillId="0" borderId="0" xfId="0" applyFill="1"/>
    <xf numFmtId="168" fontId="0" fillId="6" borderId="0" xfId="0" applyNumberFormat="1" applyFill="1"/>
    <xf numFmtId="0" fontId="26" fillId="6" borderId="0" xfId="0" applyFont="1" applyFill="1"/>
    <xf numFmtId="0" fontId="23" fillId="11" borderId="6" xfId="0" applyFont="1" applyFill="1" applyBorder="1" applyAlignment="1">
      <alignment horizontal="center" vertical="center"/>
    </xf>
    <xf numFmtId="2" fontId="0" fillId="0" borderId="8" xfId="0" applyNumberFormat="1" applyBorder="1" applyAlignment="1">
      <alignment horizontal="right" vertical="center" wrapText="1"/>
    </xf>
    <xf numFmtId="2" fontId="0" fillId="0" borderId="10" xfId="0" applyNumberFormat="1" applyBorder="1" applyAlignment="1">
      <alignment horizontal="right" vertical="center" wrapText="1"/>
    </xf>
    <xf numFmtId="10" fontId="0" fillId="0" borderId="6" xfId="10" applyNumberFormat="1" applyFont="1" applyBorder="1"/>
    <xf numFmtId="2" fontId="17" fillId="0" borderId="6" xfId="5" applyNumberFormat="1" applyFont="1" applyBorder="1" applyAlignment="1">
      <alignment horizontal="right" vertical="center" wrapText="1"/>
    </xf>
    <xf numFmtId="2" fontId="17" fillId="0" borderId="6" xfId="5" applyNumberFormat="1" applyFont="1" applyBorder="1" applyAlignment="1">
      <alignment horizontal="right" vertical="center"/>
    </xf>
    <xf numFmtId="2" fontId="5" fillId="0" borderId="6" xfId="0" applyNumberFormat="1" applyFont="1" applyBorder="1" applyAlignment="1">
      <alignment vertical="center" wrapText="1"/>
    </xf>
    <xf numFmtId="1" fontId="0" fillId="0" borderId="0" xfId="0" applyNumberFormat="1"/>
    <xf numFmtId="164" fontId="0" fillId="0" borderId="6" xfId="1" applyNumberFormat="1" applyFont="1" applyBorder="1"/>
    <xf numFmtId="0" fontId="23" fillId="9" borderId="6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horizontal="center" vertical="center" wrapText="1"/>
    </xf>
    <xf numFmtId="0" fontId="24" fillId="9" borderId="6" xfId="0" applyFont="1" applyFill="1" applyBorder="1" applyAlignment="1">
      <alignment horizontal="center" vertical="center"/>
    </xf>
    <xf numFmtId="0" fontId="28" fillId="10" borderId="4" xfId="0" applyFont="1" applyFill="1" applyBorder="1" applyAlignment="1">
      <alignment horizontal="center" vertical="center"/>
    </xf>
    <xf numFmtId="0" fontId="28" fillId="10" borderId="5" xfId="0" applyFont="1" applyFill="1" applyBorder="1" applyAlignment="1">
      <alignment horizontal="center" vertical="center"/>
    </xf>
    <xf numFmtId="0" fontId="28" fillId="6" borderId="10" xfId="0" applyFont="1" applyFill="1" applyBorder="1" applyAlignment="1">
      <alignment horizontal="center"/>
    </xf>
    <xf numFmtId="0" fontId="28" fillId="6" borderId="12" xfId="0" applyFont="1" applyFill="1" applyBorder="1" applyAlignment="1">
      <alignment horizontal="center"/>
    </xf>
    <xf numFmtId="0" fontId="0" fillId="0" borderId="10" xfId="0" applyNumberFormat="1" applyBorder="1" applyAlignment="1">
      <alignment horizontal="left" vertical="center" wrapText="1"/>
    </xf>
    <xf numFmtId="0" fontId="0" fillId="0" borderId="11" xfId="0" applyNumberFormat="1" applyBorder="1" applyAlignment="1">
      <alignment horizontal="left" vertical="center" wrapText="1"/>
    </xf>
    <xf numFmtId="0" fontId="0" fillId="0" borderId="12" xfId="0" applyNumberFormat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3" fillId="11" borderId="10" xfId="0" applyFont="1" applyFill="1" applyBorder="1" applyAlignment="1">
      <alignment horizontal="center" vertical="center"/>
    </xf>
    <xf numFmtId="0" fontId="23" fillId="11" borderId="11" xfId="0" applyFont="1" applyFill="1" applyBorder="1" applyAlignment="1">
      <alignment horizontal="center" vertical="center"/>
    </xf>
    <xf numFmtId="0" fontId="23" fillId="11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3" fillId="11" borderId="4" xfId="0" applyFont="1" applyFill="1" applyBorder="1" applyAlignment="1">
      <alignment horizontal="center" vertical="center"/>
    </xf>
    <xf numFmtId="0" fontId="23" fillId="11" borderId="5" xfId="0" applyFont="1" applyFill="1" applyBorder="1" applyAlignment="1">
      <alignment horizontal="center" vertical="center"/>
    </xf>
    <xf numFmtId="0" fontId="12" fillId="5" borderId="6" xfId="4" applyFont="1" applyFill="1" applyBorder="1" applyAlignment="1">
      <alignment horizontal="center" vertical="center"/>
    </xf>
    <xf numFmtId="0" fontId="12" fillId="4" borderId="6" xfId="4" quotePrefix="1" applyFont="1" applyFill="1" applyBorder="1" applyAlignment="1">
      <alignment horizontal="center" vertical="center"/>
    </xf>
    <xf numFmtId="0" fontId="12" fillId="4" borderId="6" xfId="4" applyFont="1" applyFill="1" applyBorder="1" applyAlignment="1">
      <alignment horizontal="center" vertical="center"/>
    </xf>
    <xf numFmtId="0" fontId="12" fillId="4" borderId="4" xfId="4" applyFont="1" applyFill="1" applyBorder="1" applyAlignment="1">
      <alignment horizontal="center" vertical="center"/>
    </xf>
    <xf numFmtId="0" fontId="12" fillId="4" borderId="5" xfId="4" applyFont="1" applyFill="1" applyBorder="1" applyAlignment="1">
      <alignment horizontal="center" vertical="center"/>
    </xf>
    <xf numFmtId="0" fontId="12" fillId="5" borderId="4" xfId="4" quotePrefix="1" applyFont="1" applyFill="1" applyBorder="1" applyAlignment="1">
      <alignment horizontal="center" vertical="center"/>
    </xf>
    <xf numFmtId="0" fontId="12" fillId="5" borderId="5" xfId="4" quotePrefix="1" applyFont="1" applyFill="1" applyBorder="1" applyAlignment="1">
      <alignment horizontal="center" vertical="center"/>
    </xf>
    <xf numFmtId="0" fontId="12" fillId="5" borderId="4" xfId="4" applyFont="1" applyFill="1" applyBorder="1" applyAlignment="1">
      <alignment horizontal="center" vertical="center"/>
    </xf>
    <xf numFmtId="0" fontId="12" fillId="5" borderId="5" xfId="4" applyFont="1" applyFill="1" applyBorder="1" applyAlignment="1">
      <alignment horizontal="center" vertical="center"/>
    </xf>
    <xf numFmtId="0" fontId="12" fillId="2" borderId="6" xfId="4" applyFont="1" applyFill="1" applyBorder="1" applyAlignment="1">
      <alignment horizontal="center" vertical="center"/>
    </xf>
    <xf numFmtId="0" fontId="12" fillId="2" borderId="6" xfId="4" quotePrefix="1" applyFont="1" applyFill="1" applyBorder="1" applyAlignment="1">
      <alignment horizontal="center" vertical="center"/>
    </xf>
    <xf numFmtId="0" fontId="12" fillId="2" borderId="4" xfId="4" applyFont="1" applyFill="1" applyBorder="1" applyAlignment="1">
      <alignment horizontal="center" vertical="center"/>
    </xf>
    <xf numFmtId="0" fontId="12" fillId="2" borderId="5" xfId="4" applyFont="1" applyFill="1" applyBorder="1" applyAlignment="1">
      <alignment horizontal="center" vertical="center"/>
    </xf>
    <xf numFmtId="0" fontId="12" fillId="8" borderId="4" xfId="4" applyFont="1" applyFill="1" applyBorder="1" applyAlignment="1">
      <alignment horizontal="center" vertical="center"/>
    </xf>
    <xf numFmtId="0" fontId="12" fillId="8" borderId="5" xfId="4" applyFont="1" applyFill="1" applyBorder="1" applyAlignment="1">
      <alignment horizontal="center" vertical="center"/>
    </xf>
    <xf numFmtId="0" fontId="12" fillId="8" borderId="4" xfId="4" quotePrefix="1" applyFont="1" applyFill="1" applyBorder="1" applyAlignment="1">
      <alignment horizontal="center" vertical="center"/>
    </xf>
    <xf numFmtId="0" fontId="12" fillId="8" borderId="5" xfId="4" quotePrefix="1" applyFont="1" applyFill="1" applyBorder="1" applyAlignment="1">
      <alignment horizontal="center" vertical="center"/>
    </xf>
    <xf numFmtId="0" fontId="12" fillId="0" borderId="7" xfId="4" quotePrefix="1" applyFont="1" applyFill="1" applyBorder="1" applyAlignment="1">
      <alignment horizontal="center" vertical="center"/>
    </xf>
    <xf numFmtId="0" fontId="12" fillId="8" borderId="15" xfId="4" quotePrefix="1" applyFont="1" applyFill="1" applyBorder="1" applyAlignment="1">
      <alignment horizontal="center" vertical="center"/>
    </xf>
    <xf numFmtId="0" fontId="12" fillId="8" borderId="9" xfId="4" quotePrefix="1" applyFont="1" applyFill="1" applyBorder="1" applyAlignment="1">
      <alignment horizontal="center" vertical="center"/>
    </xf>
  </cellXfs>
  <cellStyles count="11">
    <cellStyle name="Comma" xfId="1" builtinId="3"/>
    <cellStyle name="Comma [0] 2" xfId="7"/>
    <cellStyle name="Comma [0] 3" xfId="8"/>
    <cellStyle name="Comma 4" xfId="6"/>
    <cellStyle name="Heading 1" xfId="2" builtinId="16"/>
    <cellStyle name="Heading 2" xfId="3" builtinId="17"/>
    <cellStyle name="Normal" xfId="0" builtinId="0"/>
    <cellStyle name="Normal 2" xfId="5"/>
    <cellStyle name="Normal 4" xfId="4"/>
    <cellStyle name="Percent" xfId="10" builtinId="5"/>
    <cellStyle name="Percent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 ER Tanpa skenario'!$E$21</c:f>
              <c:strCache>
                <c:ptCount val="1"/>
                <c:pt idx="0">
                  <c:v>Emisi Baseline Tanpa skenario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 ER Tanpa skenario'!$B$28:$B$37</c:f>
              <c:numCache>
                <c:formatCode>General</c:formatCod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numCache>
            </c:numRef>
          </c:cat>
          <c:val>
            <c:numRef>
              <c:f>' ER Tanpa skenario'!$E$28:$E$37</c:f>
              <c:numCache>
                <c:formatCode>0.00</c:formatCode>
                <c:ptCount val="10"/>
                <c:pt idx="0">
                  <c:v>44767.798498181328</c:v>
                </c:pt>
                <c:pt idx="1">
                  <c:v>44767.798498181328</c:v>
                </c:pt>
                <c:pt idx="2">
                  <c:v>44767.798498181328</c:v>
                </c:pt>
                <c:pt idx="3">
                  <c:v>44767.798498181328</c:v>
                </c:pt>
                <c:pt idx="4">
                  <c:v>44767.798498181328</c:v>
                </c:pt>
                <c:pt idx="5">
                  <c:v>44767.798498181328</c:v>
                </c:pt>
                <c:pt idx="6">
                  <c:v>44767.798498181328</c:v>
                </c:pt>
                <c:pt idx="7">
                  <c:v>44767.798498181328</c:v>
                </c:pt>
                <c:pt idx="8">
                  <c:v>44767.798498181328</c:v>
                </c:pt>
                <c:pt idx="9">
                  <c:v>44767.798498181328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1-4967-817E-462B774582E3}"/>
            </c:ext>
          </c:extLst>
        </c:ser>
        <c:ser>
          <c:idx val="1"/>
          <c:order val="1"/>
          <c:tx>
            <c:strRef>
              <c:f>' ER Tanpa skenario'!$K$21</c:f>
              <c:strCache>
                <c:ptCount val="1"/>
                <c:pt idx="0">
                  <c:v>Emisi Proyek Tanpa skenario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 ER Tanpa skenario'!$B$28:$B$37</c:f>
              <c:numCache>
                <c:formatCode>General</c:formatCod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numCache>
            </c:numRef>
          </c:cat>
          <c:val>
            <c:numRef>
              <c:f>' ER Tanpa skenario'!$K$28:$K$37</c:f>
              <c:numCache>
                <c:formatCode>_(* #,##0.00_);_(* \(#,##0.00\);_(* "-"??_);_(@_)</c:formatCode>
                <c:ptCount val="10"/>
                <c:pt idx="0">
                  <c:v>15282.0727936517</c:v>
                </c:pt>
                <c:pt idx="1">
                  <c:v>15282.0727936517</c:v>
                </c:pt>
                <c:pt idx="2">
                  <c:v>15282.0727936517</c:v>
                </c:pt>
                <c:pt idx="3">
                  <c:v>15282.0727936517</c:v>
                </c:pt>
                <c:pt idx="4">
                  <c:v>15282.0727936517</c:v>
                </c:pt>
                <c:pt idx="5">
                  <c:v>15282.0727936517</c:v>
                </c:pt>
                <c:pt idx="6">
                  <c:v>15282.0727936517</c:v>
                </c:pt>
                <c:pt idx="7">
                  <c:v>15282.0727936517</c:v>
                </c:pt>
                <c:pt idx="8">
                  <c:v>15282.0727936517</c:v>
                </c:pt>
                <c:pt idx="9">
                  <c:v>15282.0727936517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1-4967-817E-462B77458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961440"/>
        <c:axId val="311964064"/>
      </c:lineChart>
      <c:catAx>
        <c:axId val="311961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Tahun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964064"/>
        <c:crosses val="autoZero"/>
        <c:auto val="1"/>
        <c:lblAlgn val="ctr"/>
        <c:lblOffset val="100"/>
        <c:noMultiLvlLbl val="0"/>
      </c:catAx>
      <c:valAx>
        <c:axId val="311964064"/>
        <c:scaling>
          <c:orientation val="minMax"/>
          <c:max val="500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CO2 (ton)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96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 ER POME naik'!$E$21</c:f>
              <c:strCache>
                <c:ptCount val="1"/>
                <c:pt idx="0">
                  <c:v>Emisi Baseline POME naik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 ER POME naik'!$B$28:$B$37</c:f>
              <c:numCache>
                <c:formatCode>General</c:formatCod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numCache>
            </c:numRef>
          </c:cat>
          <c:val>
            <c:numRef>
              <c:f>' ER POME naik'!$E$28:$E$37</c:f>
              <c:numCache>
                <c:formatCode>0.00</c:formatCode>
                <c:ptCount val="10"/>
                <c:pt idx="0">
                  <c:v>45135.929676335982</c:v>
                </c:pt>
                <c:pt idx="1">
                  <c:v>45507.088042980497</c:v>
                </c:pt>
                <c:pt idx="2">
                  <c:v>45881.298491062524</c:v>
                </c:pt>
                <c:pt idx="3">
                  <c:v>46258.586118227548</c:v>
                </c:pt>
                <c:pt idx="4">
                  <c:v>46638.976228502092</c:v>
                </c:pt>
                <c:pt idx="5">
                  <c:v>47022.494333990879</c:v>
                </c:pt>
                <c:pt idx="6">
                  <c:v>47409.16615658778</c:v>
                </c:pt>
                <c:pt idx="7">
                  <c:v>47799.017629701077</c:v>
                </c:pt>
                <c:pt idx="8">
                  <c:v>48192.074899992622</c:v>
                </c:pt>
                <c:pt idx="9">
                  <c:v>48588.364329131582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C-474E-83F4-043C13A6CC3A}"/>
            </c:ext>
          </c:extLst>
        </c:ser>
        <c:ser>
          <c:idx val="1"/>
          <c:order val="1"/>
          <c:tx>
            <c:strRef>
              <c:f>' ER POME naik'!$K$21</c:f>
              <c:strCache>
                <c:ptCount val="1"/>
                <c:pt idx="0">
                  <c:v>Emisi Proyek POME naik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 ER POME naik'!$B$28:$B$37</c:f>
              <c:numCache>
                <c:formatCode>General</c:formatCod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numCache>
            </c:numRef>
          </c:cat>
          <c:val>
            <c:numRef>
              <c:f>' ER POME naik'!$K$28:$K$37</c:f>
              <c:numCache>
                <c:formatCode>_(* #,##0.00_);_(* \(#,##0.00\);_(* "-"??_);_(@_)</c:formatCode>
                <c:ptCount val="10"/>
                <c:pt idx="0">
                  <c:v>15568.660661612428</c:v>
                </c:pt>
                <c:pt idx="1">
                  <c:v>15857.605177275655</c:v>
                </c:pt>
                <c:pt idx="2">
                  <c:v>16148.925719648731</c:v>
                </c:pt>
                <c:pt idx="3">
                  <c:v>16442.641827094954</c:v>
                </c:pt>
                <c:pt idx="4">
                  <c:v>16738.773198644049</c:v>
                </c:pt>
                <c:pt idx="5">
                  <c:v>17037.339695313305</c:v>
                </c:pt>
                <c:pt idx="6">
                  <c:v>17338.361341439613</c:v>
                </c:pt>
                <c:pt idx="7">
                  <c:v>17641.858326022495</c:v>
                </c:pt>
                <c:pt idx="8">
                  <c:v>17947.851004078111</c:v>
                </c:pt>
                <c:pt idx="9">
                  <c:v>18256.359898004481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C-474E-83F4-043C13A6C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961440"/>
        <c:axId val="311964064"/>
      </c:lineChart>
      <c:catAx>
        <c:axId val="311961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Tahun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964064"/>
        <c:crosses val="autoZero"/>
        <c:auto val="1"/>
        <c:lblAlgn val="ctr"/>
        <c:lblOffset val="100"/>
        <c:noMultiLvlLbl val="0"/>
      </c:catAx>
      <c:valAx>
        <c:axId val="311964064"/>
        <c:scaling>
          <c:orientation val="minMax"/>
          <c:max val="500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CO2 (ton)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96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 ER POME turun'!$E$21</c:f>
              <c:strCache>
                <c:ptCount val="1"/>
                <c:pt idx="0">
                  <c:v>Emisi Baseline POME turun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 ER POME turun'!$B$28:$B$37</c:f>
              <c:numCache>
                <c:formatCode>General</c:formatCod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numCache>
            </c:numRef>
          </c:cat>
          <c:val>
            <c:numRef>
              <c:f>' ER POME turun'!$E$28:$E$37</c:f>
              <c:numCache>
                <c:formatCode>0.00</c:formatCode>
                <c:ptCount val="10"/>
                <c:pt idx="0">
                  <c:v>43988.053702179408</c:v>
                </c:pt>
                <c:pt idx="1">
                  <c:v>43221.890140173527</c:v>
                </c:pt>
                <c:pt idx="2">
                  <c:v>42469.07126051528</c:v>
                </c:pt>
                <c:pt idx="3">
                  <c:v>41729.364631703342</c:v>
                </c:pt>
                <c:pt idx="4">
                  <c:v>41002.541870620742</c:v>
                </c:pt>
                <c:pt idx="5">
                  <c:v>40288.378572021953</c:v>
                </c:pt>
                <c:pt idx="6">
                  <c:v>39586.654239248128</c:v>
                </c:pt>
                <c:pt idx="7">
                  <c:v>38897.152216149188</c:v>
                </c:pt>
                <c:pt idx="8">
                  <c:v>38219.659620191647</c:v>
                </c:pt>
                <c:pt idx="9">
                  <c:v>37553.967276731426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9-4FDD-8CBD-0EB558F20219}"/>
            </c:ext>
          </c:extLst>
        </c:ser>
        <c:ser>
          <c:idx val="1"/>
          <c:order val="1"/>
          <c:tx>
            <c:strRef>
              <c:f>' ER POME turun'!$K$21</c:f>
              <c:strCache>
                <c:ptCount val="1"/>
                <c:pt idx="0">
                  <c:v>Emisi Proyek POME turun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 ER POME turun'!$B$28:$B$37</c:f>
              <c:numCache>
                <c:formatCode>General</c:formatCod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numCache>
            </c:numRef>
          </c:cat>
          <c:val>
            <c:numRef>
              <c:f>' ER POME turun'!$K$28:$K$37</c:f>
              <c:numCache>
                <c:formatCode>_(* #,##0.00_);_(* \(#,##0.00\);_(* "-"??_);_(@_)</c:formatCode>
                <c:ptCount val="10"/>
                <c:pt idx="0">
                  <c:v>14675.046244692099</c:v>
                </c:pt>
                <c:pt idx="1">
                  <c:v>14078.592603234425</c:v>
                </c:pt>
                <c:pt idx="2">
                  <c:v>13492.527715268885</c:v>
                </c:pt>
                <c:pt idx="3">
                  <c:v>12916.670634294995</c:v>
                </c:pt>
                <c:pt idx="4">
                  <c:v>12350.843565454681</c:v>
                </c:pt>
                <c:pt idx="5">
                  <c:v>11794.871810638426</c:v>
                </c:pt>
                <c:pt idx="6">
                  <c:v>11248.583714547525</c:v>
                </c:pt>
                <c:pt idx="7">
                  <c:v>10711.810611695837</c:v>
                </c:pt>
                <c:pt idx="8">
                  <c:v>10184.386774334602</c:v>
                </c:pt>
                <c:pt idx="9">
                  <c:v>9666.1493612842769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9-4FDD-8CBD-0EB558F20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961440"/>
        <c:axId val="311964064"/>
      </c:lineChart>
      <c:catAx>
        <c:axId val="311961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Tahun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964064"/>
        <c:crosses val="autoZero"/>
        <c:auto val="1"/>
        <c:lblAlgn val="ctr"/>
        <c:lblOffset val="100"/>
        <c:noMultiLvlLbl val="0"/>
      </c:catAx>
      <c:valAx>
        <c:axId val="311964064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CO2 (ton)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96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546728007313691"/>
          <c:y val="0.86068013944077426"/>
          <c:w val="0.59897804909217822"/>
          <c:h val="0.114552058701640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 ER POME turun'!$E$21</c:f>
              <c:strCache>
                <c:ptCount val="1"/>
                <c:pt idx="0">
                  <c:v>Emisi Baseline POME turun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 ER POME turun'!$B$28:$B$37</c:f>
              <c:numCache>
                <c:formatCode>General</c:formatCod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numCache>
            </c:numRef>
          </c:cat>
          <c:val>
            <c:numRef>
              <c:f>' ER POME turun'!$E$28:$E$37</c:f>
              <c:numCache>
                <c:formatCode>0.00</c:formatCode>
                <c:ptCount val="10"/>
                <c:pt idx="0">
                  <c:v>43988.053702179408</c:v>
                </c:pt>
                <c:pt idx="1">
                  <c:v>43221.890140173527</c:v>
                </c:pt>
                <c:pt idx="2">
                  <c:v>42469.07126051528</c:v>
                </c:pt>
                <c:pt idx="3">
                  <c:v>41729.364631703342</c:v>
                </c:pt>
                <c:pt idx="4">
                  <c:v>41002.541870620742</c:v>
                </c:pt>
                <c:pt idx="5">
                  <c:v>40288.378572021953</c:v>
                </c:pt>
                <c:pt idx="6">
                  <c:v>39586.654239248128</c:v>
                </c:pt>
                <c:pt idx="7">
                  <c:v>38897.152216149188</c:v>
                </c:pt>
                <c:pt idx="8">
                  <c:v>38219.659620191647</c:v>
                </c:pt>
                <c:pt idx="9">
                  <c:v>37553.967276731426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7-4537-AFC4-F3E96A3BABFF}"/>
            </c:ext>
          </c:extLst>
        </c:ser>
        <c:ser>
          <c:idx val="1"/>
          <c:order val="1"/>
          <c:tx>
            <c:strRef>
              <c:f>' ER POME turun'!$K$21</c:f>
              <c:strCache>
                <c:ptCount val="1"/>
                <c:pt idx="0">
                  <c:v>Emisi Proyek POME turun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 ER POME turun'!$B$28:$B$37</c:f>
              <c:numCache>
                <c:formatCode>General</c:formatCod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numCache>
            </c:numRef>
          </c:cat>
          <c:val>
            <c:numRef>
              <c:f>' ER POME turun'!$K$28:$K$37</c:f>
              <c:numCache>
                <c:formatCode>_(* #,##0.00_);_(* \(#,##0.00\);_(* "-"??_);_(@_)</c:formatCode>
                <c:ptCount val="10"/>
                <c:pt idx="0">
                  <c:v>14675.046244692099</c:v>
                </c:pt>
                <c:pt idx="1">
                  <c:v>14078.592603234425</c:v>
                </c:pt>
                <c:pt idx="2">
                  <c:v>13492.527715268885</c:v>
                </c:pt>
                <c:pt idx="3">
                  <c:v>12916.670634294995</c:v>
                </c:pt>
                <c:pt idx="4">
                  <c:v>12350.843565454681</c:v>
                </c:pt>
                <c:pt idx="5">
                  <c:v>11794.871810638426</c:v>
                </c:pt>
                <c:pt idx="6">
                  <c:v>11248.583714547525</c:v>
                </c:pt>
                <c:pt idx="7">
                  <c:v>10711.810611695837</c:v>
                </c:pt>
                <c:pt idx="8">
                  <c:v>10184.386774334602</c:v>
                </c:pt>
                <c:pt idx="9">
                  <c:v>9666.1493612842769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7-4537-AFC4-F3E96A3BABFF}"/>
            </c:ext>
          </c:extLst>
        </c:ser>
        <c:ser>
          <c:idx val="2"/>
          <c:order val="2"/>
          <c:tx>
            <c:strRef>
              <c:f>' ER POME naik'!$E$21</c:f>
              <c:strCache>
                <c:ptCount val="1"/>
                <c:pt idx="0">
                  <c:v>Emisi Baseline POME naik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 ER POME naik'!$E$28:$E$37</c:f>
              <c:numCache>
                <c:formatCode>0.00</c:formatCode>
                <c:ptCount val="10"/>
                <c:pt idx="0">
                  <c:v>45135.929676335982</c:v>
                </c:pt>
                <c:pt idx="1">
                  <c:v>45507.088042980497</c:v>
                </c:pt>
                <c:pt idx="2">
                  <c:v>45881.298491062524</c:v>
                </c:pt>
                <c:pt idx="3">
                  <c:v>46258.586118227548</c:v>
                </c:pt>
                <c:pt idx="4">
                  <c:v>46638.976228502092</c:v>
                </c:pt>
                <c:pt idx="5">
                  <c:v>47022.494333990879</c:v>
                </c:pt>
                <c:pt idx="6">
                  <c:v>47409.16615658778</c:v>
                </c:pt>
                <c:pt idx="7">
                  <c:v>47799.017629701077</c:v>
                </c:pt>
                <c:pt idx="8">
                  <c:v>48192.074899992622</c:v>
                </c:pt>
                <c:pt idx="9">
                  <c:v>48588.364329131582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27-4537-AFC4-F3E96A3BABFF}"/>
            </c:ext>
          </c:extLst>
        </c:ser>
        <c:ser>
          <c:idx val="3"/>
          <c:order val="3"/>
          <c:tx>
            <c:strRef>
              <c:f>' ER POME naik'!$K$21</c:f>
              <c:strCache>
                <c:ptCount val="1"/>
                <c:pt idx="0">
                  <c:v>Emisi Proyek POME naik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 ER POME naik'!$K$28:$K$37</c:f>
              <c:numCache>
                <c:formatCode>_(* #,##0.00_);_(* \(#,##0.00\);_(* "-"??_);_(@_)</c:formatCode>
                <c:ptCount val="10"/>
                <c:pt idx="0">
                  <c:v>15568.660661612428</c:v>
                </c:pt>
                <c:pt idx="1">
                  <c:v>15857.605177275655</c:v>
                </c:pt>
                <c:pt idx="2">
                  <c:v>16148.925719648731</c:v>
                </c:pt>
                <c:pt idx="3">
                  <c:v>16442.641827094954</c:v>
                </c:pt>
                <c:pt idx="4">
                  <c:v>16738.773198644049</c:v>
                </c:pt>
                <c:pt idx="5">
                  <c:v>17037.339695313305</c:v>
                </c:pt>
                <c:pt idx="6">
                  <c:v>17338.361341439613</c:v>
                </c:pt>
                <c:pt idx="7">
                  <c:v>17641.858326022495</c:v>
                </c:pt>
                <c:pt idx="8">
                  <c:v>17947.851004078111</c:v>
                </c:pt>
                <c:pt idx="9">
                  <c:v>18256.359898004481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27-4537-AFC4-F3E96A3BA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961440"/>
        <c:axId val="311964064"/>
      </c:lineChart>
      <c:catAx>
        <c:axId val="311961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Tahun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964064"/>
        <c:crosses val="autoZero"/>
        <c:auto val="1"/>
        <c:lblAlgn val="ctr"/>
        <c:lblOffset val="100"/>
        <c:noMultiLvlLbl val="0"/>
      </c:catAx>
      <c:valAx>
        <c:axId val="311964064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CO2 (ton)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96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 ER POME turun'!$E$21</c:f>
              <c:strCache>
                <c:ptCount val="1"/>
                <c:pt idx="0">
                  <c:v>Emisi Baseline POME turun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 ER POME turun'!$B$28:$B$37</c:f>
              <c:numCache>
                <c:formatCode>General</c:formatCod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numCache>
            </c:numRef>
          </c:cat>
          <c:val>
            <c:numRef>
              <c:f>' ER POME turun'!$E$28:$E$37</c:f>
              <c:numCache>
                <c:formatCode>0.00</c:formatCode>
                <c:ptCount val="10"/>
                <c:pt idx="0">
                  <c:v>43988.053702179408</c:v>
                </c:pt>
                <c:pt idx="1">
                  <c:v>43221.890140173527</c:v>
                </c:pt>
                <c:pt idx="2">
                  <c:v>42469.07126051528</c:v>
                </c:pt>
                <c:pt idx="3">
                  <c:v>41729.364631703342</c:v>
                </c:pt>
                <c:pt idx="4">
                  <c:v>41002.541870620742</c:v>
                </c:pt>
                <c:pt idx="5">
                  <c:v>40288.378572021953</c:v>
                </c:pt>
                <c:pt idx="6">
                  <c:v>39586.654239248128</c:v>
                </c:pt>
                <c:pt idx="7">
                  <c:v>38897.152216149188</c:v>
                </c:pt>
                <c:pt idx="8">
                  <c:v>38219.659620191647</c:v>
                </c:pt>
                <c:pt idx="9">
                  <c:v>37553.967276731426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C-4D3A-96AC-10ABE71C99D1}"/>
            </c:ext>
          </c:extLst>
        </c:ser>
        <c:ser>
          <c:idx val="1"/>
          <c:order val="1"/>
          <c:tx>
            <c:strRef>
              <c:f>' ER POME turun'!$K$21</c:f>
              <c:strCache>
                <c:ptCount val="1"/>
                <c:pt idx="0">
                  <c:v>Emisi Proyek POME turun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 ER POME turun'!$B$28:$B$37</c:f>
              <c:numCache>
                <c:formatCode>General</c:formatCod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numCache>
            </c:numRef>
          </c:cat>
          <c:val>
            <c:numRef>
              <c:f>' ER POME turun'!$K$28:$K$37</c:f>
              <c:numCache>
                <c:formatCode>_(* #,##0.00_);_(* \(#,##0.00\);_(* "-"??_);_(@_)</c:formatCode>
                <c:ptCount val="10"/>
                <c:pt idx="0">
                  <c:v>14675.046244692099</c:v>
                </c:pt>
                <c:pt idx="1">
                  <c:v>14078.592603234425</c:v>
                </c:pt>
                <c:pt idx="2">
                  <c:v>13492.527715268885</c:v>
                </c:pt>
                <c:pt idx="3">
                  <c:v>12916.670634294995</c:v>
                </c:pt>
                <c:pt idx="4">
                  <c:v>12350.843565454681</c:v>
                </c:pt>
                <c:pt idx="5">
                  <c:v>11794.871810638426</c:v>
                </c:pt>
                <c:pt idx="6">
                  <c:v>11248.583714547525</c:v>
                </c:pt>
                <c:pt idx="7">
                  <c:v>10711.810611695837</c:v>
                </c:pt>
                <c:pt idx="8">
                  <c:v>10184.386774334602</c:v>
                </c:pt>
                <c:pt idx="9">
                  <c:v>9666.1493612842769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C-4D3A-96AC-10ABE71C99D1}"/>
            </c:ext>
          </c:extLst>
        </c:ser>
        <c:ser>
          <c:idx val="2"/>
          <c:order val="2"/>
          <c:tx>
            <c:strRef>
              <c:f>' ER POME naik'!$E$21</c:f>
              <c:strCache>
                <c:ptCount val="1"/>
                <c:pt idx="0">
                  <c:v>Emisi Baseline POME naik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 ER POME naik'!$E$28:$E$37</c:f>
              <c:numCache>
                <c:formatCode>0.00</c:formatCode>
                <c:ptCount val="10"/>
                <c:pt idx="0">
                  <c:v>45135.929676335982</c:v>
                </c:pt>
                <c:pt idx="1">
                  <c:v>45507.088042980497</c:v>
                </c:pt>
                <c:pt idx="2">
                  <c:v>45881.298491062524</c:v>
                </c:pt>
                <c:pt idx="3">
                  <c:v>46258.586118227548</c:v>
                </c:pt>
                <c:pt idx="4">
                  <c:v>46638.976228502092</c:v>
                </c:pt>
                <c:pt idx="5">
                  <c:v>47022.494333990879</c:v>
                </c:pt>
                <c:pt idx="6">
                  <c:v>47409.16615658778</c:v>
                </c:pt>
                <c:pt idx="7">
                  <c:v>47799.017629701077</c:v>
                </c:pt>
                <c:pt idx="8">
                  <c:v>48192.074899992622</c:v>
                </c:pt>
                <c:pt idx="9">
                  <c:v>48588.364329131582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2C-4D3A-96AC-10ABE71C99D1}"/>
            </c:ext>
          </c:extLst>
        </c:ser>
        <c:ser>
          <c:idx val="3"/>
          <c:order val="3"/>
          <c:tx>
            <c:strRef>
              <c:f>' ER POME naik'!$K$21</c:f>
              <c:strCache>
                <c:ptCount val="1"/>
                <c:pt idx="0">
                  <c:v>Emisi Proyek POME naik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 ER POME naik'!$K$28:$K$37</c:f>
              <c:numCache>
                <c:formatCode>_(* #,##0.00_);_(* \(#,##0.00\);_(* "-"??_);_(@_)</c:formatCode>
                <c:ptCount val="10"/>
                <c:pt idx="0">
                  <c:v>15568.660661612428</c:v>
                </c:pt>
                <c:pt idx="1">
                  <c:v>15857.605177275655</c:v>
                </c:pt>
                <c:pt idx="2">
                  <c:v>16148.925719648731</c:v>
                </c:pt>
                <c:pt idx="3">
                  <c:v>16442.641827094954</c:v>
                </c:pt>
                <c:pt idx="4">
                  <c:v>16738.773198644049</c:v>
                </c:pt>
                <c:pt idx="5">
                  <c:v>17037.339695313305</c:v>
                </c:pt>
                <c:pt idx="6">
                  <c:v>17338.361341439613</c:v>
                </c:pt>
                <c:pt idx="7">
                  <c:v>17641.858326022495</c:v>
                </c:pt>
                <c:pt idx="8">
                  <c:v>17947.851004078111</c:v>
                </c:pt>
                <c:pt idx="9">
                  <c:v>18256.359898004481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2C-4D3A-96AC-10ABE71C99D1}"/>
            </c:ext>
          </c:extLst>
        </c:ser>
        <c:ser>
          <c:idx val="4"/>
          <c:order val="4"/>
          <c:tx>
            <c:strRef>
              <c:f>' ER Tanpa skenario'!$E$21</c:f>
              <c:strCache>
                <c:ptCount val="1"/>
                <c:pt idx="0">
                  <c:v>Emisi Baseline Tanpa skenario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 ER Tanpa skenario'!$E$28:$E$37</c:f>
              <c:numCache>
                <c:formatCode>0.00</c:formatCode>
                <c:ptCount val="10"/>
                <c:pt idx="0">
                  <c:v>44767.798498181328</c:v>
                </c:pt>
                <c:pt idx="1">
                  <c:v>44767.798498181328</c:v>
                </c:pt>
                <c:pt idx="2">
                  <c:v>44767.798498181328</c:v>
                </c:pt>
                <c:pt idx="3">
                  <c:v>44767.798498181328</c:v>
                </c:pt>
                <c:pt idx="4">
                  <c:v>44767.798498181328</c:v>
                </c:pt>
                <c:pt idx="5">
                  <c:v>44767.798498181328</c:v>
                </c:pt>
                <c:pt idx="6">
                  <c:v>44767.798498181328</c:v>
                </c:pt>
                <c:pt idx="7">
                  <c:v>44767.798498181328</c:v>
                </c:pt>
                <c:pt idx="8">
                  <c:v>44767.798498181328</c:v>
                </c:pt>
                <c:pt idx="9">
                  <c:v>44767.798498181328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2C-4D3A-96AC-10ABE71C99D1}"/>
            </c:ext>
          </c:extLst>
        </c:ser>
        <c:ser>
          <c:idx val="5"/>
          <c:order val="5"/>
          <c:tx>
            <c:strRef>
              <c:f>' ER Tanpa skenario'!$K$21</c:f>
              <c:strCache>
                <c:ptCount val="1"/>
                <c:pt idx="0">
                  <c:v>Emisi Proyek Tanpa skenario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 ER Tanpa skenario'!$K$28:$K$37</c:f>
              <c:numCache>
                <c:formatCode>_(* #,##0.00_);_(* \(#,##0.00\);_(* "-"??_);_(@_)</c:formatCode>
                <c:ptCount val="10"/>
                <c:pt idx="0">
                  <c:v>15282.0727936517</c:v>
                </c:pt>
                <c:pt idx="1">
                  <c:v>15282.0727936517</c:v>
                </c:pt>
                <c:pt idx="2">
                  <c:v>15282.0727936517</c:v>
                </c:pt>
                <c:pt idx="3">
                  <c:v>15282.0727936517</c:v>
                </c:pt>
                <c:pt idx="4">
                  <c:v>15282.0727936517</c:v>
                </c:pt>
                <c:pt idx="5">
                  <c:v>15282.0727936517</c:v>
                </c:pt>
                <c:pt idx="6">
                  <c:v>15282.0727936517</c:v>
                </c:pt>
                <c:pt idx="7">
                  <c:v>15282.0727936517</c:v>
                </c:pt>
                <c:pt idx="8">
                  <c:v>15282.0727936517</c:v>
                </c:pt>
                <c:pt idx="9">
                  <c:v>15282.0727936517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D2C-4D3A-96AC-10ABE71C9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961440"/>
        <c:axId val="311964064"/>
      </c:lineChart>
      <c:catAx>
        <c:axId val="311961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Tahun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964064"/>
        <c:crosses val="autoZero"/>
        <c:auto val="1"/>
        <c:lblAlgn val="ctr"/>
        <c:lblOffset val="100"/>
        <c:noMultiLvlLbl val="0"/>
      </c:catAx>
      <c:valAx>
        <c:axId val="311964064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CO2 (ton)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96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38</xdr:row>
      <xdr:rowOff>76199</xdr:rowOff>
    </xdr:from>
    <xdr:to>
      <xdr:col>13</xdr:col>
      <xdr:colOff>0</xdr:colOff>
      <xdr:row>54</xdr:row>
      <xdr:rowOff>104774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38</xdr:row>
      <xdr:rowOff>76199</xdr:rowOff>
    </xdr:from>
    <xdr:to>
      <xdr:col>13</xdr:col>
      <xdr:colOff>0</xdr:colOff>
      <xdr:row>54</xdr:row>
      <xdr:rowOff>104774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37</xdr:row>
      <xdr:rowOff>180974</xdr:rowOff>
    </xdr:from>
    <xdr:to>
      <xdr:col>13</xdr:col>
      <xdr:colOff>9525</xdr:colOff>
      <xdr:row>54</xdr:row>
      <xdr:rowOff>19049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6</xdr:col>
      <xdr:colOff>514350</xdr:colOff>
      <xdr:row>54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6</xdr:col>
      <xdr:colOff>514350</xdr:colOff>
      <xdr:row>72</xdr:row>
      <xdr:rowOff>28575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workbookViewId="0">
      <selection activeCell="D12" sqref="D12"/>
    </sheetView>
  </sheetViews>
  <sheetFormatPr defaultRowHeight="15" x14ac:dyDescent="0.25"/>
  <cols>
    <col min="2" max="2" width="31.28515625" customWidth="1"/>
    <col min="3" max="7" width="20.7109375" customWidth="1"/>
    <col min="8" max="8" width="17.7109375" customWidth="1"/>
  </cols>
  <sheetData>
    <row r="1" spans="2:8" x14ac:dyDescent="0.25">
      <c r="B1" s="185" t="s">
        <v>196</v>
      </c>
    </row>
    <row r="2" spans="2:8" x14ac:dyDescent="0.25">
      <c r="B2" s="168"/>
      <c r="C2" s="168"/>
      <c r="D2" s="168"/>
      <c r="E2" s="168"/>
      <c r="F2" s="168"/>
      <c r="G2" s="168"/>
      <c r="H2" s="168"/>
    </row>
    <row r="3" spans="2:8" x14ac:dyDescent="0.25">
      <c r="B3" s="201" t="s">
        <v>194</v>
      </c>
      <c r="C3" s="202" t="s">
        <v>195</v>
      </c>
      <c r="D3" s="203"/>
      <c r="E3" s="203"/>
      <c r="F3" s="203"/>
      <c r="G3" s="203"/>
      <c r="H3" s="204" t="s">
        <v>117</v>
      </c>
    </row>
    <row r="4" spans="2:8" x14ac:dyDescent="0.25">
      <c r="B4" s="201"/>
      <c r="C4" s="169" t="str">
        <f>' ER POME naik'!D21</f>
        <v>BEww,treatment,y</v>
      </c>
      <c r="D4" s="169" t="str">
        <f>' ER POME naik'!F21</f>
        <v>PEww,treatment,y</v>
      </c>
      <c r="E4" s="169" t="str">
        <f>' ER POME naik'!G21</f>
        <v>PE fugitive,y</v>
      </c>
      <c r="F4" s="169" t="str">
        <f>' ER POME naik'!J21</f>
        <v>PE flaring,y</v>
      </c>
      <c r="G4" s="170" t="s">
        <v>212</v>
      </c>
      <c r="H4" s="204"/>
    </row>
    <row r="5" spans="2:8" x14ac:dyDescent="0.25">
      <c r="B5" s="166" t="s">
        <v>204</v>
      </c>
      <c r="C5" s="167">
        <f>' ER POME naik'!D28</f>
        <v>45135.929676335982</v>
      </c>
      <c r="D5" s="167">
        <f>' ER POME naik'!$F$28</f>
        <v>8661.9906357534128</v>
      </c>
      <c r="E5" s="167">
        <f>' ER POME naik'!G28</f>
        <v>4813.8280417613232</v>
      </c>
      <c r="F5" s="167">
        <f>' ER POME naik'!J28</f>
        <v>2092.8419840976917</v>
      </c>
      <c r="G5" s="193">
        <f>' ER POME naik'!L28</f>
        <v>29567.269014723555</v>
      </c>
      <c r="H5" s="195">
        <f>'Em. POME naik'!E56</f>
        <v>0.65507167409083378</v>
      </c>
    </row>
    <row r="6" spans="2:8" x14ac:dyDescent="0.25">
      <c r="B6" s="163" t="s">
        <v>205</v>
      </c>
      <c r="C6" s="164">
        <f>' ER POME turun'!D28</f>
        <v>43988.053702179408</v>
      </c>
      <c r="D6" s="164">
        <f>' ER POME turun'!$F$28</f>
        <v>8441.7029179540914</v>
      </c>
      <c r="E6" s="164">
        <f>' ER POME turun'!G28</f>
        <v>4691.4050055575035</v>
      </c>
      <c r="F6" s="164">
        <f>' ER POME turun'!J28</f>
        <v>1541.9383211805048</v>
      </c>
      <c r="G6" s="194">
        <f>' ER POME turun'!L28</f>
        <v>29313.007457487307</v>
      </c>
      <c r="H6" s="195">
        <f>'Em. POME turun'!E56</f>
        <v>0.66638564315554116</v>
      </c>
    </row>
    <row r="8" spans="2:8" x14ac:dyDescent="0.25">
      <c r="C8" s="162">
        <f>SUM(D5:F5)</f>
        <v>15568.660661612428</v>
      </c>
    </row>
    <row r="9" spans="2:8" x14ac:dyDescent="0.25">
      <c r="C9" s="162">
        <f>SUM(D6:F6)</f>
        <v>14675.046244692099</v>
      </c>
    </row>
    <row r="10" spans="2:8" x14ac:dyDescent="0.25">
      <c r="D10" s="162"/>
      <c r="E10" s="162"/>
      <c r="F10" s="162"/>
      <c r="G10" s="162"/>
    </row>
    <row r="11" spans="2:8" x14ac:dyDescent="0.25">
      <c r="B11" s="186"/>
      <c r="D11" s="162"/>
      <c r="E11" s="162"/>
      <c r="F11" s="162"/>
      <c r="G11" s="162"/>
    </row>
  </sheetData>
  <mergeCells count="3">
    <mergeCell ref="B3:B4"/>
    <mergeCell ref="C3:G3"/>
    <mergeCell ref="H3:H4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1"/>
  <sheetViews>
    <sheetView showGridLines="0" topLeftCell="C22" zoomScale="85" zoomScaleNormal="85" workbookViewId="0">
      <selection activeCell="E23" sqref="E23"/>
    </sheetView>
  </sheetViews>
  <sheetFormatPr defaultColWidth="8.7109375" defaultRowHeight="15" x14ac:dyDescent="0.25"/>
  <cols>
    <col min="1" max="1" width="3.28515625" style="1" customWidth="1"/>
    <col min="2" max="2" width="23.42578125" style="4" customWidth="1"/>
    <col min="3" max="3" width="60.5703125" style="4" customWidth="1"/>
    <col min="4" max="4" width="19.140625" style="4" customWidth="1"/>
    <col min="5" max="5" width="20.7109375" style="5" customWidth="1"/>
    <col min="6" max="6" width="20.85546875" style="6" customWidth="1"/>
    <col min="7" max="7" width="79" style="4" customWidth="1"/>
    <col min="8" max="9" width="8.7109375" style="7"/>
    <col min="10" max="10" width="9.42578125" style="7" bestFit="1" customWidth="1"/>
    <col min="11" max="16384" width="8.7109375" style="7"/>
  </cols>
  <sheetData>
    <row r="2" spans="1:15" x14ac:dyDescent="0.25">
      <c r="H2" s="10"/>
      <c r="I2" s="14"/>
      <c r="J2" s="14"/>
      <c r="K2" s="10"/>
    </row>
    <row r="3" spans="1:15" x14ac:dyDescent="0.25">
      <c r="B3" s="133" t="s">
        <v>167</v>
      </c>
      <c r="C3" s="132"/>
      <c r="D3" s="132"/>
      <c r="H3" s="14"/>
      <c r="I3" s="14"/>
      <c r="J3" s="14"/>
      <c r="K3" s="14"/>
      <c r="L3" s="10"/>
      <c r="M3" s="10"/>
      <c r="N3" s="10"/>
      <c r="O3" s="10"/>
    </row>
    <row r="4" spans="1:15" x14ac:dyDescent="0.25">
      <c r="B4" s="244" t="s">
        <v>3</v>
      </c>
      <c r="C4" s="244" t="s">
        <v>4</v>
      </c>
      <c r="D4" s="242" t="s">
        <v>5</v>
      </c>
      <c r="E4" s="242" t="s">
        <v>6</v>
      </c>
      <c r="F4" s="242" t="s">
        <v>7</v>
      </c>
      <c r="G4" s="242" t="s">
        <v>8</v>
      </c>
      <c r="H4" s="14"/>
      <c r="I4" s="14"/>
      <c r="J4" s="14"/>
      <c r="K4" s="14"/>
      <c r="L4" s="10"/>
      <c r="M4" s="10"/>
      <c r="N4" s="10"/>
      <c r="O4" s="10"/>
    </row>
    <row r="5" spans="1:15" s="10" customFormat="1" x14ac:dyDescent="0.25">
      <c r="A5" s="1"/>
      <c r="B5" s="245"/>
      <c r="C5" s="245"/>
      <c r="D5" s="243"/>
      <c r="E5" s="243"/>
      <c r="F5" s="243"/>
      <c r="G5" s="243"/>
      <c r="L5" s="14"/>
      <c r="M5" s="14"/>
      <c r="N5" s="14"/>
      <c r="O5" s="14"/>
    </row>
    <row r="6" spans="1:15" s="10" customFormat="1" ht="28.5" x14ac:dyDescent="0.25">
      <c r="A6" s="1"/>
      <c r="B6" s="32" t="s">
        <v>58</v>
      </c>
      <c r="C6" s="58" t="s">
        <v>59</v>
      </c>
      <c r="D6" s="25" t="s">
        <v>16</v>
      </c>
      <c r="E6" s="119">
        <f>'Em. POME turun'!E7</f>
        <v>104416.1719118371</v>
      </c>
      <c r="F6" s="25" t="s">
        <v>9</v>
      </c>
      <c r="G6" s="26" t="str">
        <f>'Em. POME turun'!G7</f>
        <v>Volume air limbah yang diolah untuk pemulihan metana menjadi biogas pada tahun 2020| 'Volume POME' [C18]+('Volume POME' [C18]*1%)</v>
      </c>
      <c r="L6" s="14"/>
      <c r="M6" s="14"/>
      <c r="N6" s="14"/>
      <c r="O6" s="14"/>
    </row>
    <row r="7" spans="1:15" s="14" customFormat="1" x14ac:dyDescent="0.25">
      <c r="A7" s="1"/>
      <c r="B7" s="32" t="s">
        <v>25</v>
      </c>
      <c r="C7" s="11" t="s">
        <v>26</v>
      </c>
      <c r="D7" s="29" t="s">
        <v>27</v>
      </c>
      <c r="E7" s="45">
        <f>Em!E33</f>
        <v>0.25</v>
      </c>
      <c r="F7" s="12" t="s">
        <v>10</v>
      </c>
      <c r="G7" s="13" t="s">
        <v>28</v>
      </c>
      <c r="H7" s="24"/>
      <c r="I7" s="24"/>
      <c r="J7" s="24"/>
      <c r="K7" s="24"/>
    </row>
    <row r="8" spans="1:15" s="14" customFormat="1" ht="28.5" x14ac:dyDescent="0.25">
      <c r="A8" s="1"/>
      <c r="B8" s="32" t="s">
        <v>48</v>
      </c>
      <c r="C8" s="11" t="s">
        <v>30</v>
      </c>
      <c r="D8" s="29" t="s">
        <v>22</v>
      </c>
      <c r="E8" s="45">
        <f>Em!E34</f>
        <v>1.1200000000000001</v>
      </c>
      <c r="F8" s="12" t="s">
        <v>10</v>
      </c>
      <c r="G8" s="13" t="s">
        <v>163</v>
      </c>
      <c r="H8" s="24"/>
      <c r="I8" s="24"/>
      <c r="J8" s="24"/>
      <c r="K8" s="24"/>
    </row>
    <row r="9" spans="1:15" s="14" customFormat="1" ht="42.75" x14ac:dyDescent="0.25">
      <c r="A9" s="1"/>
      <c r="B9" s="28" t="s">
        <v>60</v>
      </c>
      <c r="C9" s="32" t="s">
        <v>61</v>
      </c>
      <c r="D9" s="59" t="s">
        <v>19</v>
      </c>
      <c r="E9" s="118">
        <f>Em!E35</f>
        <v>7.1635634194681191E-2</v>
      </c>
      <c r="F9" s="57" t="s">
        <v>12</v>
      </c>
      <c r="G9" s="26" t="s">
        <v>132</v>
      </c>
      <c r="H9" s="24"/>
      <c r="I9" s="24"/>
      <c r="J9" s="24"/>
      <c r="K9" s="24"/>
      <c r="L9" s="10"/>
      <c r="M9" s="10"/>
      <c r="N9" s="10"/>
      <c r="O9" s="10"/>
    </row>
    <row r="10" spans="1:15" s="14" customFormat="1" ht="42.75" x14ac:dyDescent="0.25">
      <c r="A10" s="1"/>
      <c r="B10" s="28" t="s">
        <v>46</v>
      </c>
      <c r="C10" s="32" t="s">
        <v>62</v>
      </c>
      <c r="D10" s="59" t="s">
        <v>22</v>
      </c>
      <c r="E10" s="44">
        <f>Em!E36</f>
        <v>0.8</v>
      </c>
      <c r="F10" s="12" t="s">
        <v>10</v>
      </c>
      <c r="G10" s="89" t="s">
        <v>109</v>
      </c>
      <c r="H10" s="24"/>
      <c r="I10" s="24"/>
      <c r="J10" s="24"/>
      <c r="K10" s="24"/>
    </row>
    <row r="11" spans="1:15" s="10" customFormat="1" ht="42.75" x14ac:dyDescent="0.25">
      <c r="A11" s="1"/>
      <c r="B11" s="60" t="s">
        <v>162</v>
      </c>
      <c r="C11" s="61" t="s">
        <v>161</v>
      </c>
      <c r="D11" s="16" t="s">
        <v>165</v>
      </c>
      <c r="E11" s="62">
        <f>E6*E7*E8*E9*E10</f>
        <v>1675.5017876991089</v>
      </c>
      <c r="F11" s="18" t="s">
        <v>12</v>
      </c>
      <c r="G11" s="13" t="s">
        <v>164</v>
      </c>
      <c r="H11" s="31"/>
      <c r="I11" s="31"/>
      <c r="J11" s="31"/>
      <c r="K11" s="31"/>
      <c r="L11" s="14"/>
      <c r="M11" s="14"/>
      <c r="N11" s="14"/>
      <c r="O11" s="14"/>
    </row>
    <row r="12" spans="1:15" s="14" customFormat="1" x14ac:dyDescent="0.25">
      <c r="A12" s="1"/>
      <c r="B12" s="4"/>
      <c r="C12" s="4"/>
      <c r="D12" s="4"/>
      <c r="E12" s="5"/>
      <c r="F12" s="6"/>
      <c r="G12" s="4"/>
      <c r="H12" s="10"/>
      <c r="I12" s="10"/>
      <c r="J12" s="7"/>
      <c r="K12" s="7"/>
      <c r="L12" s="10"/>
      <c r="M12" s="10"/>
      <c r="N12" s="10"/>
      <c r="O12" s="10"/>
    </row>
    <row r="13" spans="1:15" s="14" customFormat="1" x14ac:dyDescent="0.25">
      <c r="A13" s="1"/>
      <c r="B13" s="40"/>
      <c r="C13" s="133" t="s">
        <v>144</v>
      </c>
      <c r="D13" s="4"/>
      <c r="E13" s="5"/>
      <c r="F13" s="6"/>
      <c r="G13" s="4"/>
      <c r="H13" s="10"/>
      <c r="I13" s="10"/>
      <c r="J13" s="10"/>
      <c r="K13" s="10"/>
      <c r="L13" s="10"/>
      <c r="M13" s="10"/>
      <c r="N13" s="10"/>
      <c r="O13" s="10"/>
    </row>
    <row r="14" spans="1:15" s="10" customFormat="1" x14ac:dyDescent="0.25">
      <c r="A14" s="1"/>
      <c r="B14" s="246"/>
      <c r="C14" s="247" t="s">
        <v>4</v>
      </c>
      <c r="D14" s="242" t="s">
        <v>5</v>
      </c>
      <c r="E14" s="242" t="s">
        <v>102</v>
      </c>
      <c r="F14" s="242" t="s">
        <v>7</v>
      </c>
      <c r="G14" s="242" t="s">
        <v>8</v>
      </c>
      <c r="H14" s="7"/>
      <c r="I14" s="7"/>
      <c r="L14" s="24"/>
      <c r="M14" s="24"/>
      <c r="N14" s="24"/>
      <c r="O14" s="24"/>
    </row>
    <row r="15" spans="1:15" s="10" customFormat="1" x14ac:dyDescent="0.25">
      <c r="A15" s="1"/>
      <c r="B15" s="246"/>
      <c r="C15" s="248"/>
      <c r="D15" s="243"/>
      <c r="E15" s="243"/>
      <c r="F15" s="243"/>
      <c r="G15" s="243"/>
      <c r="H15" s="7"/>
      <c r="I15" s="7"/>
      <c r="J15" s="7"/>
      <c r="K15" s="7"/>
      <c r="L15" s="24"/>
      <c r="M15" s="24"/>
      <c r="N15" s="24"/>
      <c r="O15" s="24"/>
    </row>
    <row r="16" spans="1:15" s="24" customFormat="1" ht="29.25" x14ac:dyDescent="0.25">
      <c r="A16" s="1"/>
      <c r="B16" s="126"/>
      <c r="C16" s="129" t="s">
        <v>145</v>
      </c>
      <c r="D16" s="134" t="s">
        <v>152</v>
      </c>
      <c r="E16" s="129">
        <v>2400</v>
      </c>
      <c r="F16" s="25" t="s">
        <v>9</v>
      </c>
      <c r="G16" s="130" t="s">
        <v>173</v>
      </c>
      <c r="H16" s="7"/>
      <c r="I16" s="7"/>
      <c r="J16" s="7"/>
      <c r="K16" s="7"/>
    </row>
    <row r="17" spans="1:17" s="24" customFormat="1" x14ac:dyDescent="0.25">
      <c r="A17" s="1"/>
      <c r="B17" s="126"/>
      <c r="C17" s="130" t="s">
        <v>147</v>
      </c>
      <c r="D17" s="134" t="s">
        <v>153</v>
      </c>
      <c r="E17" s="130">
        <v>24</v>
      </c>
      <c r="F17" s="25" t="s">
        <v>9</v>
      </c>
      <c r="G17" s="130" t="s">
        <v>157</v>
      </c>
      <c r="H17" s="10"/>
      <c r="I17" s="10"/>
      <c r="J17" s="7"/>
      <c r="K17" s="7"/>
    </row>
    <row r="18" spans="1:17" s="24" customFormat="1" x14ac:dyDescent="0.25">
      <c r="A18" s="1"/>
      <c r="B18" s="126"/>
      <c r="C18" s="130" t="s">
        <v>154</v>
      </c>
      <c r="D18" s="134" t="s">
        <v>155</v>
      </c>
      <c r="E18" s="130">
        <v>299</v>
      </c>
      <c r="F18" s="25" t="s">
        <v>9</v>
      </c>
      <c r="G18" s="130" t="s">
        <v>157</v>
      </c>
      <c r="H18" s="42"/>
      <c r="I18" s="42"/>
      <c r="J18" s="10"/>
      <c r="K18" s="10"/>
      <c r="L18" s="31"/>
      <c r="M18" s="31"/>
      <c r="N18" s="31"/>
      <c r="O18" s="31"/>
    </row>
    <row r="19" spans="1:17" s="24" customFormat="1" x14ac:dyDescent="0.25">
      <c r="A19" s="1"/>
      <c r="B19" s="126"/>
      <c r="C19" s="129" t="s">
        <v>148</v>
      </c>
      <c r="D19" s="134" t="s">
        <v>77</v>
      </c>
      <c r="E19" s="135">
        <f>E18/365</f>
        <v>0.81917808219178079</v>
      </c>
      <c r="F19" s="12" t="s">
        <v>12</v>
      </c>
      <c r="G19" s="136" t="s">
        <v>158</v>
      </c>
      <c r="H19" s="42"/>
      <c r="I19" s="42"/>
      <c r="J19" s="42"/>
      <c r="K19" s="42"/>
      <c r="L19" s="7"/>
      <c r="M19" s="7"/>
      <c r="N19" s="7"/>
      <c r="O19" s="7"/>
    </row>
    <row r="20" spans="1:17" s="31" customFormat="1" x14ac:dyDescent="0.25">
      <c r="A20" s="1"/>
      <c r="B20" s="127"/>
      <c r="C20" s="143" t="s">
        <v>149</v>
      </c>
      <c r="D20" s="134" t="s">
        <v>77</v>
      </c>
      <c r="E20" s="140">
        <f>0.8</f>
        <v>0.8</v>
      </c>
      <c r="F20" s="57" t="s">
        <v>9</v>
      </c>
      <c r="G20" s="130" t="s">
        <v>172</v>
      </c>
      <c r="H20" s="7"/>
      <c r="I20" s="7"/>
      <c r="J20" s="42"/>
      <c r="K20" s="42"/>
      <c r="L20" s="10"/>
      <c r="M20" s="10"/>
      <c r="N20" s="10"/>
      <c r="O20" s="10"/>
    </row>
    <row r="21" spans="1:17" x14ac:dyDescent="0.25">
      <c r="B21" s="127"/>
      <c r="C21" s="130" t="s">
        <v>150</v>
      </c>
      <c r="D21" s="134" t="s">
        <v>156</v>
      </c>
      <c r="E21" s="130">
        <v>0.27800000000000002</v>
      </c>
      <c r="F21" s="12" t="s">
        <v>10</v>
      </c>
      <c r="G21" s="130" t="s">
        <v>160</v>
      </c>
      <c r="H21" s="10"/>
      <c r="I21" s="10"/>
    </row>
    <row r="22" spans="1:17" s="10" customFormat="1" x14ac:dyDescent="0.25">
      <c r="A22" s="1"/>
      <c r="B22" s="126"/>
      <c r="C22" s="130" t="s">
        <v>151</v>
      </c>
      <c r="D22" s="134" t="s">
        <v>159</v>
      </c>
      <c r="E22" s="130">
        <v>55400</v>
      </c>
      <c r="F22" s="12" t="s">
        <v>10</v>
      </c>
      <c r="G22" s="130" t="s">
        <v>160</v>
      </c>
    </row>
    <row r="23" spans="1:17" s="10" customFormat="1" ht="45" x14ac:dyDescent="0.25">
      <c r="A23" s="1"/>
      <c r="B23" s="128"/>
      <c r="C23" s="131" t="s">
        <v>143</v>
      </c>
      <c r="D23" s="137" t="s">
        <v>166</v>
      </c>
      <c r="E23" s="198">
        <f>(E16*E17*365*E19)/(E20*E21*E22)</f>
        <v>1397.8131574163049</v>
      </c>
      <c r="F23" s="18" t="s">
        <v>12</v>
      </c>
      <c r="G23" s="138" t="s">
        <v>146</v>
      </c>
      <c r="H23" s="7"/>
      <c r="I23" s="7"/>
    </row>
    <row r="24" spans="1:17" x14ac:dyDescent="0.25">
      <c r="A24" s="10"/>
      <c r="J24" s="141" t="e">
        <f>C8*(' ER POME naik'!H28-' ER POME naik'!I28-'Flare POME turun'!E23)</f>
        <v>#VALUE!</v>
      </c>
    </row>
    <row r="25" spans="1:17" x14ac:dyDescent="0.25">
      <c r="A25" s="10"/>
      <c r="B25" s="133" t="s">
        <v>168</v>
      </c>
      <c r="C25" s="132"/>
      <c r="D25" s="132"/>
      <c r="H25" s="14"/>
      <c r="I25" s="14"/>
    </row>
    <row r="26" spans="1:17" x14ac:dyDescent="0.25">
      <c r="B26" s="244" t="s">
        <v>3</v>
      </c>
      <c r="C26" s="244" t="s">
        <v>4</v>
      </c>
      <c r="D26" s="242" t="s">
        <v>5</v>
      </c>
      <c r="E26" s="242" t="s">
        <v>6</v>
      </c>
      <c r="F26" s="242" t="s">
        <v>7</v>
      </c>
      <c r="G26" s="242" t="s">
        <v>8</v>
      </c>
      <c r="H26" s="14"/>
      <c r="I26" s="14"/>
    </row>
    <row r="27" spans="1:17" s="10" customFormat="1" x14ac:dyDescent="0.25">
      <c r="A27" s="1"/>
      <c r="B27" s="245"/>
      <c r="C27" s="245"/>
      <c r="D27" s="243"/>
      <c r="E27" s="243"/>
      <c r="F27" s="243"/>
      <c r="G27" s="243"/>
    </row>
    <row r="28" spans="1:17" s="42" customFormat="1" ht="28.5" x14ac:dyDescent="0.25">
      <c r="A28" s="1"/>
      <c r="B28" s="32" t="s">
        <v>55</v>
      </c>
      <c r="C28" s="11" t="s">
        <v>56</v>
      </c>
      <c r="D28" s="56" t="s">
        <v>22</v>
      </c>
      <c r="E28" s="44">
        <v>0.9</v>
      </c>
      <c r="F28" s="57" t="s">
        <v>10</v>
      </c>
      <c r="G28" s="13" t="s">
        <v>57</v>
      </c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42" customFormat="1" ht="42.75" x14ac:dyDescent="0.25">
      <c r="A29" s="1"/>
      <c r="B29" s="32" t="str">
        <f t="shared" ref="B29:G29" si="0">B11</f>
        <v>MEPfugitive,ww,y</v>
      </c>
      <c r="C29" s="32" t="str">
        <f t="shared" si="0"/>
        <v>Potensi emisi gas metana dari kolam anaerobik yang dilengkapi dengan sistem penangkapan gasbio</v>
      </c>
      <c r="D29" s="67" t="str">
        <f t="shared" si="0"/>
        <v xml:space="preserve">t CH4e </v>
      </c>
      <c r="E29" s="139">
        <f t="shared" si="0"/>
        <v>1675.5017876991089</v>
      </c>
      <c r="F29" s="67" t="str">
        <f t="shared" si="0"/>
        <v>Perhitungan</v>
      </c>
      <c r="G29" s="32" t="str">
        <f t="shared" si="0"/>
        <v>CDM AMS III H UNFCCC V.19.0 P.23 (2019) | MEPfugitive,ww,y = Qww,y* Boww*UFPJ*penjumlahan dari k untuk CODremoval,PJ,k,y* MCFww,treatment,PJ,k</v>
      </c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ht="30" x14ac:dyDescent="0.25">
      <c r="B30" s="60" t="s">
        <v>63</v>
      </c>
      <c r="C30" s="61" t="s">
        <v>64</v>
      </c>
      <c r="D30" s="16" t="s">
        <v>165</v>
      </c>
      <c r="E30" s="62">
        <f>(1-E28)*(E29)</f>
        <v>167.55017876991084</v>
      </c>
      <c r="F30" s="18" t="s">
        <v>12</v>
      </c>
      <c r="G30" s="13" t="s">
        <v>169</v>
      </c>
    </row>
    <row r="31" spans="1:17" s="10" customFormat="1" x14ac:dyDescent="0.25">
      <c r="A31" s="1"/>
      <c r="B31" s="4"/>
      <c r="C31" s="4"/>
      <c r="D31" s="4"/>
      <c r="E31" s="5"/>
      <c r="F31" s="6"/>
      <c r="G31" s="4"/>
      <c r="H31" s="7"/>
      <c r="I31" s="7"/>
    </row>
    <row r="32" spans="1:17" s="10" customFormat="1" x14ac:dyDescent="0.25">
      <c r="A32" s="1"/>
      <c r="B32" s="4"/>
      <c r="C32" s="4"/>
      <c r="D32" s="4"/>
      <c r="E32" s="5"/>
      <c r="F32" s="6"/>
      <c r="G32" s="4"/>
      <c r="H32" s="7"/>
      <c r="I32" s="7"/>
    </row>
    <row r="33" spans="1:17" x14ac:dyDescent="0.25">
      <c r="A33" s="10"/>
      <c r="J33" s="14"/>
      <c r="K33" s="14"/>
      <c r="L33" s="14"/>
      <c r="M33" s="14"/>
      <c r="N33" s="14"/>
      <c r="O33" s="14"/>
      <c r="P33" s="14"/>
      <c r="Q33" s="14"/>
    </row>
    <row r="34" spans="1:17" ht="46.5" customHeight="1" x14ac:dyDescent="0.25">
      <c r="J34" s="14"/>
      <c r="K34" s="14"/>
      <c r="L34" s="14"/>
      <c r="M34" s="14"/>
      <c r="N34" s="14"/>
      <c r="O34" s="14"/>
      <c r="P34" s="14"/>
      <c r="Q34" s="14"/>
    </row>
    <row r="35" spans="1:17" x14ac:dyDescent="0.25">
      <c r="J35" s="14"/>
      <c r="K35" s="14"/>
      <c r="L35" s="14"/>
      <c r="M35" s="14"/>
      <c r="N35" s="14"/>
      <c r="O35" s="14"/>
      <c r="P35" s="14"/>
      <c r="Q35" s="14"/>
    </row>
    <row r="36" spans="1:17" x14ac:dyDescent="0.25">
      <c r="J36" s="14"/>
      <c r="K36" s="14"/>
      <c r="L36" s="14"/>
      <c r="M36" s="14"/>
      <c r="N36" s="14"/>
      <c r="O36" s="14"/>
      <c r="P36" s="14"/>
      <c r="Q36" s="14"/>
    </row>
    <row r="37" spans="1:17" s="10" customFormat="1" x14ac:dyDescent="0.25">
      <c r="A37" s="1"/>
      <c r="B37" s="4"/>
      <c r="C37" s="4"/>
      <c r="D37" s="4"/>
      <c r="E37" s="5"/>
      <c r="F37" s="6"/>
      <c r="G37" s="4"/>
      <c r="H37" s="7"/>
      <c r="I37" s="7"/>
    </row>
    <row r="41" spans="1:17" s="10" customFormat="1" x14ac:dyDescent="0.25">
      <c r="A41" s="1"/>
      <c r="B41" s="4"/>
      <c r="C41" s="4"/>
      <c r="D41" s="4"/>
      <c r="E41" s="5"/>
      <c r="F41" s="6"/>
      <c r="G41" s="4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0" customFormat="1" x14ac:dyDescent="0.25">
      <c r="A42" s="1"/>
      <c r="B42" s="4"/>
      <c r="C42" s="4"/>
      <c r="D42" s="4"/>
      <c r="E42" s="5"/>
      <c r="F42" s="6"/>
      <c r="G42" s="4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4" customFormat="1" x14ac:dyDescent="0.25">
      <c r="A43" s="1"/>
      <c r="B43" s="4"/>
      <c r="C43" s="4"/>
      <c r="D43" s="4"/>
      <c r="E43" s="5"/>
      <c r="F43" s="6"/>
      <c r="G43" s="4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4" customFormat="1" x14ac:dyDescent="0.25">
      <c r="A44" s="1"/>
      <c r="B44" s="4"/>
      <c r="C44" s="4"/>
      <c r="D44" s="4"/>
      <c r="E44" s="5"/>
      <c r="F44" s="6"/>
      <c r="G44" s="4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4" customFormat="1" x14ac:dyDescent="0.25">
      <c r="A45" s="1"/>
      <c r="B45" s="4"/>
      <c r="C45" s="4"/>
      <c r="D45" s="4"/>
      <c r="E45" s="5"/>
      <c r="F45" s="6"/>
      <c r="G45" s="4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4" customFormat="1" x14ac:dyDescent="0.25">
      <c r="A46" s="1"/>
      <c r="B46" s="4"/>
      <c r="C46" s="4"/>
      <c r="D46" s="4"/>
      <c r="E46" s="5"/>
      <c r="F46" s="6"/>
      <c r="G46" s="4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0" customFormat="1" x14ac:dyDescent="0.25">
      <c r="A47" s="1"/>
      <c r="B47" s="4"/>
      <c r="C47" s="4"/>
      <c r="D47" s="4"/>
      <c r="E47" s="5"/>
      <c r="F47" s="6"/>
      <c r="G47" s="4"/>
      <c r="H47" s="7"/>
      <c r="I47" s="7"/>
      <c r="J47" s="7"/>
      <c r="K47" s="7"/>
      <c r="L47" s="7"/>
      <c r="M47" s="7"/>
      <c r="N47" s="7"/>
      <c r="O47" s="7"/>
      <c r="P47" s="7"/>
      <c r="Q47" s="7"/>
    </row>
    <row r="51" spans="2:7" x14ac:dyDescent="0.25">
      <c r="B51" s="7"/>
      <c r="C51" s="7"/>
      <c r="D51" s="7"/>
      <c r="E51" s="7"/>
      <c r="F51" s="7"/>
      <c r="G51" s="7"/>
    </row>
    <row r="52" spans="2:7" x14ac:dyDescent="0.25">
      <c r="B52" s="7"/>
      <c r="C52" s="7"/>
      <c r="D52" s="7"/>
      <c r="E52" s="7"/>
      <c r="F52" s="7"/>
      <c r="G52" s="7"/>
    </row>
    <row r="53" spans="2:7" x14ac:dyDescent="0.25">
      <c r="B53" s="7"/>
      <c r="C53" s="7"/>
      <c r="D53" s="7"/>
      <c r="E53" s="7"/>
      <c r="F53" s="7"/>
      <c r="G53" s="7"/>
    </row>
    <row r="54" spans="2:7" ht="33" customHeight="1" x14ac:dyDescent="0.25">
      <c r="B54" s="7"/>
      <c r="C54" s="7"/>
      <c r="D54" s="7"/>
      <c r="E54" s="7"/>
      <c r="F54" s="7"/>
      <c r="G54" s="7"/>
    </row>
    <row r="55" spans="2:7" x14ac:dyDescent="0.25">
      <c r="B55" s="7"/>
      <c r="C55" s="7"/>
      <c r="D55" s="7"/>
      <c r="E55" s="7"/>
      <c r="F55" s="7"/>
      <c r="G55" s="7"/>
    </row>
    <row r="56" spans="2:7" x14ac:dyDescent="0.25">
      <c r="B56" s="7"/>
      <c r="C56" s="7"/>
      <c r="D56" s="7"/>
      <c r="E56" s="7"/>
      <c r="F56" s="7"/>
      <c r="G56" s="7"/>
    </row>
    <row r="57" spans="2:7" x14ac:dyDescent="0.25">
      <c r="B57" s="7"/>
      <c r="C57" s="7"/>
      <c r="D57" s="7"/>
      <c r="E57" s="7"/>
      <c r="F57" s="7"/>
      <c r="G57" s="7"/>
    </row>
    <row r="58" spans="2:7" x14ac:dyDescent="0.25">
      <c r="B58" s="7"/>
      <c r="C58" s="7"/>
      <c r="D58" s="7"/>
      <c r="E58" s="7"/>
      <c r="F58" s="7"/>
      <c r="G58" s="7"/>
    </row>
    <row r="59" spans="2:7" x14ac:dyDescent="0.25">
      <c r="B59" s="7"/>
      <c r="C59" s="7"/>
      <c r="D59" s="7"/>
      <c r="E59" s="7"/>
      <c r="F59" s="7"/>
      <c r="G59" s="7"/>
    </row>
    <row r="60" spans="2:7" x14ac:dyDescent="0.25">
      <c r="B60" s="10"/>
      <c r="C60" s="14"/>
      <c r="D60" s="14"/>
      <c r="E60" s="14"/>
      <c r="F60" s="14"/>
      <c r="G60" s="14"/>
    </row>
    <row r="61" spans="2:7" x14ac:dyDescent="0.25">
      <c r="B61" s="10"/>
      <c r="C61" s="14"/>
      <c r="D61" s="14"/>
      <c r="E61" s="14"/>
      <c r="F61" s="14"/>
      <c r="G61" s="14"/>
    </row>
    <row r="62" spans="2:7" x14ac:dyDescent="0.25">
      <c r="B62" s="7"/>
      <c r="C62" s="14"/>
      <c r="D62" s="14"/>
      <c r="E62" s="14"/>
      <c r="F62" s="14"/>
      <c r="G62" s="14"/>
    </row>
    <row r="63" spans="2:7" x14ac:dyDescent="0.25">
      <c r="B63" s="7"/>
      <c r="C63" s="14"/>
      <c r="D63" s="14"/>
      <c r="E63" s="14"/>
      <c r="F63" s="14"/>
      <c r="G63" s="14"/>
    </row>
    <row r="64" spans="2:7" x14ac:dyDescent="0.25">
      <c r="B64" s="7"/>
      <c r="C64" s="10"/>
      <c r="D64" s="10"/>
      <c r="E64" s="10"/>
      <c r="F64" s="10"/>
      <c r="G64" s="10"/>
    </row>
    <row r="65" spans="1:7" x14ac:dyDescent="0.25">
      <c r="B65" s="10"/>
      <c r="C65" s="7"/>
      <c r="D65" s="7"/>
      <c r="E65" s="7"/>
      <c r="F65" s="7"/>
      <c r="G65" s="7"/>
    </row>
    <row r="66" spans="1:7" x14ac:dyDescent="0.25">
      <c r="B66" s="42"/>
      <c r="C66" s="7"/>
      <c r="D66" s="7"/>
      <c r="E66" s="7"/>
      <c r="F66" s="7"/>
      <c r="G66" s="7"/>
    </row>
    <row r="67" spans="1:7" x14ac:dyDescent="0.25">
      <c r="B67" s="42"/>
      <c r="C67" s="7"/>
      <c r="D67" s="7"/>
      <c r="E67" s="7"/>
      <c r="F67" s="7"/>
      <c r="G67" s="7"/>
    </row>
    <row r="68" spans="1:7" x14ac:dyDescent="0.25">
      <c r="B68" s="7"/>
      <c r="C68" s="7"/>
      <c r="D68" s="7"/>
      <c r="E68" s="7"/>
      <c r="F68" s="7"/>
      <c r="G68" s="7"/>
    </row>
    <row r="69" spans="1:7" x14ac:dyDescent="0.25">
      <c r="B69" s="10"/>
      <c r="C69" s="7"/>
      <c r="D69" s="7"/>
      <c r="E69" s="7"/>
      <c r="F69" s="7"/>
      <c r="G69" s="7"/>
    </row>
    <row r="70" spans="1:7" x14ac:dyDescent="0.25">
      <c r="B70" s="10"/>
      <c r="C70" s="7"/>
      <c r="D70" s="7"/>
      <c r="E70" s="7"/>
      <c r="F70" s="7"/>
      <c r="G70" s="7"/>
    </row>
    <row r="71" spans="1:7" x14ac:dyDescent="0.25">
      <c r="B71" s="7"/>
      <c r="C71" s="7"/>
      <c r="D71" s="7"/>
      <c r="E71" s="7"/>
      <c r="F71" s="7"/>
      <c r="G71" s="7"/>
    </row>
    <row r="72" spans="1:7" x14ac:dyDescent="0.25">
      <c r="B72" s="7"/>
      <c r="C72" s="7"/>
      <c r="D72" s="7"/>
      <c r="E72" s="7"/>
      <c r="F72" s="7"/>
      <c r="G72" s="7"/>
    </row>
    <row r="73" spans="1:7" x14ac:dyDescent="0.25">
      <c r="B73" s="7"/>
      <c r="C73" s="7"/>
      <c r="D73" s="7"/>
      <c r="E73" s="7"/>
      <c r="F73" s="7"/>
      <c r="G73" s="7"/>
    </row>
    <row r="74" spans="1:7" x14ac:dyDescent="0.25">
      <c r="B74" s="7"/>
      <c r="C74" s="7"/>
      <c r="D74" s="7"/>
      <c r="E74" s="7"/>
      <c r="F74" s="7"/>
      <c r="G74" s="7"/>
    </row>
    <row r="75" spans="1:7" x14ac:dyDescent="0.25">
      <c r="B75" s="10"/>
      <c r="C75" s="10"/>
      <c r="D75" s="10"/>
      <c r="E75" s="10"/>
      <c r="F75" s="10"/>
      <c r="G75" s="10"/>
    </row>
    <row r="76" spans="1:7" x14ac:dyDescent="0.25">
      <c r="A76" s="1" t="s">
        <v>53</v>
      </c>
      <c r="B76" s="7"/>
      <c r="C76" s="7"/>
      <c r="D76" s="7"/>
      <c r="E76" s="7"/>
      <c r="F76" s="7"/>
      <c r="G76" s="7"/>
    </row>
    <row r="77" spans="1:7" x14ac:dyDescent="0.25">
      <c r="A77" s="10"/>
      <c r="B77" s="7"/>
      <c r="C77" s="7"/>
      <c r="D77" s="7"/>
      <c r="E77" s="7"/>
      <c r="F77" s="7"/>
      <c r="G77" s="7"/>
    </row>
    <row r="78" spans="1:7" x14ac:dyDescent="0.25">
      <c r="A78" s="10"/>
      <c r="B78" s="7"/>
      <c r="C78" s="7"/>
      <c r="D78" s="7"/>
      <c r="E78" s="7"/>
      <c r="F78" s="7"/>
      <c r="G78" s="7"/>
    </row>
    <row r="79" spans="1:7" x14ac:dyDescent="0.25">
      <c r="B79" s="10"/>
      <c r="C79" s="10"/>
      <c r="D79" s="10"/>
      <c r="E79" s="10"/>
      <c r="F79" s="10"/>
      <c r="G79" s="10"/>
    </row>
    <row r="80" spans="1:7" x14ac:dyDescent="0.25">
      <c r="B80" s="10"/>
      <c r="C80" s="10"/>
      <c r="D80" s="10"/>
      <c r="E80" s="10"/>
      <c r="F80" s="10"/>
      <c r="G80" s="10"/>
    </row>
    <row r="81" spans="1:7" x14ac:dyDescent="0.25">
      <c r="B81" s="14"/>
      <c r="C81" s="14"/>
      <c r="D81" s="14"/>
      <c r="E81" s="14"/>
      <c r="F81" s="14"/>
      <c r="G81" s="14"/>
    </row>
    <row r="82" spans="1:7" x14ac:dyDescent="0.25">
      <c r="A82" s="10"/>
      <c r="B82" s="14"/>
      <c r="C82" s="14"/>
      <c r="D82" s="14"/>
      <c r="E82" s="14"/>
      <c r="F82" s="14"/>
      <c r="G82" s="14"/>
    </row>
    <row r="83" spans="1:7" x14ac:dyDescent="0.25">
      <c r="B83" s="14"/>
      <c r="C83" s="14"/>
      <c r="D83" s="14"/>
      <c r="E83" s="14"/>
      <c r="F83" s="14"/>
      <c r="G83" s="14"/>
    </row>
    <row r="84" spans="1:7" ht="14.25" x14ac:dyDescent="0.2">
      <c r="A84" s="7"/>
      <c r="B84" s="14"/>
      <c r="C84" s="14"/>
      <c r="D84" s="14"/>
      <c r="E84" s="14"/>
      <c r="F84" s="14"/>
      <c r="G84" s="14"/>
    </row>
    <row r="85" spans="1:7" x14ac:dyDescent="0.25">
      <c r="A85" s="10"/>
      <c r="B85" s="10"/>
      <c r="C85" s="10"/>
      <c r="D85" s="10"/>
      <c r="E85" s="10"/>
      <c r="F85" s="10"/>
      <c r="G85" s="10"/>
    </row>
    <row r="86" spans="1:7" x14ac:dyDescent="0.25">
      <c r="A86" s="10"/>
      <c r="B86" s="7"/>
      <c r="C86" s="7"/>
      <c r="D86" s="7"/>
      <c r="E86" s="7"/>
      <c r="F86" s="7"/>
      <c r="G86" s="7"/>
    </row>
    <row r="87" spans="1:7" ht="14.25" x14ac:dyDescent="0.2">
      <c r="A87" s="7"/>
    </row>
    <row r="88" spans="1:7" ht="14.25" x14ac:dyDescent="0.2">
      <c r="A88" s="7"/>
    </row>
    <row r="89" spans="1:7" ht="14.25" x14ac:dyDescent="0.2">
      <c r="A89" s="7"/>
    </row>
    <row r="90" spans="1:7" x14ac:dyDescent="0.25">
      <c r="A90" s="10"/>
    </row>
    <row r="91" spans="1:7" ht="14.25" x14ac:dyDescent="0.2">
      <c r="A91" s="42"/>
    </row>
    <row r="92" spans="1:7" ht="14.25" x14ac:dyDescent="0.2">
      <c r="A92" s="42"/>
    </row>
    <row r="93" spans="1:7" ht="14.25" x14ac:dyDescent="0.2">
      <c r="A93" s="7"/>
    </row>
    <row r="94" spans="1:7" x14ac:dyDescent="0.25">
      <c r="A94" s="10"/>
    </row>
    <row r="95" spans="1:7" x14ac:dyDescent="0.25">
      <c r="A95" s="10"/>
    </row>
    <row r="96" spans="1:7" ht="14.25" x14ac:dyDescent="0.2">
      <c r="A96" s="7"/>
    </row>
    <row r="97" spans="1:1" ht="14.25" x14ac:dyDescent="0.2">
      <c r="A97" s="7"/>
    </row>
    <row r="98" spans="1:1" ht="14.25" x14ac:dyDescent="0.2">
      <c r="A98" s="7"/>
    </row>
    <row r="99" spans="1:1" ht="14.25" x14ac:dyDescent="0.2">
      <c r="A99" s="7"/>
    </row>
    <row r="100" spans="1:1" x14ac:dyDescent="0.25">
      <c r="A100" s="10"/>
    </row>
    <row r="101" spans="1:1" ht="14.25" x14ac:dyDescent="0.2">
      <c r="A101" s="7"/>
    </row>
    <row r="102" spans="1:1" ht="14.25" x14ac:dyDescent="0.2">
      <c r="A102" s="7"/>
    </row>
    <row r="103" spans="1:1" ht="14.25" x14ac:dyDescent="0.2">
      <c r="A103" s="7"/>
    </row>
    <row r="104" spans="1:1" x14ac:dyDescent="0.25">
      <c r="A104" s="10"/>
    </row>
    <row r="105" spans="1:1" x14ac:dyDescent="0.25">
      <c r="A105" s="10"/>
    </row>
    <row r="106" spans="1:1" ht="14.25" x14ac:dyDescent="0.2">
      <c r="A106" s="14"/>
    </row>
    <row r="107" spans="1:1" ht="14.25" x14ac:dyDescent="0.2">
      <c r="A107" s="14"/>
    </row>
    <row r="108" spans="1:1" ht="14.25" x14ac:dyDescent="0.2">
      <c r="A108" s="14"/>
    </row>
    <row r="109" spans="1:1" ht="14.25" x14ac:dyDescent="0.2">
      <c r="A109" s="14"/>
    </row>
    <row r="110" spans="1:1" x14ac:dyDescent="0.25">
      <c r="A110" s="10"/>
    </row>
    <row r="111" spans="1:1" ht="14.25" x14ac:dyDescent="0.2">
      <c r="A111" s="7"/>
    </row>
  </sheetData>
  <mergeCells count="18">
    <mergeCell ref="G26:G27"/>
    <mergeCell ref="B14:B15"/>
    <mergeCell ref="C14:C15"/>
    <mergeCell ref="D14:D15"/>
    <mergeCell ref="E14:E15"/>
    <mergeCell ref="F14:F15"/>
    <mergeCell ref="G14:G15"/>
    <mergeCell ref="B26:B27"/>
    <mergeCell ref="C26:C27"/>
    <mergeCell ref="D26:D27"/>
    <mergeCell ref="E26:E27"/>
    <mergeCell ref="F26:F27"/>
    <mergeCell ref="G4:G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M38"/>
  <sheetViews>
    <sheetView topLeftCell="A21" workbookViewId="0">
      <selection activeCell="D23" sqref="D23:E37"/>
    </sheetView>
  </sheetViews>
  <sheetFormatPr defaultRowHeight="15" x14ac:dyDescent="0.25"/>
  <cols>
    <col min="1" max="1" width="25.7109375" customWidth="1"/>
    <col min="2" max="12" width="13.7109375" customWidth="1"/>
    <col min="13" max="13" width="13.42578125" customWidth="1"/>
    <col min="14" max="14" width="13.140625" customWidth="1"/>
  </cols>
  <sheetData>
    <row r="2" spans="1:3" x14ac:dyDescent="0.25">
      <c r="A2" s="110" t="s">
        <v>113</v>
      </c>
      <c r="B2" s="79"/>
      <c r="C2" s="79"/>
    </row>
    <row r="3" spans="1:3" x14ac:dyDescent="0.25">
      <c r="A3" s="144" t="s">
        <v>17</v>
      </c>
      <c r="B3" s="92" t="s">
        <v>19</v>
      </c>
      <c r="C3" s="93">
        <v>8.8459418034887133E-2</v>
      </c>
    </row>
    <row r="4" spans="1:3" x14ac:dyDescent="0.25">
      <c r="A4" s="144" t="s">
        <v>20</v>
      </c>
      <c r="B4" s="92" t="s">
        <v>77</v>
      </c>
      <c r="C4" s="94">
        <v>0.95553119060258107</v>
      </c>
    </row>
    <row r="5" spans="1:3" x14ac:dyDescent="0.25">
      <c r="A5" s="145" t="s">
        <v>23</v>
      </c>
      <c r="B5" s="95" t="s">
        <v>22</v>
      </c>
      <c r="C5" s="96">
        <v>0.8</v>
      </c>
    </row>
    <row r="6" spans="1:3" x14ac:dyDescent="0.25">
      <c r="A6" s="145" t="s">
        <v>25</v>
      </c>
      <c r="B6" s="95" t="s">
        <v>27</v>
      </c>
      <c r="C6" s="96">
        <v>0.25</v>
      </c>
    </row>
    <row r="7" spans="1:3" x14ac:dyDescent="0.25">
      <c r="A7" s="145" t="s">
        <v>29</v>
      </c>
      <c r="B7" s="95" t="s">
        <v>22</v>
      </c>
      <c r="C7" s="96">
        <v>0.89</v>
      </c>
    </row>
    <row r="8" spans="1:3" x14ac:dyDescent="0.25">
      <c r="A8" s="146" t="s">
        <v>32</v>
      </c>
      <c r="B8" s="97" t="s">
        <v>22</v>
      </c>
      <c r="C8" s="98">
        <v>28</v>
      </c>
    </row>
    <row r="9" spans="1:3" x14ac:dyDescent="0.25">
      <c r="A9" s="144" t="s">
        <v>42</v>
      </c>
      <c r="B9" s="92" t="s">
        <v>19</v>
      </c>
      <c r="C9" s="99">
        <v>1.6823783840205955E-2</v>
      </c>
    </row>
    <row r="10" spans="1:3" x14ac:dyDescent="0.25">
      <c r="A10" s="144" t="s">
        <v>44</v>
      </c>
      <c r="B10" s="92" t="s">
        <v>77</v>
      </c>
      <c r="C10" s="100">
        <v>0.76618309903630788</v>
      </c>
    </row>
    <row r="11" spans="1:3" x14ac:dyDescent="0.25">
      <c r="A11" s="145" t="s">
        <v>46</v>
      </c>
      <c r="B11" s="95" t="s">
        <v>22</v>
      </c>
      <c r="C11" s="101">
        <v>0.8</v>
      </c>
    </row>
    <row r="12" spans="1:3" x14ac:dyDescent="0.25">
      <c r="A12" s="145" t="s">
        <v>25</v>
      </c>
      <c r="B12" s="95" t="s">
        <v>27</v>
      </c>
      <c r="C12" s="102">
        <v>0.25</v>
      </c>
    </row>
    <row r="13" spans="1:3" x14ac:dyDescent="0.25">
      <c r="A13" s="145" t="s">
        <v>48</v>
      </c>
      <c r="B13" s="95" t="s">
        <v>22</v>
      </c>
      <c r="C13" s="102">
        <v>1.1200000000000001</v>
      </c>
    </row>
    <row r="14" spans="1:3" x14ac:dyDescent="0.25">
      <c r="A14" s="146" t="s">
        <v>32</v>
      </c>
      <c r="B14" s="97" t="s">
        <v>22</v>
      </c>
      <c r="C14" s="103">
        <v>28</v>
      </c>
    </row>
    <row r="15" spans="1:3" x14ac:dyDescent="0.25">
      <c r="A15" s="146" t="s">
        <v>55</v>
      </c>
      <c r="B15" s="104" t="s">
        <v>22</v>
      </c>
      <c r="C15" s="101">
        <v>0.9</v>
      </c>
    </row>
    <row r="16" spans="1:3" x14ac:dyDescent="0.25">
      <c r="A16" s="146" t="s">
        <v>68</v>
      </c>
      <c r="B16" s="95" t="s">
        <v>22</v>
      </c>
      <c r="C16" s="101">
        <v>0.5</v>
      </c>
    </row>
    <row r="17" spans="1:13" x14ac:dyDescent="0.25">
      <c r="A17" s="145" t="s">
        <v>60</v>
      </c>
      <c r="B17" s="106" t="s">
        <v>19</v>
      </c>
      <c r="C17" s="99">
        <v>7.1635634194681191E-2</v>
      </c>
    </row>
    <row r="18" spans="1:13" x14ac:dyDescent="0.25">
      <c r="A18" s="148" t="s">
        <v>124</v>
      </c>
      <c r="B18" s="153" t="s">
        <v>16</v>
      </c>
      <c r="C18" s="199">
        <f>'Volume POME'!C18</f>
        <v>106267.08278</v>
      </c>
    </row>
    <row r="19" spans="1:13" x14ac:dyDescent="0.25">
      <c r="A19" s="148" t="s">
        <v>181</v>
      </c>
      <c r="B19" s="153" t="s">
        <v>182</v>
      </c>
      <c r="C19" s="147">
        <f>'Volume POME'!G10</f>
        <v>8.2231244444512588E-3</v>
      </c>
    </row>
    <row r="21" spans="1:13" ht="38.25" x14ac:dyDescent="0.25">
      <c r="B21" s="112" t="s">
        <v>114</v>
      </c>
      <c r="C21" s="115" t="s">
        <v>124</v>
      </c>
      <c r="D21" s="112" t="s">
        <v>35</v>
      </c>
      <c r="E21" s="112" t="s">
        <v>208</v>
      </c>
      <c r="F21" s="112" t="s">
        <v>50</v>
      </c>
      <c r="G21" s="112" t="s">
        <v>115</v>
      </c>
      <c r="H21" s="112" t="s">
        <v>185</v>
      </c>
      <c r="I21" s="112" t="s">
        <v>184</v>
      </c>
      <c r="J21" s="112" t="s">
        <v>183</v>
      </c>
      <c r="K21" s="112" t="s">
        <v>209</v>
      </c>
      <c r="L21" s="112" t="s">
        <v>116</v>
      </c>
      <c r="M21" s="112" t="s">
        <v>117</v>
      </c>
    </row>
    <row r="22" spans="1:13" ht="25.5" x14ac:dyDescent="0.25">
      <c r="B22" s="90" t="s">
        <v>118</v>
      </c>
      <c r="C22" s="114" t="s">
        <v>119</v>
      </c>
      <c r="D22" s="90" t="s">
        <v>120</v>
      </c>
      <c r="E22" s="90" t="s">
        <v>125</v>
      </c>
      <c r="F22" s="90" t="s">
        <v>121</v>
      </c>
      <c r="G22" s="90" t="s">
        <v>122</v>
      </c>
      <c r="H22" s="142" t="s">
        <v>123</v>
      </c>
      <c r="I22" s="142" t="s">
        <v>176</v>
      </c>
      <c r="J22" s="142" t="s">
        <v>177</v>
      </c>
      <c r="K22" s="142" t="s">
        <v>178</v>
      </c>
      <c r="L22" s="142" t="s">
        <v>179</v>
      </c>
      <c r="M22" s="142" t="s">
        <v>180</v>
      </c>
    </row>
    <row r="23" spans="1:13" x14ac:dyDescent="0.25">
      <c r="B23" s="91">
        <v>2016</v>
      </c>
      <c r="C23" s="155">
        <v>107989</v>
      </c>
      <c r="D23" s="150">
        <f>C23*C$3*C$4*C$5*C$6*C$7*C$8</f>
        <v>45493.201333366873</v>
      </c>
      <c r="E23" s="150">
        <f t="shared" ref="E23:E27" si="0">D23</f>
        <v>45493.201333366873</v>
      </c>
      <c r="F23" s="149">
        <f t="shared" ref="F23:F27" si="1">C23*C$9*C$10*C$11*C$12*C$13*C$14</f>
        <v>8730.5542782841676</v>
      </c>
      <c r="G23" s="149">
        <f t="shared" ref="G23:G37" si="2">(1-C$15)*(C23*C$12*C$13*C$17*C$11)*C$14</f>
        <v>4851.9317062582004</v>
      </c>
      <c r="H23" s="149">
        <f>C23*' ER POME naik'!$C$12*' ER POME naik'!$C$13*' ER POME naik'!$C$17*' ER POME naik'!$C$11</f>
        <v>1732.8327522350719</v>
      </c>
      <c r="I23" s="149">
        <f>(1-' ER POME naik'!$C$15)*' ER POME naik'!H23</f>
        <v>173.28327522350716</v>
      </c>
      <c r="J23" s="150">
        <f>C$14*(H23-I23-Flare!$E$23)*1000*(1-' ER POME naik'!$C$16)*(1/1000)</f>
        <v>2264.3084743336376</v>
      </c>
      <c r="K23" s="149">
        <f t="shared" ref="K23:K27" si="3">F23+G23+J23</f>
        <v>15846.794458876004</v>
      </c>
      <c r="L23" s="149">
        <f t="shared" ref="L23:L27" si="4">E23-K23</f>
        <v>29646.406874490869</v>
      </c>
      <c r="M23" s="151">
        <f t="shared" ref="M23:M27" si="5">L23/E23</f>
        <v>0.65166675471455093</v>
      </c>
    </row>
    <row r="24" spans="1:13" x14ac:dyDescent="0.25">
      <c r="B24" s="152">
        <v>2017</v>
      </c>
      <c r="C24" s="155">
        <v>138887</v>
      </c>
      <c r="D24" s="150">
        <f t="shared" ref="D24:D27" si="6">C24*C$3*C$4*C$5*C$6*C$7*C$8</f>
        <v>58509.795012337578</v>
      </c>
      <c r="E24" s="150">
        <f t="shared" si="0"/>
        <v>58509.795012337578</v>
      </c>
      <c r="F24" s="149">
        <f t="shared" si="1"/>
        <v>11228.555612590664</v>
      </c>
      <c r="G24" s="149">
        <f t="shared" si="2"/>
        <v>6240.1748223160012</v>
      </c>
      <c r="H24" s="149">
        <f>C24*' ER POME naik'!$C$12*' ER POME naik'!$C$13*' ER POME naik'!$C$17*' ER POME naik'!$C$11</f>
        <v>2228.6338651128581</v>
      </c>
      <c r="I24" s="149">
        <f>(1-' ER POME naik'!$C$15)*' ER POME naik'!H24</f>
        <v>222.86338651128577</v>
      </c>
      <c r="J24" s="150">
        <f>C$14*(H24-I24-Flare!$E$23)*1000*(1-' ER POME naik'!$C$16)*(1/1000)</f>
        <v>8511.4024965937424</v>
      </c>
      <c r="K24" s="149">
        <f t="shared" si="3"/>
        <v>25980.132931500408</v>
      </c>
      <c r="L24" s="149">
        <f t="shared" si="4"/>
        <v>32529.66208083717</v>
      </c>
      <c r="M24" s="151">
        <f t="shared" si="5"/>
        <v>0.55596951030127273</v>
      </c>
    </row>
    <row r="25" spans="1:13" x14ac:dyDescent="0.25">
      <c r="B25" s="91">
        <v>2018</v>
      </c>
      <c r="C25" s="155">
        <v>135383</v>
      </c>
      <c r="D25" s="150">
        <f t="shared" si="6"/>
        <v>57033.643020263233</v>
      </c>
      <c r="E25" s="150">
        <f t="shared" si="0"/>
        <v>57033.643020263233</v>
      </c>
      <c r="F25" s="149">
        <f t="shared" si="1"/>
        <v>10945.26877605076</v>
      </c>
      <c r="G25" s="149">
        <f t="shared" si="2"/>
        <v>6082.7405586527702</v>
      </c>
      <c r="H25" s="149">
        <f>C25*' ER POME naik'!$C$12*' ER POME naik'!$C$13*' ER POME naik'!$C$17*' ER POME naik'!$C$11</f>
        <v>2172.4073423759896</v>
      </c>
      <c r="I25" s="149">
        <f>(1-' ER POME naik'!$C$15)*' ER POME naik'!H25</f>
        <v>217.24073423759893</v>
      </c>
      <c r="J25" s="150">
        <f>C$14*(H25-I25-Flare!$E$23)*1000*(1-' ER POME naik'!$C$16)*(1/1000)</f>
        <v>7802.9483101092028</v>
      </c>
      <c r="K25" s="149">
        <f t="shared" si="3"/>
        <v>24830.957644812734</v>
      </c>
      <c r="L25" s="149">
        <f t="shared" si="4"/>
        <v>32202.685375450499</v>
      </c>
      <c r="M25" s="151">
        <f t="shared" si="5"/>
        <v>0.56462613415750684</v>
      </c>
    </row>
    <row r="26" spans="1:13" x14ac:dyDescent="0.25">
      <c r="B26" s="152">
        <v>2019</v>
      </c>
      <c r="C26" s="155">
        <v>118902</v>
      </c>
      <c r="D26" s="150">
        <f t="shared" si="6"/>
        <v>50090.589087221728</v>
      </c>
      <c r="E26" s="150">
        <f t="shared" si="0"/>
        <v>50090.589087221728</v>
      </c>
      <c r="F26" s="149">
        <f t="shared" si="1"/>
        <v>9612.8343145741146</v>
      </c>
      <c r="G26" s="149">
        <f t="shared" si="2"/>
        <v>5342.2513750244243</v>
      </c>
      <c r="H26" s="149">
        <f>C26*' ER POME naik'!$C$12*' ER POME naik'!$C$13*' ER POME naik'!$C$17*' ER POME naik'!$C$11</f>
        <v>1907.9469196515806</v>
      </c>
      <c r="I26" s="149">
        <f>(1-' ER POME naik'!$C$15)*' ER POME naik'!H26</f>
        <v>190.79469196515802</v>
      </c>
      <c r="J26" s="150">
        <f>C$14*(H26-I26-Flare!$E$23)*1000*(1-' ER POME naik'!$C$16)*(1/1000)</f>
        <v>4470.746983781647</v>
      </c>
      <c r="K26" s="149">
        <f t="shared" si="3"/>
        <v>19425.832673380184</v>
      </c>
      <c r="L26" s="149">
        <f t="shared" si="4"/>
        <v>30664.756413841544</v>
      </c>
      <c r="M26" s="151">
        <f t="shared" si="5"/>
        <v>0.61218598089245113</v>
      </c>
    </row>
    <row r="27" spans="1:13" x14ac:dyDescent="0.25">
      <c r="B27" s="91">
        <v>2020</v>
      </c>
      <c r="C27" s="155">
        <f>C18</f>
        <v>106267.08278</v>
      </c>
      <c r="D27" s="150">
        <f t="shared" si="6"/>
        <v>44767.798498181328</v>
      </c>
      <c r="E27" s="150">
        <f t="shared" si="0"/>
        <v>44767.798498181328</v>
      </c>
      <c r="F27" s="149">
        <f t="shared" si="1"/>
        <v>8591.3429535018076</v>
      </c>
      <c r="G27" s="149">
        <f t="shared" si="2"/>
        <v>4774.5661898142098</v>
      </c>
      <c r="H27" s="149">
        <f>C27*' ER POME naik'!$C$12*' ER POME naik'!$C$13*' ER POME naik'!$C$17*' ER POME naik'!$C$11</f>
        <v>1705.2022106479326</v>
      </c>
      <c r="I27" s="149">
        <f>(1-' ER POME naik'!$C$15)*' ER POME naik'!H27</f>
        <v>170.52022106479322</v>
      </c>
      <c r="J27" s="150">
        <f>C$14*(H27-I27-Flare!$E$23)*1000*(1-' ER POME naik'!$C$16)*(1/1000)</f>
        <v>1916.1636503356817</v>
      </c>
      <c r="K27" s="149">
        <f t="shared" si="3"/>
        <v>15282.0727936517</v>
      </c>
      <c r="L27" s="149">
        <f t="shared" si="4"/>
        <v>29485.725704529628</v>
      </c>
      <c r="M27" s="151">
        <f t="shared" si="5"/>
        <v>0.65863693756858455</v>
      </c>
    </row>
    <row r="28" spans="1:13" x14ac:dyDescent="0.25">
      <c r="B28" s="156">
        <v>2021</v>
      </c>
      <c r="C28" s="157">
        <f>C18+(C19*C18)</f>
        <v>107140.93022604875</v>
      </c>
      <c r="D28" s="159">
        <f t="shared" ref="D28:D37" si="7">C28*C$3*C$4*C$5*C$6*C$7*C$8</f>
        <v>45135.929676335982</v>
      </c>
      <c r="E28" s="159">
        <f t="shared" ref="E28:E37" si="8">D28</f>
        <v>45135.929676335982</v>
      </c>
      <c r="F28" s="158">
        <f t="shared" ref="F28:F37" si="9">C28*C$9*C$10*C$11*C$12*C$13*C$14</f>
        <v>8661.9906357534128</v>
      </c>
      <c r="G28" s="158">
        <f t="shared" si="2"/>
        <v>4813.8280417613232</v>
      </c>
      <c r="H28" s="158">
        <f>C28*' ER POME naik'!$C$12*' ER POME naik'!$C$13*' ER POME naik'!$C$17*' ER POME naik'!$C$11</f>
        <v>1719.2243006290444</v>
      </c>
      <c r="I28" s="158">
        <f>(1-' ER POME naik'!$C$15)*' ER POME naik'!H28</f>
        <v>171.9224300629044</v>
      </c>
      <c r="J28" s="159">
        <f>C$14*(H28-I28-Flare!$E$23)*1000*(1-' ER POME naik'!$C$16)*(1/1000)</f>
        <v>2092.8419840976917</v>
      </c>
      <c r="K28" s="158">
        <f>F28+G28+J28</f>
        <v>15568.660661612428</v>
      </c>
      <c r="L28" s="158">
        <f t="shared" ref="L28:L37" si="10">E28-K28</f>
        <v>29567.269014723555</v>
      </c>
      <c r="M28" s="160">
        <f>L28/E28</f>
        <v>0.65507167409083378</v>
      </c>
    </row>
    <row r="29" spans="1:13" x14ac:dyDescent="0.25">
      <c r="B29" s="91">
        <v>2022</v>
      </c>
      <c r="C29" s="155">
        <f>C28+(C19*C28)</f>
        <v>108021.96342839181</v>
      </c>
      <c r="D29" s="150">
        <f t="shared" si="7"/>
        <v>45507.088042980497</v>
      </c>
      <c r="E29" s="150">
        <f t="shared" si="8"/>
        <v>45507.088042980497</v>
      </c>
      <c r="F29" s="149">
        <f t="shared" si="9"/>
        <v>8733.2192626878841</v>
      </c>
      <c r="G29" s="149">
        <f t="shared" si="2"/>
        <v>4853.4127488029153</v>
      </c>
      <c r="H29" s="149">
        <f>C29*' ER POME naik'!$C$12*' ER POME naik'!$C$13*' ER POME naik'!$C$17*' ER POME naik'!$C$11</f>
        <v>1733.3616960010415</v>
      </c>
      <c r="I29" s="149">
        <f>(1-' ER POME naik'!$C$15)*' ER POME naik'!H29</f>
        <v>173.33616960010411</v>
      </c>
      <c r="J29" s="150">
        <f>C$14*(H29-I29-Flare!$E$23)*1000*(1-' ER POME naik'!$C$16)*(1/1000)</f>
        <v>2270.9731657848561</v>
      </c>
      <c r="K29" s="111">
        <f t="shared" ref="K29:K37" si="11">F29+G29+J29</f>
        <v>15857.605177275655</v>
      </c>
      <c r="L29" s="111">
        <f t="shared" si="10"/>
        <v>29649.482865704842</v>
      </c>
      <c r="M29" s="113">
        <f>L29/E29</f>
        <v>0.65153548910230252</v>
      </c>
    </row>
    <row r="30" spans="1:13" x14ac:dyDescent="0.25">
      <c r="B30" s="91">
        <v>2023</v>
      </c>
      <c r="C30" s="155">
        <f t="shared" ref="C30:C37" si="12">C29+(C$19*C29)</f>
        <v>108910.24147639744</v>
      </c>
      <c r="D30" s="150">
        <f t="shared" si="7"/>
        <v>45881.298491062524</v>
      </c>
      <c r="E30" s="150">
        <f t="shared" si="8"/>
        <v>45881.298491062524</v>
      </c>
      <c r="F30" s="149">
        <f t="shared" si="9"/>
        <v>8805.0336114856473</v>
      </c>
      <c r="G30" s="149">
        <f t="shared" si="2"/>
        <v>4893.3229658166083</v>
      </c>
      <c r="H30" s="149">
        <f>C30*' ER POME naik'!$C$12*' ER POME naik'!$C$13*' ER POME naik'!$C$17*' ER POME naik'!$C$11</f>
        <v>1747.6153449345031</v>
      </c>
      <c r="I30" s="149">
        <f>(1-' ER POME naik'!$C$15)*' ER POME naik'!H30</f>
        <v>174.76153449345028</v>
      </c>
      <c r="J30" s="150">
        <f>C$14*(H30-I30-Flare!$E$23)*1000*(1-' ER POME naik'!$C$16)*(1/1000)</f>
        <v>2450.5691423464732</v>
      </c>
      <c r="K30" s="111">
        <f t="shared" si="11"/>
        <v>16148.925719648731</v>
      </c>
      <c r="L30" s="111">
        <f t="shared" si="10"/>
        <v>29732.372771413793</v>
      </c>
      <c r="M30" s="113">
        <f t="shared" ref="M30:M37" si="13">L30/E30</f>
        <v>0.64802814543719878</v>
      </c>
    </row>
    <row r="31" spans="1:13" x14ac:dyDescent="0.25">
      <c r="B31" s="91">
        <v>2024</v>
      </c>
      <c r="C31" s="155">
        <f t="shared" si="12"/>
        <v>109805.82394533309</v>
      </c>
      <c r="D31" s="150">
        <f t="shared" si="7"/>
        <v>46258.586118227548</v>
      </c>
      <c r="E31" s="150">
        <f t="shared" si="8"/>
        <v>46258.586118227548</v>
      </c>
      <c r="F31" s="149">
        <f t="shared" si="9"/>
        <v>8877.4384986104687</v>
      </c>
      <c r="G31" s="149">
        <f t="shared" si="2"/>
        <v>4933.5613695114089</v>
      </c>
      <c r="H31" s="149">
        <f>C31*' ER POME naik'!$C$12*' ER POME naik'!$C$13*' ER POME naik'!$C$17*' ER POME naik'!$C$11</f>
        <v>1761.9862033969321</v>
      </c>
      <c r="I31" s="149">
        <f>(1-' ER POME naik'!$C$15)*' ER POME naik'!H31</f>
        <v>176.19862033969318</v>
      </c>
      <c r="J31" s="150">
        <f>C$14*(H31-I31-Flare!$E$23)*1000*(1-' ER POME naik'!$C$16)*(1/1000)</f>
        <v>2631.6419589730758</v>
      </c>
      <c r="K31" s="111">
        <f t="shared" si="11"/>
        <v>16442.641827094954</v>
      </c>
      <c r="L31" s="111">
        <f t="shared" si="10"/>
        <v>29815.944291132593</v>
      </c>
      <c r="M31" s="113">
        <f t="shared" si="13"/>
        <v>0.64454940786406867</v>
      </c>
    </row>
    <row r="32" spans="1:13" x14ac:dyDescent="0.25">
      <c r="B32" s="91">
        <v>2025</v>
      </c>
      <c r="C32" s="155">
        <f t="shared" si="12"/>
        <v>110708.77090036107</v>
      </c>
      <c r="D32" s="150">
        <f t="shared" si="7"/>
        <v>46638.976228502092</v>
      </c>
      <c r="E32" s="150">
        <f t="shared" si="8"/>
        <v>46638.976228502092</v>
      </c>
      <c r="F32" s="149">
        <f t="shared" si="9"/>
        <v>8950.4387801325047</v>
      </c>
      <c r="G32" s="149">
        <f t="shared" si="2"/>
        <v>4974.1306586072378</v>
      </c>
      <c r="H32" s="149">
        <f>C32*' ER POME naik'!$C$12*' ER POME naik'!$C$13*' ER POME naik'!$C$17*' ER POME naik'!$C$11</f>
        <v>1776.4752352168712</v>
      </c>
      <c r="I32" s="149">
        <f>(1-' ER POME naik'!$C$15)*' ER POME naik'!H32</f>
        <v>177.64752352168708</v>
      </c>
      <c r="J32" s="150">
        <f>C$14*(H32-I32-Flare!$E$23)*1000*(1-' ER POME naik'!$C$16)*(1/1000)</f>
        <v>2814.2037599043078</v>
      </c>
      <c r="K32" s="111">
        <f t="shared" si="11"/>
        <v>16738.773198644049</v>
      </c>
      <c r="L32" s="111">
        <f t="shared" si="10"/>
        <v>29900.203029858043</v>
      </c>
      <c r="M32" s="113">
        <f t="shared" si="13"/>
        <v>0.64109904307001875</v>
      </c>
    </row>
    <row r="33" spans="2:13" x14ac:dyDescent="0.25">
      <c r="B33" s="91">
        <v>2026</v>
      </c>
      <c r="C33" s="155">
        <f t="shared" si="12"/>
        <v>111619.14290056698</v>
      </c>
      <c r="D33" s="150">
        <f t="shared" si="7"/>
        <v>47022.494333990879</v>
      </c>
      <c r="E33" s="150">
        <f t="shared" si="8"/>
        <v>47022.494333990879</v>
      </c>
      <c r="F33" s="149">
        <f t="shared" si="9"/>
        <v>9024.0393520539765</v>
      </c>
      <c r="G33" s="149">
        <f t="shared" si="2"/>
        <v>5015.0335540159249</v>
      </c>
      <c r="H33" s="149">
        <f>C33*' ER POME naik'!$C$12*' ER POME naik'!$C$13*' ER POME naik'!$C$17*' ER POME naik'!$C$11</f>
        <v>1791.0834121485452</v>
      </c>
      <c r="I33" s="149">
        <f>(1-' ER POME naik'!$C$15)*' ER POME naik'!H33</f>
        <v>179.10834121485448</v>
      </c>
      <c r="J33" s="150">
        <f>C$14*(H33-I33-Flare!$E$23)*1000*(1-' ER POME naik'!$C$16)*(1/1000)</f>
        <v>2998.2667892434038</v>
      </c>
      <c r="K33" s="111">
        <f t="shared" si="11"/>
        <v>17037.339695313305</v>
      </c>
      <c r="L33" s="111">
        <f t="shared" si="10"/>
        <v>29985.154638677574</v>
      </c>
      <c r="M33" s="113">
        <f t="shared" si="13"/>
        <v>0.63767681964506884</v>
      </c>
    </row>
    <row r="34" spans="2:13" x14ac:dyDescent="0.25">
      <c r="B34" s="91">
        <v>2027</v>
      </c>
      <c r="C34" s="155">
        <f t="shared" si="12"/>
        <v>112537.00100302133</v>
      </c>
      <c r="D34" s="150">
        <f t="shared" si="7"/>
        <v>47409.16615658778</v>
      </c>
      <c r="E34" s="150">
        <f t="shared" si="8"/>
        <v>47409.16615658778</v>
      </c>
      <c r="F34" s="149">
        <f t="shared" si="9"/>
        <v>9098.2451506375401</v>
      </c>
      <c r="G34" s="149">
        <f t="shared" si="2"/>
        <v>5056.2727990236972</v>
      </c>
      <c r="H34" s="149">
        <f>C34*' ER POME naik'!$C$12*' ER POME naik'!$C$13*' ER POME naik'!$C$17*' ER POME naik'!$C$11</f>
        <v>1805.8117139370352</v>
      </c>
      <c r="I34" s="149">
        <f>(1-' ER POME naik'!$C$15)*' ER POME naik'!H34</f>
        <v>180.58117139370347</v>
      </c>
      <c r="J34" s="150">
        <f>C$14*(H34-I34-Flare!$E$23)*1000*(1-' ER POME naik'!$C$16)*(1/1000)</f>
        <v>3183.8433917783755</v>
      </c>
      <c r="K34" s="111">
        <f t="shared" si="11"/>
        <v>17338.361341439613</v>
      </c>
      <c r="L34" s="111">
        <f t="shared" si="10"/>
        <v>30070.804815148167</v>
      </c>
      <c r="M34" s="113">
        <f t="shared" si="13"/>
        <v>0.63428250806663156</v>
      </c>
    </row>
    <row r="35" spans="2:13" x14ac:dyDescent="0.25">
      <c r="B35" s="91">
        <v>2028</v>
      </c>
      <c r="C35" s="155">
        <f t="shared" si="12"/>
        <v>113462.40676687451</v>
      </c>
      <c r="D35" s="150">
        <f t="shared" si="7"/>
        <v>47799.017629701077</v>
      </c>
      <c r="E35" s="150">
        <f t="shared" si="8"/>
        <v>47799.017629701077</v>
      </c>
      <c r="F35" s="149">
        <f t="shared" si="9"/>
        <v>9173.0611527373585</v>
      </c>
      <c r="G35" s="149">
        <f t="shared" si="2"/>
        <v>5097.8511594751635</v>
      </c>
      <c r="H35" s="149">
        <f>C35*' ER POME naik'!$C$12*' ER POME naik'!$C$13*' ER POME naik'!$C$17*' ER POME naik'!$C$11</f>
        <v>1820.6611283839875</v>
      </c>
      <c r="I35" s="149">
        <f>(1-' ER POME naik'!$C$15)*' ER POME naik'!H35</f>
        <v>182.06611283839871</v>
      </c>
      <c r="J35" s="150">
        <f>C$14*(H35-I35-Flare!$E$23)*1000*(1-' ER POME naik'!$C$16)*(1/1000)</f>
        <v>3370.9460138099735</v>
      </c>
      <c r="K35" s="111">
        <f t="shared" si="11"/>
        <v>17641.858326022495</v>
      </c>
      <c r="L35" s="111">
        <f t="shared" si="10"/>
        <v>30157.159303678582</v>
      </c>
      <c r="M35" s="113">
        <f t="shared" si="13"/>
        <v>0.63091588068411897</v>
      </c>
    </row>
    <row r="36" spans="2:13" x14ac:dyDescent="0.25">
      <c r="B36" s="91">
        <v>2029</v>
      </c>
      <c r="C36" s="155">
        <f t="shared" si="12"/>
        <v>114395.42225748546</v>
      </c>
      <c r="D36" s="150">
        <f t="shared" si="7"/>
        <v>48192.074899992622</v>
      </c>
      <c r="E36" s="150">
        <f t="shared" si="8"/>
        <v>48192.074899992622</v>
      </c>
      <c r="F36" s="149">
        <f t="shared" si="9"/>
        <v>9248.492376132881</v>
      </c>
      <c r="G36" s="149">
        <f t="shared" si="2"/>
        <v>5139.7714239588167</v>
      </c>
      <c r="H36" s="149">
        <f>C36*' ER POME naik'!$C$12*' ER POME naik'!$C$13*' ER POME naik'!$C$17*' ER POME naik'!$C$11</f>
        <v>1835.6326514138636</v>
      </c>
      <c r="I36" s="149">
        <f>(1-' ER POME naik'!$C$15)*' ER POME naik'!H36</f>
        <v>183.56326514138632</v>
      </c>
      <c r="J36" s="150">
        <f>C$14*(H36-I36-Flare!$E$23)*1000*(1-' ER POME naik'!$C$16)*(1/1000)</f>
        <v>3559.587203986413</v>
      </c>
      <c r="K36" s="111">
        <f t="shared" si="11"/>
        <v>17947.851004078111</v>
      </c>
      <c r="L36" s="111">
        <f t="shared" si="10"/>
        <v>30244.223895914511</v>
      </c>
      <c r="M36" s="113">
        <f>L36/E36</f>
        <v>0.62757671170367357</v>
      </c>
    </row>
    <row r="37" spans="2:13" x14ac:dyDescent="0.25">
      <c r="B37" s="91">
        <v>2030</v>
      </c>
      <c r="C37" s="155">
        <f t="shared" si="12"/>
        <v>115336.11005058432</v>
      </c>
      <c r="D37" s="150">
        <f t="shared" si="7"/>
        <v>48588.364329131582</v>
      </c>
      <c r="E37" s="150">
        <f t="shared" si="8"/>
        <v>48588.364329131582</v>
      </c>
      <c r="F37" s="149">
        <f t="shared" si="9"/>
        <v>9324.5438798653777</v>
      </c>
      <c r="G37" s="149">
        <f t="shared" si="2"/>
        <v>5182.0364039940669</v>
      </c>
      <c r="H37" s="149">
        <f>C37*' ER POME naik'!$C$12*' ER POME naik'!$C$13*' ER POME naik'!$C$17*' ER POME naik'!$C$11</f>
        <v>1850.7272871407383</v>
      </c>
      <c r="I37" s="149">
        <f>(1-' ER POME naik'!$C$15)*' ER POME naik'!H37</f>
        <v>185.0727287140738</v>
      </c>
      <c r="J37" s="150">
        <f>C$14*(H37-I37-Flare!$E$23)*1000*(1-' ER POME naik'!$C$16)*(1/1000)</f>
        <v>3749.7796141450362</v>
      </c>
      <c r="K37" s="111">
        <f t="shared" si="11"/>
        <v>18256.359898004481</v>
      </c>
      <c r="L37" s="111">
        <f t="shared" si="10"/>
        <v>30332.004431127101</v>
      </c>
      <c r="M37" s="113">
        <f t="shared" si="13"/>
        <v>0.62426477717302542</v>
      </c>
    </row>
    <row r="38" spans="2:13" x14ac:dyDescent="0.25"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61"/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M37"/>
  <sheetViews>
    <sheetView tabSelected="1" topLeftCell="B27" workbookViewId="0">
      <selection activeCell="H34" sqref="H34"/>
    </sheetView>
  </sheetViews>
  <sheetFormatPr defaultRowHeight="15" x14ac:dyDescent="0.25"/>
  <cols>
    <col min="1" max="1" width="25.7109375" customWidth="1"/>
    <col min="2" max="12" width="13.7109375" customWidth="1"/>
    <col min="13" max="13" width="13.42578125" customWidth="1"/>
    <col min="14" max="14" width="13.140625" customWidth="1"/>
  </cols>
  <sheetData>
    <row r="2" spans="1:3" x14ac:dyDescent="0.25">
      <c r="A2" s="110" t="s">
        <v>113</v>
      </c>
      <c r="B2" s="79"/>
      <c r="C2" s="79"/>
    </row>
    <row r="3" spans="1:3" x14ac:dyDescent="0.25">
      <c r="A3" s="144" t="s">
        <v>17</v>
      </c>
      <c r="B3" s="92" t="s">
        <v>19</v>
      </c>
      <c r="C3" s="93">
        <v>8.8459418034887133E-2</v>
      </c>
    </row>
    <row r="4" spans="1:3" x14ac:dyDescent="0.25">
      <c r="A4" s="144" t="s">
        <v>20</v>
      </c>
      <c r="B4" s="92" t="s">
        <v>77</v>
      </c>
      <c r="C4" s="94">
        <v>0.95553119060258107</v>
      </c>
    </row>
    <row r="5" spans="1:3" x14ac:dyDescent="0.25">
      <c r="A5" s="145" t="s">
        <v>23</v>
      </c>
      <c r="B5" s="95" t="s">
        <v>22</v>
      </c>
      <c r="C5" s="96">
        <v>0.8</v>
      </c>
    </row>
    <row r="6" spans="1:3" x14ac:dyDescent="0.25">
      <c r="A6" s="145" t="s">
        <v>25</v>
      </c>
      <c r="B6" s="95" t="s">
        <v>27</v>
      </c>
      <c r="C6" s="96">
        <v>0.25</v>
      </c>
    </row>
    <row r="7" spans="1:3" x14ac:dyDescent="0.25">
      <c r="A7" s="145" t="s">
        <v>29</v>
      </c>
      <c r="B7" s="95" t="s">
        <v>22</v>
      </c>
      <c r="C7" s="96">
        <v>0.89</v>
      </c>
    </row>
    <row r="8" spans="1:3" x14ac:dyDescent="0.25">
      <c r="A8" s="146" t="s">
        <v>32</v>
      </c>
      <c r="B8" s="97" t="s">
        <v>22</v>
      </c>
      <c r="C8" s="98">
        <v>28</v>
      </c>
    </row>
    <row r="9" spans="1:3" x14ac:dyDescent="0.25">
      <c r="A9" s="144" t="s">
        <v>42</v>
      </c>
      <c r="B9" s="92" t="s">
        <v>19</v>
      </c>
      <c r="C9" s="99">
        <v>1.6823783840205955E-2</v>
      </c>
    </row>
    <row r="10" spans="1:3" x14ac:dyDescent="0.25">
      <c r="A10" s="144" t="s">
        <v>44</v>
      </c>
      <c r="B10" s="92" t="s">
        <v>77</v>
      </c>
      <c r="C10" s="100">
        <v>0.76618309903630788</v>
      </c>
    </row>
    <row r="11" spans="1:3" x14ac:dyDescent="0.25">
      <c r="A11" s="145" t="s">
        <v>46</v>
      </c>
      <c r="B11" s="95" t="s">
        <v>22</v>
      </c>
      <c r="C11" s="101">
        <v>0.8</v>
      </c>
    </row>
    <row r="12" spans="1:3" x14ac:dyDescent="0.25">
      <c r="A12" s="145" t="s">
        <v>25</v>
      </c>
      <c r="B12" s="95" t="s">
        <v>27</v>
      </c>
      <c r="C12" s="102">
        <v>0.25</v>
      </c>
    </row>
    <row r="13" spans="1:3" x14ac:dyDescent="0.25">
      <c r="A13" s="145" t="s">
        <v>48</v>
      </c>
      <c r="B13" s="95" t="s">
        <v>22</v>
      </c>
      <c r="C13" s="102">
        <v>1.1200000000000001</v>
      </c>
    </row>
    <row r="14" spans="1:3" x14ac:dyDescent="0.25">
      <c r="A14" s="146" t="s">
        <v>32</v>
      </c>
      <c r="B14" s="97" t="s">
        <v>22</v>
      </c>
      <c r="C14" s="103">
        <v>28</v>
      </c>
    </row>
    <row r="15" spans="1:3" x14ac:dyDescent="0.25">
      <c r="A15" s="146" t="s">
        <v>55</v>
      </c>
      <c r="B15" s="104" t="s">
        <v>22</v>
      </c>
      <c r="C15" s="101">
        <v>0.9</v>
      </c>
    </row>
    <row r="16" spans="1:3" x14ac:dyDescent="0.25">
      <c r="A16" s="146" t="s">
        <v>68</v>
      </c>
      <c r="B16" s="95" t="s">
        <v>22</v>
      </c>
      <c r="C16" s="101">
        <v>0.5</v>
      </c>
    </row>
    <row r="17" spans="1:13" x14ac:dyDescent="0.25">
      <c r="A17" s="145" t="s">
        <v>60</v>
      </c>
      <c r="B17" s="106" t="s">
        <v>19</v>
      </c>
      <c r="C17" s="99">
        <v>7.1635634194681191E-2</v>
      </c>
    </row>
    <row r="18" spans="1:13" x14ac:dyDescent="0.25">
      <c r="A18" s="148" t="s">
        <v>124</v>
      </c>
      <c r="B18" s="153" t="s">
        <v>16</v>
      </c>
      <c r="C18" s="199">
        <f>'Volume POME'!C18</f>
        <v>106267.08278</v>
      </c>
    </row>
    <row r="19" spans="1:13" x14ac:dyDescent="0.25">
      <c r="A19" s="148" t="s">
        <v>181</v>
      </c>
      <c r="B19" s="153" t="s">
        <v>182</v>
      </c>
      <c r="C19" s="147">
        <f>'Volume POME'!G18</f>
        <v>-1.7417537206650936E-2</v>
      </c>
    </row>
    <row r="21" spans="1:13" ht="38.25" x14ac:dyDescent="0.25">
      <c r="B21" s="112" t="s">
        <v>114</v>
      </c>
      <c r="C21" s="115" t="s">
        <v>124</v>
      </c>
      <c r="D21" s="112" t="s">
        <v>35</v>
      </c>
      <c r="E21" s="112" t="s">
        <v>206</v>
      </c>
      <c r="F21" s="112" t="s">
        <v>50</v>
      </c>
      <c r="G21" s="112" t="s">
        <v>115</v>
      </c>
      <c r="H21" s="112" t="s">
        <v>185</v>
      </c>
      <c r="I21" s="112" t="s">
        <v>184</v>
      </c>
      <c r="J21" s="112" t="s">
        <v>183</v>
      </c>
      <c r="K21" s="112" t="s">
        <v>207</v>
      </c>
      <c r="L21" s="112" t="s">
        <v>116</v>
      </c>
      <c r="M21" s="112" t="s">
        <v>117</v>
      </c>
    </row>
    <row r="22" spans="1:13" ht="25.5" x14ac:dyDescent="0.25">
      <c r="B22" s="90" t="s">
        <v>118</v>
      </c>
      <c r="C22" s="114" t="s">
        <v>119</v>
      </c>
      <c r="D22" s="90" t="s">
        <v>120</v>
      </c>
      <c r="E22" s="90" t="s">
        <v>125</v>
      </c>
      <c r="F22" s="90" t="s">
        <v>121</v>
      </c>
      <c r="G22" s="90" t="s">
        <v>122</v>
      </c>
      <c r="H22" s="142" t="s">
        <v>123</v>
      </c>
      <c r="I22" s="142" t="s">
        <v>176</v>
      </c>
      <c r="J22" s="142" t="s">
        <v>177</v>
      </c>
      <c r="K22" s="142" t="s">
        <v>178</v>
      </c>
      <c r="L22" s="142" t="s">
        <v>179</v>
      </c>
      <c r="M22" s="142" t="s">
        <v>180</v>
      </c>
    </row>
    <row r="23" spans="1:13" x14ac:dyDescent="0.25">
      <c r="B23" s="91">
        <v>2016</v>
      </c>
      <c r="C23" s="155">
        <v>107989</v>
      </c>
      <c r="D23" s="150">
        <f t="shared" ref="D23:D37" si="0">C23*C$3*C$4*C$5*C$6*C$7*C$8</f>
        <v>45493.201333366873</v>
      </c>
      <c r="E23" s="150">
        <f t="shared" ref="E23:E27" si="1">D23</f>
        <v>45493.201333366873</v>
      </c>
      <c r="F23" s="149">
        <f t="shared" ref="F23:F37" si="2">C23*C$9*C$10*C$11*C$12*C$13*C$14</f>
        <v>8730.5542782841676</v>
      </c>
      <c r="G23" s="149">
        <f t="shared" ref="G23:G37" si="3">(1-C$15)*(C23*C$12*C$13*C$17*C$11)*C$14</f>
        <v>4851.9317062582004</v>
      </c>
      <c r="H23" s="149">
        <f>C23*' ER POME turun'!$C$12*' ER POME turun'!$C$13*' ER POME turun'!$C$17*' ER POME turun'!$C$11</f>
        <v>1732.8327522350719</v>
      </c>
      <c r="I23" s="149">
        <f>(1-' ER POME turun'!$C$15)*' ER POME turun'!H23</f>
        <v>173.28327522350716</v>
      </c>
      <c r="J23" s="150">
        <f>C$14*(H23-I23-Flare!$E$23)*1000*(1-' ER POME turun'!$C$16)*(1/1000)</f>
        <v>2264.3084743336376</v>
      </c>
      <c r="K23" s="149">
        <f t="shared" ref="K23:K27" si="4">F23+G23+J23</f>
        <v>15846.794458876004</v>
      </c>
      <c r="L23" s="149">
        <f t="shared" ref="L23:L27" si="5">E23-K23</f>
        <v>29646.406874490869</v>
      </c>
      <c r="M23" s="151">
        <f t="shared" ref="M23:M27" si="6">L23/E23</f>
        <v>0.65166675471455093</v>
      </c>
    </row>
    <row r="24" spans="1:13" x14ac:dyDescent="0.25">
      <c r="B24" s="152">
        <v>2017</v>
      </c>
      <c r="C24" s="155">
        <v>138887</v>
      </c>
      <c r="D24" s="150">
        <f t="shared" si="0"/>
        <v>58509.795012337578</v>
      </c>
      <c r="E24" s="150">
        <f t="shared" si="1"/>
        <v>58509.795012337578</v>
      </c>
      <c r="F24" s="149">
        <f t="shared" si="2"/>
        <v>11228.555612590664</v>
      </c>
      <c r="G24" s="149">
        <f t="shared" si="3"/>
        <v>6240.1748223160012</v>
      </c>
      <c r="H24" s="149">
        <f>C24*' ER POME turun'!$C$12*' ER POME turun'!$C$13*' ER POME turun'!$C$17*' ER POME turun'!$C$11</f>
        <v>2228.6338651128581</v>
      </c>
      <c r="I24" s="149">
        <f>(1-' ER POME turun'!$C$15)*' ER POME turun'!H24</f>
        <v>222.86338651128577</v>
      </c>
      <c r="J24" s="150">
        <f>C$14*(H24-I24-Flare!$E$23)*1000*(1-' ER POME turun'!$C$16)*(1/1000)</f>
        <v>8511.4024965937424</v>
      </c>
      <c r="K24" s="149">
        <f t="shared" si="4"/>
        <v>25980.132931500408</v>
      </c>
      <c r="L24" s="149">
        <f t="shared" si="5"/>
        <v>32529.66208083717</v>
      </c>
      <c r="M24" s="151">
        <f t="shared" si="6"/>
        <v>0.55596951030127273</v>
      </c>
    </row>
    <row r="25" spans="1:13" x14ac:dyDescent="0.25">
      <c r="B25" s="91">
        <v>2018</v>
      </c>
      <c r="C25" s="155">
        <v>135383</v>
      </c>
      <c r="D25" s="150">
        <f t="shared" si="0"/>
        <v>57033.643020263233</v>
      </c>
      <c r="E25" s="150">
        <f t="shared" si="1"/>
        <v>57033.643020263233</v>
      </c>
      <c r="F25" s="149">
        <f t="shared" si="2"/>
        <v>10945.26877605076</v>
      </c>
      <c r="G25" s="149">
        <f t="shared" si="3"/>
        <v>6082.7405586527702</v>
      </c>
      <c r="H25" s="149">
        <f>C25*' ER POME turun'!$C$12*' ER POME turun'!$C$13*' ER POME turun'!$C$17*' ER POME turun'!$C$11</f>
        <v>2172.4073423759896</v>
      </c>
      <c r="I25" s="149">
        <f>(1-' ER POME turun'!$C$15)*' ER POME turun'!H25</f>
        <v>217.24073423759893</v>
      </c>
      <c r="J25" s="150">
        <f>C$14*(H25-I25-Flare!$E$23)*1000*(1-' ER POME turun'!$C$16)*(1/1000)</f>
        <v>7802.9483101092028</v>
      </c>
      <c r="K25" s="149">
        <f t="shared" si="4"/>
        <v>24830.957644812734</v>
      </c>
      <c r="L25" s="149">
        <f t="shared" si="5"/>
        <v>32202.685375450499</v>
      </c>
      <c r="M25" s="151">
        <f t="shared" si="6"/>
        <v>0.56462613415750684</v>
      </c>
    </row>
    <row r="26" spans="1:13" x14ac:dyDescent="0.25">
      <c r="B26" s="152">
        <v>2019</v>
      </c>
      <c r="C26" s="155">
        <v>118902</v>
      </c>
      <c r="D26" s="150">
        <f t="shared" si="0"/>
        <v>50090.589087221728</v>
      </c>
      <c r="E26" s="150">
        <f t="shared" si="1"/>
        <v>50090.589087221728</v>
      </c>
      <c r="F26" s="149">
        <f t="shared" si="2"/>
        <v>9612.8343145741146</v>
      </c>
      <c r="G26" s="149">
        <f t="shared" si="3"/>
        <v>5342.2513750244243</v>
      </c>
      <c r="H26" s="149">
        <f>C26*' ER POME turun'!$C$12*' ER POME turun'!$C$13*' ER POME turun'!$C$17*' ER POME turun'!$C$11</f>
        <v>1907.9469196515806</v>
      </c>
      <c r="I26" s="149">
        <f>(1-' ER POME turun'!$C$15)*' ER POME turun'!H26</f>
        <v>190.79469196515802</v>
      </c>
      <c r="J26" s="150">
        <f>C$14*(H26-I26-Flare!$E$23)*1000*(1-' ER POME turun'!$C$16)*(1/1000)</f>
        <v>4470.746983781647</v>
      </c>
      <c r="K26" s="149">
        <f t="shared" si="4"/>
        <v>19425.832673380184</v>
      </c>
      <c r="L26" s="149">
        <f t="shared" si="5"/>
        <v>30664.756413841544</v>
      </c>
      <c r="M26" s="151">
        <f t="shared" si="6"/>
        <v>0.61218598089245113</v>
      </c>
    </row>
    <row r="27" spans="1:13" x14ac:dyDescent="0.25">
      <c r="B27" s="91">
        <v>2020</v>
      </c>
      <c r="C27" s="155">
        <f>C18</f>
        <v>106267.08278</v>
      </c>
      <c r="D27" s="150">
        <f t="shared" si="0"/>
        <v>44767.798498181328</v>
      </c>
      <c r="E27" s="150">
        <f t="shared" si="1"/>
        <v>44767.798498181328</v>
      </c>
      <c r="F27" s="149">
        <f t="shared" si="2"/>
        <v>8591.3429535018076</v>
      </c>
      <c r="G27" s="149">
        <f t="shared" si="3"/>
        <v>4774.5661898142098</v>
      </c>
      <c r="H27" s="149">
        <f>C27*' ER POME turun'!$C$12*' ER POME turun'!$C$13*' ER POME turun'!$C$17*' ER POME turun'!$C$11</f>
        <v>1705.2022106479326</v>
      </c>
      <c r="I27" s="149">
        <f>(1-' ER POME turun'!$C$15)*' ER POME turun'!H27</f>
        <v>170.52022106479322</v>
      </c>
      <c r="J27" s="150">
        <f>C$14*(H27-I27-Flare!$E$23)*1000*(1-' ER POME turun'!$C$16)*(1/1000)</f>
        <v>1916.1636503356817</v>
      </c>
      <c r="K27" s="149">
        <f t="shared" si="4"/>
        <v>15282.0727936517</v>
      </c>
      <c r="L27" s="149">
        <f t="shared" si="5"/>
        <v>29485.725704529628</v>
      </c>
      <c r="M27" s="151">
        <f t="shared" si="6"/>
        <v>0.65863693756858455</v>
      </c>
    </row>
    <row r="28" spans="1:13" x14ac:dyDescent="0.25">
      <c r="B28" s="156">
        <v>2021</v>
      </c>
      <c r="C28" s="157">
        <f>C18+(C19*C18)</f>
        <v>104416.1719118371</v>
      </c>
      <c r="D28" s="159">
        <f t="shared" si="0"/>
        <v>43988.053702179408</v>
      </c>
      <c r="E28" s="159">
        <f t="shared" ref="E28:E37" si="7">D28</f>
        <v>43988.053702179408</v>
      </c>
      <c r="F28" s="158">
        <f t="shared" si="2"/>
        <v>8441.7029179540914</v>
      </c>
      <c r="G28" s="158">
        <f t="shared" si="3"/>
        <v>4691.4050055575035</v>
      </c>
      <c r="H28" s="158">
        <f>C28*' ER POME turun'!$C$12*' ER POME turun'!$C$13*' ER POME turun'!$C$17*' ER POME turun'!$C$11</f>
        <v>1675.5017876991089</v>
      </c>
      <c r="I28" s="158">
        <f>(1-' ER POME turun'!$C$15)*' ER POME turun'!H28</f>
        <v>167.55017876991084</v>
      </c>
      <c r="J28" s="159">
        <f>C$14*(H28-I28-Flare!$E$23)*1000*(1-' ER POME turun'!$C$16)*(1/1000)</f>
        <v>1541.9383211805048</v>
      </c>
      <c r="K28" s="158">
        <f t="shared" ref="K28:K37" si="8">F28+G28+J28</f>
        <v>14675.046244692099</v>
      </c>
      <c r="L28" s="158">
        <f t="shared" ref="L28:L37" si="9">E28-K28</f>
        <v>29313.007457487307</v>
      </c>
      <c r="M28" s="160">
        <f t="shared" ref="M28:M37" si="10">L28/E28</f>
        <v>0.66638564315554116</v>
      </c>
    </row>
    <row r="29" spans="1:13" x14ac:dyDescent="0.25">
      <c r="B29" s="91">
        <v>2022</v>
      </c>
      <c r="C29" s="155">
        <f>C28+(C19*C28)</f>
        <v>102597.49935258662</v>
      </c>
      <c r="D29" s="150">
        <f t="shared" si="0"/>
        <v>43221.890140173527</v>
      </c>
      <c r="E29" s="150">
        <f t="shared" si="7"/>
        <v>43221.890140173527</v>
      </c>
      <c r="F29" s="149">
        <f t="shared" si="2"/>
        <v>8294.6692432931304</v>
      </c>
      <c r="G29" s="149">
        <f t="shared" si="3"/>
        <v>4609.692284321738</v>
      </c>
      <c r="H29" s="149">
        <f>C29*' ER POME turun'!$C$12*' ER POME turun'!$C$13*' ER POME turun'!$C$17*' ER POME turun'!$C$11</f>
        <v>1646.3186729720496</v>
      </c>
      <c r="I29" s="149">
        <f>(1-' ER POME turun'!$C$15)*' ER POME turun'!H29</f>
        <v>164.63186729720493</v>
      </c>
      <c r="J29" s="150">
        <f>C$14*(H29-I29-Flare!$E$23)*1000*(1-' ER POME turun'!$C$16)*(1/1000)</f>
        <v>1174.231075619557</v>
      </c>
      <c r="K29" s="111">
        <f t="shared" si="8"/>
        <v>14078.592603234425</v>
      </c>
      <c r="L29" s="111">
        <f t="shared" si="9"/>
        <v>29143.297536939102</v>
      </c>
      <c r="M29" s="113">
        <f>L29/E29</f>
        <v>0.67427170450954499</v>
      </c>
    </row>
    <row r="30" spans="1:13" x14ac:dyDescent="0.25">
      <c r="B30" s="91">
        <v>2023</v>
      </c>
      <c r="C30" s="155">
        <f t="shared" ref="C30:C37" si="11">C29+(C$19*C29)</f>
        <v>100810.50359030359</v>
      </c>
      <c r="D30" s="150">
        <f t="shared" si="0"/>
        <v>42469.07126051528</v>
      </c>
      <c r="E30" s="150">
        <f t="shared" si="7"/>
        <v>42469.07126051528</v>
      </c>
      <c r="F30" s="149">
        <f t="shared" si="2"/>
        <v>8150.1965331312103</v>
      </c>
      <c r="G30" s="149">
        <f t="shared" si="3"/>
        <v>4529.4027974483524</v>
      </c>
      <c r="H30" s="149">
        <f>C30*' ER POME turun'!$C$12*' ER POME turun'!$C$13*' ER POME turun'!$C$17*' ER POME turun'!$C$11</f>
        <v>1617.6438562315548</v>
      </c>
      <c r="I30" s="149">
        <f>(1-' ER POME turun'!$C$15)*' ER POME turun'!H30</f>
        <v>161.76438562315545</v>
      </c>
      <c r="J30" s="150">
        <f>C$14*(H30-I30-Flare!$E$23)*1000*(1-' ER POME turun'!$C$16)*(1/1000)</f>
        <v>812.92838468932177</v>
      </c>
      <c r="K30" s="111">
        <f t="shared" si="8"/>
        <v>13492.527715268885</v>
      </c>
      <c r="L30" s="111">
        <f t="shared" si="9"/>
        <v>28976.543545246393</v>
      </c>
      <c r="M30" s="113">
        <f t="shared" si="10"/>
        <v>0.68229755643813006</v>
      </c>
    </row>
    <row r="31" spans="1:13" x14ac:dyDescent="0.25">
      <c r="B31" s="91">
        <v>2024</v>
      </c>
      <c r="C31" s="155">
        <f t="shared" si="11"/>
        <v>99054.632893198257</v>
      </c>
      <c r="D31" s="150">
        <f t="shared" si="0"/>
        <v>41729.364631703342</v>
      </c>
      <c r="E31" s="150">
        <f t="shared" si="7"/>
        <v>41729.364631703342</v>
      </c>
      <c r="F31" s="149">
        <f t="shared" si="2"/>
        <v>8008.2401817738801</v>
      </c>
      <c r="G31" s="149">
        <f t="shared" si="3"/>
        <v>4450.5117556998866</v>
      </c>
      <c r="H31" s="149">
        <f>C31*' ER POME turun'!$C$12*' ER POME turun'!$C$13*' ER POME turun'!$C$17*' ER POME turun'!$C$11</f>
        <v>1589.4684841785313</v>
      </c>
      <c r="I31" s="149">
        <f>(1-' ER POME turun'!$C$15)*' ER POME turun'!H31</f>
        <v>158.94684841785309</v>
      </c>
      <c r="J31" s="150">
        <f>C$14*(H31-I31-Flare!$E$23)*1000*(1-' ER POME turun'!$C$16)*(1/1000)</f>
        <v>457.91869682122712</v>
      </c>
      <c r="K31" s="111">
        <f t="shared" si="8"/>
        <v>12916.670634294995</v>
      </c>
      <c r="L31" s="111">
        <f t="shared" si="9"/>
        <v>28812.693997408347</v>
      </c>
      <c r="M31" s="113">
        <f t="shared" si="10"/>
        <v>0.69046567690892369</v>
      </c>
    </row>
    <row r="32" spans="1:13" x14ac:dyDescent="0.25">
      <c r="B32" s="91">
        <v>2025</v>
      </c>
      <c r="C32" s="155">
        <f t="shared" si="11"/>
        <v>97329.345139289828</v>
      </c>
      <c r="D32" s="150">
        <f t="shared" si="0"/>
        <v>41002.541870620742</v>
      </c>
      <c r="E32" s="150">
        <f t="shared" si="7"/>
        <v>41002.541870620742</v>
      </c>
      <c r="F32" s="149">
        <f t="shared" si="2"/>
        <v>7868.7563604480374</v>
      </c>
      <c r="G32" s="149">
        <f t="shared" si="3"/>
        <v>4372.9948016063472</v>
      </c>
      <c r="H32" s="149">
        <f>C32*' ER POME turun'!$C$12*' ER POME turun'!$C$13*' ER POME turun'!$C$17*' ER POME turun'!$C$11</f>
        <v>1561.7838577165528</v>
      </c>
      <c r="I32" s="149">
        <f>(1-' ER POME turun'!$C$15)*' ER POME turun'!H32</f>
        <v>156.17838577165526</v>
      </c>
      <c r="J32" s="150">
        <f>C$14*(H32-I32-Flare!$E$23)*1000*(1-' ER POME turun'!$C$16)*(1/1000)</f>
        <v>109.09240340029737</v>
      </c>
      <c r="K32" s="111">
        <f t="shared" si="8"/>
        <v>12350.843565454681</v>
      </c>
      <c r="L32" s="111">
        <f t="shared" si="9"/>
        <v>28651.698305166061</v>
      </c>
      <c r="M32" s="113">
        <f t="shared" si="10"/>
        <v>0.69877858781471447</v>
      </c>
    </row>
    <row r="33" spans="2:13" x14ac:dyDescent="0.25">
      <c r="B33" s="91">
        <v>2026</v>
      </c>
      <c r="C33" s="155">
        <f t="shared" si="11"/>
        <v>95634.107649027283</v>
      </c>
      <c r="D33" s="150">
        <f t="shared" si="0"/>
        <v>40288.378572021953</v>
      </c>
      <c r="E33" s="150">
        <f t="shared" si="7"/>
        <v>40288.378572021953</v>
      </c>
      <c r="F33" s="149">
        <f t="shared" si="2"/>
        <v>7731.7020037698639</v>
      </c>
      <c r="G33" s="149">
        <f t="shared" si="3"/>
        <v>4296.8280019448775</v>
      </c>
      <c r="H33" s="149">
        <f>C33*' ER POME turun'!$C$12*' ER POME turun'!$C$13*' ER POME turun'!$C$17*' ER POME turun'!$C$11</f>
        <v>1534.581429266028</v>
      </c>
      <c r="I33" s="149">
        <f>(1-' ER POME turun'!$C$15)*' ER POME turun'!H33</f>
        <v>153.45814292660276</v>
      </c>
      <c r="J33" s="150">
        <f>C$14*(H33-I33-Flare!$E$23)*1000*(1-' ER POME turun'!$C$16)*(1/1000)</f>
        <v>-233.65819507631477</v>
      </c>
      <c r="K33" s="111">
        <f t="shared" si="8"/>
        <v>11794.871810638426</v>
      </c>
      <c r="L33" s="111">
        <f>E33-K33</f>
        <v>28493.506761383527</v>
      </c>
      <c r="M33" s="113">
        <f t="shared" si="10"/>
        <v>0.70723885575208256</v>
      </c>
    </row>
    <row r="34" spans="2:13" x14ac:dyDescent="0.25">
      <c r="B34" s="91">
        <v>2027</v>
      </c>
      <c r="C34" s="155">
        <f t="shared" si="11"/>
        <v>93968.39702082549</v>
      </c>
      <c r="D34" s="150">
        <f t="shared" si="0"/>
        <v>39586.654239248128</v>
      </c>
      <c r="E34" s="150">
        <f t="shared" si="7"/>
        <v>39586.654239248128</v>
      </c>
      <c r="F34" s="149">
        <f t="shared" si="2"/>
        <v>7597.0347964484654</v>
      </c>
      <c r="G34" s="149">
        <f t="shared" si="3"/>
        <v>4221.9878403504226</v>
      </c>
      <c r="H34" s="149">
        <f>C34*' ER POME turun'!$C$12*' ER POME turun'!$C$13*' ER POME turun'!$C$17*' ER POME turun'!$C$11</f>
        <v>1507.8528001251514</v>
      </c>
      <c r="I34" s="149">
        <f>(1-' ER POME turun'!$C$15)*' ER POME turun'!H34</f>
        <v>150.7852800125151</v>
      </c>
      <c r="J34" s="150">
        <f>C$14*(H34-I34-Flare!$E$23)*1000*(1-' ER POME turun'!$C$16)*(1/1000)</f>
        <v>-570.43892225136142</v>
      </c>
      <c r="K34" s="111">
        <f t="shared" si="8"/>
        <v>11248.583714547525</v>
      </c>
      <c r="L34" s="111">
        <f t="shared" si="9"/>
        <v>28338.070524700604</v>
      </c>
      <c r="M34" s="113">
        <f t="shared" si="10"/>
        <v>0.71584909281383191</v>
      </c>
    </row>
    <row r="35" spans="2:13" x14ac:dyDescent="0.25">
      <c r="B35" s="91">
        <v>2028</v>
      </c>
      <c r="C35" s="155">
        <f t="shared" si="11"/>
        <v>92331.698969465913</v>
      </c>
      <c r="D35" s="150">
        <f t="shared" si="0"/>
        <v>38897.152216149188</v>
      </c>
      <c r="E35" s="150">
        <f t="shared" si="7"/>
        <v>38897.152216149188</v>
      </c>
      <c r="F35" s="149">
        <f t="shared" si="2"/>
        <v>7464.7131602211002</v>
      </c>
      <c r="G35" s="149">
        <f t="shared" si="3"/>
        <v>4148.451210055091</v>
      </c>
      <c r="H35" s="149">
        <f>C35*' ER POME turun'!$C$12*' ER POME turun'!$C$13*' ER POME turun'!$C$17*' ER POME turun'!$C$11</f>
        <v>1481.5897178768187</v>
      </c>
      <c r="I35" s="149">
        <f>(1-' ER POME turun'!$C$15)*' ER POME turun'!H35</f>
        <v>148.15897178768182</v>
      </c>
      <c r="J35" s="150">
        <f>C$14*(H35-I35-Flare!$E$23)*1000*(1-' ER POME turun'!$C$16)*(1/1000)</f>
        <v>-901.35375858035241</v>
      </c>
      <c r="K35" s="111">
        <f t="shared" si="8"/>
        <v>10711.810611695837</v>
      </c>
      <c r="L35" s="111">
        <f t="shared" si="9"/>
        <v>28185.341604453351</v>
      </c>
      <c r="M35" s="113">
        <f t="shared" si="10"/>
        <v>0.72461195739546858</v>
      </c>
    </row>
    <row r="36" spans="2:13" x14ac:dyDescent="0.25">
      <c r="B36" s="91">
        <v>2029</v>
      </c>
      <c r="C36" s="155">
        <f t="shared" si="11"/>
        <v>90723.508167311942</v>
      </c>
      <c r="D36" s="150">
        <f t="shared" si="0"/>
        <v>38219.659620191647</v>
      </c>
      <c r="E36" s="150">
        <f t="shared" si="7"/>
        <v>38219.659620191647</v>
      </c>
      <c r="F36" s="149">
        <f t="shared" si="2"/>
        <v>7334.6962410159722</v>
      </c>
      <c r="G36" s="149">
        <f t="shared" si="3"/>
        <v>4076.19540675398</v>
      </c>
      <c r="H36" s="149">
        <f>C36*' ER POME turun'!$C$12*' ER POME turun'!$C$13*' ER POME turun'!$C$17*' ER POME turun'!$C$11</f>
        <v>1455.7840738407076</v>
      </c>
      <c r="I36" s="149">
        <f>(1-' ER POME turun'!$C$15)*' ER POME turun'!H36</f>
        <v>145.57840738407072</v>
      </c>
      <c r="J36" s="150">
        <f>C$14*(H36-I36-Flare!$E$23)*1000*(1-' ER POME turun'!$C$16)*(1/1000)</f>
        <v>-1226.5048734353518</v>
      </c>
      <c r="K36" s="111">
        <f t="shared" si="8"/>
        <v>10184.386774334602</v>
      </c>
      <c r="L36" s="111">
        <f t="shared" si="9"/>
        <v>28035.272845857045</v>
      </c>
      <c r="M36" s="113">
        <f t="shared" si="10"/>
        <v>0.73353015501597674</v>
      </c>
    </row>
    <row r="37" spans="2:13" x14ac:dyDescent="0.25">
      <c r="B37" s="91">
        <v>2030</v>
      </c>
      <c r="C37" s="155">
        <f t="shared" si="11"/>
        <v>89143.328088289883</v>
      </c>
      <c r="D37" s="150">
        <f t="shared" si="0"/>
        <v>37553.967276731426</v>
      </c>
      <c r="E37" s="150">
        <f t="shared" si="7"/>
        <v>37553.967276731426</v>
      </c>
      <c r="F37" s="149">
        <f t="shared" si="2"/>
        <v>7206.9438963385928</v>
      </c>
      <c r="G37" s="149">
        <f t="shared" si="3"/>
        <v>4005.1981215952628</v>
      </c>
      <c r="H37" s="149">
        <f>C37*' ER POME turun'!$C$12*' ER POME turun'!$C$13*' ER POME turun'!$C$17*' ER POME turun'!$C$11</f>
        <v>1430.4279005697372</v>
      </c>
      <c r="I37" s="149">
        <f>(1-' ER POME turun'!$C$15)*' ER POME turun'!H37</f>
        <v>143.04279005697367</v>
      </c>
      <c r="J37" s="150">
        <f>C$14*(H37-I37-Flare!$E$23)*1000*(1-' ER POME turun'!$C$16)*(1/1000)</f>
        <v>-1545.9926566495794</v>
      </c>
      <c r="K37" s="111">
        <f t="shared" si="8"/>
        <v>9666.1493612842769</v>
      </c>
      <c r="L37" s="111">
        <f t="shared" si="9"/>
        <v>27887.817915447151</v>
      </c>
      <c r="M37" s="113">
        <f t="shared" si="10"/>
        <v>0.74260643915314228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workbookViewId="0">
      <selection activeCell="E18" sqref="E18:F18"/>
    </sheetView>
  </sheetViews>
  <sheetFormatPr defaultRowHeight="15.75" x14ac:dyDescent="0.25"/>
  <cols>
    <col min="1" max="1" width="5.42578125" style="172" customWidth="1"/>
    <col min="2" max="3" width="25.7109375" style="172" customWidth="1"/>
    <col min="4" max="5" width="17.7109375" style="172" customWidth="1"/>
    <col min="6" max="6" width="19.28515625" style="172" customWidth="1"/>
    <col min="7" max="7" width="33.28515625" style="172" customWidth="1"/>
    <col min="8" max="16384" width="9.140625" style="172"/>
  </cols>
  <sheetData>
    <row r="2" spans="2:8" x14ac:dyDescent="0.25">
      <c r="B2" s="187" t="s">
        <v>107</v>
      </c>
    </row>
    <row r="4" spans="2:8" x14ac:dyDescent="0.25">
      <c r="B4" s="205" t="s">
        <v>81</v>
      </c>
      <c r="C4" s="173" t="s">
        <v>106</v>
      </c>
      <c r="E4" s="173" t="s">
        <v>114</v>
      </c>
      <c r="F4" s="173" t="s">
        <v>189</v>
      </c>
      <c r="G4" s="173" t="s">
        <v>186</v>
      </c>
    </row>
    <row r="5" spans="2:8" x14ac:dyDescent="0.25">
      <c r="B5" s="206"/>
      <c r="C5" s="173">
        <v>2020</v>
      </c>
      <c r="E5" s="174">
        <v>2016</v>
      </c>
      <c r="F5" s="175">
        <v>107989</v>
      </c>
      <c r="G5" s="175"/>
    </row>
    <row r="6" spans="2:8" x14ac:dyDescent="0.25">
      <c r="B6" s="176" t="s">
        <v>85</v>
      </c>
      <c r="C6" s="177">
        <v>8606.5660770000013</v>
      </c>
      <c r="E6" s="174">
        <v>2017</v>
      </c>
      <c r="F6" s="175">
        <v>138887</v>
      </c>
      <c r="G6" s="178">
        <f>(F6-F5)/F5</f>
        <v>0.28612173462111884</v>
      </c>
    </row>
    <row r="7" spans="2:8" x14ac:dyDescent="0.25">
      <c r="B7" s="176" t="s">
        <v>86</v>
      </c>
      <c r="C7" s="177">
        <v>7980.6248210000012</v>
      </c>
      <c r="E7" s="174">
        <v>2018</v>
      </c>
      <c r="F7" s="175">
        <v>135383</v>
      </c>
      <c r="G7" s="178">
        <f t="shared" ref="G7:G9" si="0">(F7-F6)/F6</f>
        <v>-2.5229143116346383E-2</v>
      </c>
    </row>
    <row r="8" spans="2:8" x14ac:dyDescent="0.25">
      <c r="B8" s="176" t="s">
        <v>87</v>
      </c>
      <c r="C8" s="177">
        <v>7127.8479810000008</v>
      </c>
      <c r="E8" s="174">
        <v>2019</v>
      </c>
      <c r="F8" s="175">
        <v>118902</v>
      </c>
      <c r="G8" s="178">
        <f t="shared" si="0"/>
        <v>-0.12173611162405915</v>
      </c>
    </row>
    <row r="9" spans="2:8" x14ac:dyDescent="0.25">
      <c r="B9" s="176" t="s">
        <v>88</v>
      </c>
      <c r="C9" s="177">
        <v>7563.7963300000001</v>
      </c>
      <c r="E9" s="174">
        <v>2020</v>
      </c>
      <c r="F9" s="175">
        <v>106267</v>
      </c>
      <c r="G9" s="178">
        <f t="shared" si="0"/>
        <v>-0.10626398210290827</v>
      </c>
      <c r="H9" s="179"/>
    </row>
    <row r="10" spans="2:8" x14ac:dyDescent="0.25">
      <c r="B10" s="176" t="s">
        <v>89</v>
      </c>
      <c r="C10" s="177">
        <v>6512.5719049999989</v>
      </c>
      <c r="E10" s="207" t="s">
        <v>188</v>
      </c>
      <c r="F10" s="208"/>
      <c r="G10" s="180">
        <f>AVERAGE(G6:G9)</f>
        <v>8.2231244444512588E-3</v>
      </c>
      <c r="H10" s="181"/>
    </row>
    <row r="11" spans="2:8" x14ac:dyDescent="0.25">
      <c r="B11" s="176" t="s">
        <v>90</v>
      </c>
      <c r="C11" s="177">
        <v>7277.1759009999987</v>
      </c>
    </row>
    <row r="12" spans="2:8" x14ac:dyDescent="0.25">
      <c r="B12" s="176" t="s">
        <v>91</v>
      </c>
      <c r="C12" s="177">
        <v>5759</v>
      </c>
      <c r="E12" s="173" t="s">
        <v>114</v>
      </c>
      <c r="F12" s="173" t="s">
        <v>190</v>
      </c>
      <c r="G12" s="173" t="s">
        <v>187</v>
      </c>
    </row>
    <row r="13" spans="2:8" x14ac:dyDescent="0.25">
      <c r="B13" s="176" t="s">
        <v>92</v>
      </c>
      <c r="C13" s="177">
        <v>9199</v>
      </c>
      <c r="E13" s="174">
        <v>2016</v>
      </c>
      <c r="F13" s="175">
        <v>261959</v>
      </c>
      <c r="G13" s="175"/>
    </row>
    <row r="14" spans="2:8" x14ac:dyDescent="0.25">
      <c r="B14" s="176" t="s">
        <v>93</v>
      </c>
      <c r="C14" s="177">
        <v>10366</v>
      </c>
      <c r="E14" s="174">
        <v>2017</v>
      </c>
      <c r="F14" s="175">
        <v>329330</v>
      </c>
      <c r="G14" s="178">
        <f>(F14-F13)/F13</f>
        <v>0.25718146732885683</v>
      </c>
    </row>
    <row r="15" spans="2:8" x14ac:dyDescent="0.25">
      <c r="B15" s="176" t="s">
        <v>94</v>
      </c>
      <c r="C15" s="177">
        <v>12468.541470000002</v>
      </c>
      <c r="E15" s="174">
        <v>2018</v>
      </c>
      <c r="F15" s="175">
        <v>317369</v>
      </c>
      <c r="G15" s="178">
        <f t="shared" ref="G15:G17" si="1">(F15-F14)/F14</f>
        <v>-3.6319193514104391E-2</v>
      </c>
    </row>
    <row r="16" spans="2:8" x14ac:dyDescent="0.25">
      <c r="B16" s="176" t="s">
        <v>95</v>
      </c>
      <c r="C16" s="177">
        <v>11967.958295</v>
      </c>
      <c r="E16" s="174">
        <v>2019</v>
      </c>
      <c r="F16" s="175">
        <v>269752</v>
      </c>
      <c r="G16" s="178">
        <f t="shared" si="1"/>
        <v>-0.15003670805907318</v>
      </c>
    </row>
    <row r="17" spans="2:7" x14ac:dyDescent="0.25">
      <c r="B17" s="176" t="s">
        <v>96</v>
      </c>
      <c r="C17" s="177">
        <v>11438</v>
      </c>
      <c r="E17" s="174">
        <v>2020</v>
      </c>
      <c r="F17" s="175">
        <v>231853</v>
      </c>
      <c r="G17" s="178">
        <f t="shared" si="1"/>
        <v>-0.14049571458228299</v>
      </c>
    </row>
    <row r="18" spans="2:7" x14ac:dyDescent="0.25">
      <c r="B18" s="182" t="s">
        <v>108</v>
      </c>
      <c r="C18" s="183">
        <f>SUM(C6:C17)</f>
        <v>106267.08278</v>
      </c>
      <c r="D18" s="184"/>
      <c r="E18" s="207" t="s">
        <v>97</v>
      </c>
      <c r="F18" s="208"/>
      <c r="G18" s="180">
        <f>AVERAGE(G14:G17)</f>
        <v>-1.7417537206650936E-2</v>
      </c>
    </row>
  </sheetData>
  <mergeCells count="3">
    <mergeCell ref="B4:B5"/>
    <mergeCell ref="E10:F10"/>
    <mergeCell ref="E18:F1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5"/>
  <sheetViews>
    <sheetView topLeftCell="A34" workbookViewId="0">
      <selection activeCell="F8" sqref="F8:F9"/>
    </sheetView>
  </sheetViews>
  <sheetFormatPr defaultRowHeight="15" x14ac:dyDescent="0.25"/>
  <cols>
    <col min="1" max="1" width="29.85546875" customWidth="1"/>
    <col min="2" max="4" width="20.7109375" customWidth="1"/>
    <col min="5" max="7" width="17.7109375" customWidth="1"/>
  </cols>
  <sheetData>
    <row r="2" spans="1:4" x14ac:dyDescent="0.25">
      <c r="A2" s="191" t="s">
        <v>79</v>
      </c>
      <c r="B2" s="171"/>
    </row>
    <row r="4" spans="1:4" x14ac:dyDescent="0.25">
      <c r="A4" s="227" t="s">
        <v>81</v>
      </c>
      <c r="B4" s="192" t="s">
        <v>84</v>
      </c>
      <c r="C4" s="192" t="s">
        <v>83</v>
      </c>
      <c r="D4" s="192" t="s">
        <v>126</v>
      </c>
    </row>
    <row r="5" spans="1:4" x14ac:dyDescent="0.25">
      <c r="A5" s="228"/>
      <c r="B5" s="192">
        <v>2020</v>
      </c>
      <c r="C5" s="192">
        <v>2020</v>
      </c>
      <c r="D5" s="192">
        <v>2020</v>
      </c>
    </row>
    <row r="6" spans="1:4" x14ac:dyDescent="0.25">
      <c r="A6" s="81" t="s">
        <v>85</v>
      </c>
      <c r="B6" s="83">
        <v>86812.858229774283</v>
      </c>
      <c r="C6" s="83">
        <v>17916.862745098038</v>
      </c>
      <c r="D6" s="82">
        <v>2403</v>
      </c>
    </row>
    <row r="7" spans="1:4" x14ac:dyDescent="0.25">
      <c r="A7" s="81" t="s">
        <v>86</v>
      </c>
      <c r="B7" s="83">
        <v>77210.111757857972</v>
      </c>
      <c r="C7" s="83">
        <v>18385.644051130777</v>
      </c>
      <c r="D7" s="82">
        <v>3161</v>
      </c>
    </row>
    <row r="8" spans="1:4" x14ac:dyDescent="0.25">
      <c r="A8" s="81" t="s">
        <v>87</v>
      </c>
      <c r="B8" s="83">
        <v>80562.323842392871</v>
      </c>
      <c r="C8" s="83">
        <v>15547.346562067374</v>
      </c>
      <c r="D8" s="82">
        <v>5022</v>
      </c>
    </row>
    <row r="9" spans="1:4" x14ac:dyDescent="0.25">
      <c r="A9" s="81" t="s">
        <v>88</v>
      </c>
      <c r="B9" s="83">
        <v>86209.115108083395</v>
      </c>
      <c r="C9" s="83">
        <v>15245.733788395904</v>
      </c>
      <c r="D9" s="82">
        <v>5022</v>
      </c>
    </row>
    <row r="10" spans="1:4" x14ac:dyDescent="0.25">
      <c r="A10" s="81" t="s">
        <v>89</v>
      </c>
      <c r="B10" s="83">
        <v>70311.038845726973</v>
      </c>
      <c r="C10" s="83">
        <v>15836.498516320475</v>
      </c>
      <c r="D10" s="82">
        <v>5022</v>
      </c>
    </row>
    <row r="11" spans="1:4" x14ac:dyDescent="0.25">
      <c r="A11" s="81" t="s">
        <v>90</v>
      </c>
      <c r="B11" s="83">
        <v>84794.808982210554</v>
      </c>
      <c r="C11" s="83">
        <v>14216.644649933949</v>
      </c>
      <c r="D11" s="82">
        <v>4250</v>
      </c>
    </row>
    <row r="12" spans="1:4" x14ac:dyDescent="0.25">
      <c r="A12" s="81" t="s">
        <v>91</v>
      </c>
      <c r="B12" s="83">
        <v>83186.535008976658</v>
      </c>
      <c r="C12" s="83">
        <v>14473.660714285714</v>
      </c>
      <c r="D12" s="82">
        <v>4146.84</v>
      </c>
    </row>
    <row r="13" spans="1:4" x14ac:dyDescent="0.25">
      <c r="A13" s="81" t="s">
        <v>92</v>
      </c>
      <c r="B13" s="83">
        <v>96144.464423323909</v>
      </c>
      <c r="C13" s="83">
        <v>17267.5</v>
      </c>
      <c r="D13" s="82">
        <v>2294.0500000000002</v>
      </c>
    </row>
    <row r="14" spans="1:4" x14ac:dyDescent="0.25">
      <c r="A14" s="81" t="s">
        <v>93</v>
      </c>
      <c r="B14" s="83">
        <v>110026.59131469364</v>
      </c>
      <c r="C14" s="83">
        <v>18885.352112676057</v>
      </c>
      <c r="D14" s="82">
        <v>2988.73</v>
      </c>
    </row>
    <row r="15" spans="1:4" x14ac:dyDescent="0.25">
      <c r="A15" s="81" t="s">
        <v>94</v>
      </c>
      <c r="B15" s="83">
        <v>95001.198192889409</v>
      </c>
      <c r="C15" s="83">
        <v>18614.397496087637</v>
      </c>
      <c r="D15" s="82">
        <v>6120.08</v>
      </c>
    </row>
    <row r="16" spans="1:4" x14ac:dyDescent="0.25">
      <c r="A16" s="81" t="s">
        <v>95</v>
      </c>
      <c r="B16" s="83">
        <v>87134.534092997608</v>
      </c>
      <c r="C16" s="83">
        <v>18606.627869382475</v>
      </c>
      <c r="D16" s="82">
        <v>3387.26</v>
      </c>
    </row>
    <row r="17" spans="1:8" x14ac:dyDescent="0.25">
      <c r="A17" s="81" t="s">
        <v>96</v>
      </c>
      <c r="B17" s="83">
        <v>104119.43661971831</v>
      </c>
      <c r="C17" s="83">
        <v>16889.137577093115</v>
      </c>
      <c r="D17" s="82">
        <v>3387.26</v>
      </c>
    </row>
    <row r="18" spans="1:8" x14ac:dyDescent="0.25">
      <c r="A18" s="84" t="s">
        <v>97</v>
      </c>
      <c r="B18" s="85">
        <f t="shared" ref="B18" si="0">AVERAGE(B6:B17)</f>
        <v>88459.41803488713</v>
      </c>
      <c r="C18" s="85">
        <f>AVERAGE(C6:C17)</f>
        <v>16823.783840205957</v>
      </c>
      <c r="D18" s="85">
        <f>AVERAGE(D6:D17)</f>
        <v>3933.6850000000009</v>
      </c>
    </row>
    <row r="21" spans="1:8" x14ac:dyDescent="0.25">
      <c r="A21" s="191" t="s">
        <v>199</v>
      </c>
      <c r="B21" s="188"/>
      <c r="C21" s="189"/>
    </row>
    <row r="22" spans="1:8" x14ac:dyDescent="0.25">
      <c r="A22" s="192" t="s">
        <v>101</v>
      </c>
      <c r="B22" s="192" t="s">
        <v>102</v>
      </c>
      <c r="C22" s="192" t="s">
        <v>103</v>
      </c>
      <c r="D22" s="218" t="s">
        <v>7</v>
      </c>
      <c r="E22" s="219"/>
      <c r="F22" s="219"/>
      <c r="G22" s="219"/>
      <c r="H22" s="220"/>
    </row>
    <row r="23" spans="1:8" ht="18.75" customHeight="1" x14ac:dyDescent="0.25">
      <c r="A23" s="121" t="s">
        <v>80</v>
      </c>
      <c r="B23" s="122">
        <f>B18</f>
        <v>88459.41803488713</v>
      </c>
      <c r="C23" s="120" t="s">
        <v>98</v>
      </c>
      <c r="D23" s="221" t="s">
        <v>133</v>
      </c>
      <c r="E23" s="222"/>
      <c r="F23" s="222"/>
      <c r="G23" s="222"/>
      <c r="H23" s="223"/>
    </row>
    <row r="24" spans="1:8" x14ac:dyDescent="0.25">
      <c r="A24" s="82"/>
      <c r="B24" s="87">
        <f>B23/1000</f>
        <v>88.459418034887136</v>
      </c>
      <c r="C24" s="80" t="s">
        <v>100</v>
      </c>
      <c r="D24" s="224"/>
      <c r="E24" s="225"/>
      <c r="F24" s="225"/>
      <c r="G24" s="225"/>
      <c r="H24" s="226"/>
    </row>
    <row r="25" spans="1:8" x14ac:dyDescent="0.25">
      <c r="A25" s="82" t="s">
        <v>82</v>
      </c>
      <c r="B25" s="86">
        <f>D18</f>
        <v>3933.6850000000009</v>
      </c>
      <c r="C25" s="80" t="s">
        <v>98</v>
      </c>
      <c r="D25" s="221" t="s">
        <v>134</v>
      </c>
      <c r="E25" s="222"/>
      <c r="F25" s="222"/>
      <c r="G25" s="222"/>
      <c r="H25" s="223"/>
    </row>
    <row r="26" spans="1:8" x14ac:dyDescent="0.25">
      <c r="A26" s="82"/>
      <c r="B26" s="87">
        <f>B25/1000</f>
        <v>3.933685000000001</v>
      </c>
      <c r="C26" s="80" t="s">
        <v>99</v>
      </c>
      <c r="D26" s="224"/>
      <c r="E26" s="225"/>
      <c r="F26" s="225"/>
      <c r="G26" s="225"/>
      <c r="H26" s="226"/>
    </row>
    <row r="27" spans="1:8" ht="27.75" customHeight="1" x14ac:dyDescent="0.25">
      <c r="A27" s="123" t="s">
        <v>104</v>
      </c>
      <c r="B27" s="124">
        <f>(B24-B26)/B24</f>
        <v>0.95553119060258107</v>
      </c>
      <c r="C27" s="80" t="s">
        <v>77</v>
      </c>
      <c r="D27" s="209" t="s">
        <v>135</v>
      </c>
      <c r="E27" s="210"/>
      <c r="F27" s="210"/>
      <c r="G27" s="210"/>
      <c r="H27" s="211"/>
    </row>
    <row r="28" spans="1:8" ht="27" customHeight="1" x14ac:dyDescent="0.25">
      <c r="A28" s="123" t="s">
        <v>105</v>
      </c>
      <c r="B28" s="125">
        <f>B24-B26</f>
        <v>84.525733034887139</v>
      </c>
      <c r="C28" s="80" t="s">
        <v>99</v>
      </c>
      <c r="D28" s="209" t="s">
        <v>175</v>
      </c>
      <c r="E28" s="210"/>
      <c r="F28" s="210"/>
      <c r="G28" s="210"/>
      <c r="H28" s="211"/>
    </row>
    <row r="30" spans="1:8" x14ac:dyDescent="0.25">
      <c r="A30" s="191" t="s">
        <v>197</v>
      </c>
      <c r="B30" s="190"/>
      <c r="C30" s="189"/>
    </row>
    <row r="31" spans="1:8" x14ac:dyDescent="0.25">
      <c r="A31" s="192" t="s">
        <v>101</v>
      </c>
      <c r="B31" s="192" t="s">
        <v>102</v>
      </c>
      <c r="C31" s="192" t="s">
        <v>103</v>
      </c>
      <c r="D31" s="218" t="s">
        <v>7</v>
      </c>
      <c r="E31" s="219"/>
      <c r="F31" s="219"/>
      <c r="G31" s="219"/>
      <c r="H31" s="220"/>
    </row>
    <row r="32" spans="1:8" ht="15" customHeight="1" x14ac:dyDescent="0.25">
      <c r="A32" s="82" t="s">
        <v>80</v>
      </c>
      <c r="B32" s="86">
        <f>C18</f>
        <v>16823.783840205957</v>
      </c>
      <c r="C32" s="80" t="s">
        <v>98</v>
      </c>
      <c r="D32" s="221" t="s">
        <v>136</v>
      </c>
      <c r="E32" s="222"/>
      <c r="F32" s="222"/>
      <c r="G32" s="222"/>
      <c r="H32" s="223"/>
    </row>
    <row r="33" spans="1:10" x14ac:dyDescent="0.25">
      <c r="A33" s="82"/>
      <c r="B33" s="87">
        <f>B32/1000</f>
        <v>16.823783840205955</v>
      </c>
      <c r="C33" s="80" t="s">
        <v>100</v>
      </c>
      <c r="D33" s="224"/>
      <c r="E33" s="225"/>
      <c r="F33" s="225"/>
      <c r="G33" s="225"/>
      <c r="H33" s="226"/>
    </row>
    <row r="34" spans="1:10" x14ac:dyDescent="0.25">
      <c r="A34" s="82" t="s">
        <v>82</v>
      </c>
      <c r="B34" s="86">
        <f>D18</f>
        <v>3933.6850000000009</v>
      </c>
      <c r="C34" s="80" t="s">
        <v>98</v>
      </c>
      <c r="D34" s="212" t="s">
        <v>134</v>
      </c>
      <c r="E34" s="213"/>
      <c r="F34" s="213"/>
      <c r="G34" s="213"/>
      <c r="H34" s="214"/>
    </row>
    <row r="35" spans="1:10" x14ac:dyDescent="0.25">
      <c r="A35" s="82"/>
      <c r="B35" s="87">
        <f>B34/1000</f>
        <v>3.933685000000001</v>
      </c>
      <c r="C35" s="80" t="s">
        <v>99</v>
      </c>
      <c r="D35" s="215"/>
      <c r="E35" s="216"/>
      <c r="F35" s="216"/>
      <c r="G35" s="216"/>
      <c r="H35" s="217"/>
    </row>
    <row r="36" spans="1:10" ht="29.25" customHeight="1" x14ac:dyDescent="0.25">
      <c r="A36" s="123" t="s">
        <v>104</v>
      </c>
      <c r="B36" s="124">
        <f>(B33-B35)/B33</f>
        <v>0.76618309903630788</v>
      </c>
      <c r="C36" s="80" t="s">
        <v>77</v>
      </c>
      <c r="D36" s="209" t="s">
        <v>137</v>
      </c>
      <c r="E36" s="210"/>
      <c r="F36" s="210"/>
      <c r="G36" s="210"/>
      <c r="H36" s="211"/>
      <c r="I36" s="105"/>
    </row>
    <row r="37" spans="1:10" ht="26.25" customHeight="1" x14ac:dyDescent="0.25">
      <c r="A37" s="123" t="s">
        <v>105</v>
      </c>
      <c r="B37" s="125">
        <f>B33-B35</f>
        <v>12.890098840205955</v>
      </c>
      <c r="C37" s="80" t="s">
        <v>99</v>
      </c>
      <c r="D37" s="209" t="s">
        <v>175</v>
      </c>
      <c r="E37" s="210"/>
      <c r="F37" s="210"/>
      <c r="G37" s="210"/>
      <c r="H37" s="211"/>
    </row>
    <row r="39" spans="1:10" x14ac:dyDescent="0.25">
      <c r="A39" s="191" t="s">
        <v>198</v>
      </c>
      <c r="B39" s="190"/>
      <c r="C39" s="189"/>
    </row>
    <row r="40" spans="1:10" x14ac:dyDescent="0.25">
      <c r="A40" s="192" t="s">
        <v>101</v>
      </c>
      <c r="B40" s="192" t="s">
        <v>102</v>
      </c>
      <c r="C40" s="192" t="s">
        <v>103</v>
      </c>
      <c r="D40" s="218" t="s">
        <v>7</v>
      </c>
      <c r="E40" s="219"/>
      <c r="F40" s="219"/>
      <c r="G40" s="219"/>
      <c r="H40" s="220"/>
    </row>
    <row r="41" spans="1:10" x14ac:dyDescent="0.25">
      <c r="A41" s="82" t="s">
        <v>80</v>
      </c>
      <c r="B41" s="86">
        <f>B18</f>
        <v>88459.41803488713</v>
      </c>
      <c r="C41" s="80" t="s">
        <v>98</v>
      </c>
      <c r="D41" s="212" t="s">
        <v>138</v>
      </c>
      <c r="E41" s="213"/>
      <c r="F41" s="213"/>
      <c r="G41" s="213"/>
      <c r="H41" s="214"/>
    </row>
    <row r="42" spans="1:10" x14ac:dyDescent="0.25">
      <c r="A42" s="82"/>
      <c r="B42" s="87">
        <f>B41/1000</f>
        <v>88.459418034887136</v>
      </c>
      <c r="C42" s="80" t="s">
        <v>100</v>
      </c>
      <c r="D42" s="215"/>
      <c r="E42" s="216"/>
      <c r="F42" s="216"/>
      <c r="G42" s="216"/>
      <c r="H42" s="217"/>
    </row>
    <row r="43" spans="1:10" x14ac:dyDescent="0.25">
      <c r="A43" s="82" t="s">
        <v>82</v>
      </c>
      <c r="B43" s="86">
        <f>C18</f>
        <v>16823.783840205957</v>
      </c>
      <c r="C43" s="80" t="s">
        <v>98</v>
      </c>
      <c r="D43" s="212" t="s">
        <v>139</v>
      </c>
      <c r="E43" s="213"/>
      <c r="F43" s="213"/>
      <c r="G43" s="213"/>
      <c r="H43" s="214"/>
    </row>
    <row r="44" spans="1:10" x14ac:dyDescent="0.25">
      <c r="A44" s="82"/>
      <c r="B44" s="87">
        <f>B43/1000</f>
        <v>16.823783840205955</v>
      </c>
      <c r="C44" s="80" t="s">
        <v>99</v>
      </c>
      <c r="D44" s="215"/>
      <c r="E44" s="216"/>
      <c r="F44" s="216"/>
      <c r="G44" s="216"/>
      <c r="H44" s="217"/>
    </row>
    <row r="45" spans="1:10" ht="27.75" customHeight="1" x14ac:dyDescent="0.25">
      <c r="A45" s="123" t="s">
        <v>104</v>
      </c>
      <c r="B45" s="124">
        <f>(B42-B44)/B42</f>
        <v>0.80981353694220681</v>
      </c>
      <c r="C45" s="80" t="s">
        <v>77</v>
      </c>
      <c r="D45" s="209" t="s">
        <v>140</v>
      </c>
      <c r="E45" s="210"/>
      <c r="F45" s="210"/>
      <c r="G45" s="210"/>
      <c r="H45" s="211"/>
      <c r="J45" s="107"/>
    </row>
    <row r="46" spans="1:10" ht="28.5" customHeight="1" x14ac:dyDescent="0.25">
      <c r="A46" s="123" t="s">
        <v>105</v>
      </c>
      <c r="B46" s="125">
        <f>B42-B44</f>
        <v>71.635634194681188</v>
      </c>
      <c r="C46" s="80" t="s">
        <v>99</v>
      </c>
      <c r="D46" s="209" t="s">
        <v>141</v>
      </c>
      <c r="E46" s="210"/>
      <c r="F46" s="210"/>
      <c r="G46" s="210"/>
      <c r="H46" s="211"/>
    </row>
    <row r="54" ht="27" customHeight="1" x14ac:dyDescent="0.25"/>
    <row r="55" ht="27" customHeight="1" x14ac:dyDescent="0.25"/>
  </sheetData>
  <mergeCells count="16">
    <mergeCell ref="D28:H28"/>
    <mergeCell ref="D32:H33"/>
    <mergeCell ref="D34:H35"/>
    <mergeCell ref="A4:A5"/>
    <mergeCell ref="D23:H24"/>
    <mergeCell ref="D22:H22"/>
    <mergeCell ref="D25:H26"/>
    <mergeCell ref="D27:H27"/>
    <mergeCell ref="D31:H31"/>
    <mergeCell ref="D45:H45"/>
    <mergeCell ref="D46:H46"/>
    <mergeCell ref="D36:H36"/>
    <mergeCell ref="D37:H37"/>
    <mergeCell ref="D41:H42"/>
    <mergeCell ref="D43:H44"/>
    <mergeCell ref="D40:H40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K59"/>
  <sheetViews>
    <sheetView showGridLines="0" topLeftCell="A28" zoomScale="85" zoomScaleNormal="85" workbookViewId="0">
      <selection activeCell="D58" sqref="D58"/>
    </sheetView>
  </sheetViews>
  <sheetFormatPr defaultColWidth="8.7109375" defaultRowHeight="15" x14ac:dyDescent="0.25"/>
  <cols>
    <col min="1" max="1" width="3.28515625" style="1" customWidth="1"/>
    <col min="2" max="2" width="23.42578125" style="4" customWidth="1"/>
    <col min="3" max="3" width="60.5703125" style="4" customWidth="1"/>
    <col min="4" max="4" width="19.140625" style="4" customWidth="1"/>
    <col min="5" max="5" width="20.7109375" style="5" customWidth="1"/>
    <col min="6" max="6" width="20.85546875" style="6" customWidth="1"/>
    <col min="7" max="7" width="78.42578125" style="4" customWidth="1"/>
    <col min="8" max="16384" width="8.7109375" style="7"/>
  </cols>
  <sheetData>
    <row r="1" spans="1:11" ht="16.5" thickBot="1" x14ac:dyDescent="0.3">
      <c r="B1" s="2" t="s">
        <v>0</v>
      </c>
      <c r="C1" s="3" t="s">
        <v>1</v>
      </c>
    </row>
    <row r="2" spans="1:11" ht="17.25" thickTop="1" thickBot="1" x14ac:dyDescent="0.3">
      <c r="B2" s="8" t="s">
        <v>2</v>
      </c>
      <c r="C2" s="3"/>
    </row>
    <row r="3" spans="1:11" ht="15.75" thickTop="1" x14ac:dyDescent="0.25">
      <c r="B3" s="9"/>
    </row>
    <row r="4" spans="1:11" x14ac:dyDescent="0.25">
      <c r="A4" s="10" t="s">
        <v>111</v>
      </c>
      <c r="B4" s="23" t="s">
        <v>13</v>
      </c>
      <c r="C4" s="19"/>
      <c r="D4" s="20"/>
      <c r="E4" s="21"/>
      <c r="F4" s="22"/>
      <c r="G4" s="19"/>
      <c r="H4" s="10"/>
      <c r="I4" s="14"/>
      <c r="J4" s="14"/>
      <c r="K4" s="10"/>
    </row>
    <row r="5" spans="1:11" s="10" customFormat="1" x14ac:dyDescent="0.25">
      <c r="B5" s="239" t="s">
        <v>3</v>
      </c>
      <c r="C5" s="239" t="s">
        <v>4</v>
      </c>
      <c r="D5" s="238" t="s">
        <v>5</v>
      </c>
      <c r="E5" s="240" t="s">
        <v>6</v>
      </c>
      <c r="F5" s="238" t="s">
        <v>7</v>
      </c>
      <c r="G5" s="238" t="s">
        <v>8</v>
      </c>
      <c r="H5" s="14"/>
      <c r="I5" s="14"/>
      <c r="J5" s="14"/>
      <c r="K5" s="14"/>
    </row>
    <row r="6" spans="1:11" s="10" customFormat="1" x14ac:dyDescent="0.25">
      <c r="B6" s="239"/>
      <c r="C6" s="239"/>
      <c r="D6" s="238"/>
      <c r="E6" s="241"/>
      <c r="F6" s="238"/>
      <c r="G6" s="238"/>
      <c r="H6" s="14"/>
      <c r="I6" s="14"/>
      <c r="J6" s="14"/>
      <c r="K6" s="14"/>
    </row>
    <row r="7" spans="1:11" s="14" customFormat="1" ht="28.5" x14ac:dyDescent="0.25">
      <c r="A7" s="24"/>
      <c r="B7" s="43" t="s">
        <v>14</v>
      </c>
      <c r="C7" s="11" t="s">
        <v>15</v>
      </c>
      <c r="D7" s="25" t="s">
        <v>16</v>
      </c>
      <c r="E7" s="117">
        <f>'Volume POME'!C18</f>
        <v>106267.08278</v>
      </c>
      <c r="F7" s="25" t="s">
        <v>9</v>
      </c>
      <c r="G7" s="26" t="s">
        <v>127</v>
      </c>
      <c r="H7" s="10"/>
      <c r="I7" s="10"/>
      <c r="J7" s="10"/>
      <c r="K7" s="10"/>
    </row>
    <row r="8" spans="1:11" s="14" customFormat="1" ht="28.5" x14ac:dyDescent="0.25">
      <c r="A8" s="24"/>
      <c r="B8" s="43" t="s">
        <v>17</v>
      </c>
      <c r="C8" s="11" t="s">
        <v>18</v>
      </c>
      <c r="D8" s="25" t="s">
        <v>19</v>
      </c>
      <c r="E8" s="116">
        <f>COD!B24/1000</f>
        <v>8.8459418034887133E-2</v>
      </c>
      <c r="F8" s="25" t="s">
        <v>9</v>
      </c>
      <c r="G8" s="26" t="s">
        <v>128</v>
      </c>
      <c r="H8" s="10"/>
      <c r="I8" s="10"/>
      <c r="J8" s="10"/>
      <c r="K8" s="10"/>
    </row>
    <row r="9" spans="1:11" s="14" customFormat="1" x14ac:dyDescent="0.25">
      <c r="A9" s="24"/>
      <c r="B9" s="43" t="s">
        <v>20</v>
      </c>
      <c r="C9" s="11" t="s">
        <v>21</v>
      </c>
      <c r="D9" s="25" t="s">
        <v>77</v>
      </c>
      <c r="E9" s="88">
        <f>COD!B27</f>
        <v>0.95553119060258107</v>
      </c>
      <c r="F9" s="25" t="s">
        <v>12</v>
      </c>
      <c r="G9" s="27" t="s">
        <v>129</v>
      </c>
      <c r="H9" s="24"/>
      <c r="I9" s="24"/>
      <c r="J9" s="24"/>
      <c r="K9" s="24"/>
    </row>
    <row r="10" spans="1:11" s="14" customFormat="1" ht="28.5" x14ac:dyDescent="0.25">
      <c r="A10" s="24"/>
      <c r="B10" s="28" t="s">
        <v>23</v>
      </c>
      <c r="C10" s="11" t="s">
        <v>24</v>
      </c>
      <c r="D10" s="29" t="s">
        <v>22</v>
      </c>
      <c r="E10" s="30">
        <v>0.8</v>
      </c>
      <c r="F10" s="154" t="s">
        <v>10</v>
      </c>
      <c r="G10" s="13" t="s">
        <v>109</v>
      </c>
      <c r="H10" s="24"/>
      <c r="I10" s="24"/>
      <c r="J10" s="24"/>
      <c r="K10" s="24"/>
    </row>
    <row r="11" spans="1:11" s="10" customFormat="1" x14ac:dyDescent="0.25">
      <c r="A11" s="24"/>
      <c r="B11" s="28" t="s">
        <v>25</v>
      </c>
      <c r="C11" s="11" t="s">
        <v>26</v>
      </c>
      <c r="D11" s="29" t="s">
        <v>27</v>
      </c>
      <c r="E11" s="30">
        <v>0.25</v>
      </c>
      <c r="F11" s="154" t="s">
        <v>10</v>
      </c>
      <c r="G11" s="13" t="s">
        <v>28</v>
      </c>
      <c r="H11" s="24"/>
      <c r="I11" s="24"/>
      <c r="J11" s="24"/>
      <c r="K11" s="24"/>
    </row>
    <row r="12" spans="1:11" s="14" customFormat="1" ht="28.5" x14ac:dyDescent="0.25">
      <c r="A12" s="24"/>
      <c r="B12" s="28" t="s">
        <v>29</v>
      </c>
      <c r="C12" s="11" t="s">
        <v>30</v>
      </c>
      <c r="D12" s="29" t="s">
        <v>22</v>
      </c>
      <c r="E12" s="30">
        <v>0.89</v>
      </c>
      <c r="F12" s="154" t="s">
        <v>10</v>
      </c>
      <c r="G12" s="13" t="s">
        <v>31</v>
      </c>
      <c r="H12" s="24"/>
      <c r="I12" s="24"/>
      <c r="J12" s="24"/>
      <c r="K12" s="24"/>
    </row>
    <row r="13" spans="1:11" s="14" customFormat="1" x14ac:dyDescent="0.25">
      <c r="A13" s="24"/>
      <c r="B13" s="32" t="s">
        <v>32</v>
      </c>
      <c r="C13" s="11" t="s">
        <v>33</v>
      </c>
      <c r="D13" s="33" t="s">
        <v>22</v>
      </c>
      <c r="E13" s="34">
        <v>28</v>
      </c>
      <c r="F13" s="12" t="s">
        <v>10</v>
      </c>
      <c r="G13" s="26" t="s">
        <v>34</v>
      </c>
      <c r="H13" s="31"/>
      <c r="I13" s="31"/>
      <c r="J13" s="31"/>
      <c r="K13" s="31"/>
    </row>
    <row r="14" spans="1:11" s="10" customFormat="1" ht="57" x14ac:dyDescent="0.25">
      <c r="A14" s="24"/>
      <c r="B14" s="35" t="s">
        <v>35</v>
      </c>
      <c r="C14" s="36" t="s">
        <v>36</v>
      </c>
      <c r="D14" s="16" t="s">
        <v>11</v>
      </c>
      <c r="E14" s="17">
        <f>E7*E8*E9*E10*E11*E12*E13</f>
        <v>44767.798498181328</v>
      </c>
      <c r="F14" s="18" t="s">
        <v>12</v>
      </c>
      <c r="G14" s="13" t="s">
        <v>37</v>
      </c>
      <c r="H14" s="7"/>
      <c r="I14" s="7"/>
      <c r="J14" s="7"/>
      <c r="K14" s="7"/>
    </row>
    <row r="15" spans="1:11" s="10" customFormat="1" x14ac:dyDescent="0.25">
      <c r="A15" s="24"/>
      <c r="B15" s="37"/>
      <c r="C15" s="37"/>
      <c r="D15" s="38"/>
      <c r="E15" s="39"/>
      <c r="F15" s="38"/>
      <c r="G15" s="38"/>
    </row>
    <row r="16" spans="1:11" s="24" customFormat="1" x14ac:dyDescent="0.25">
      <c r="A16" s="1" t="s">
        <v>112</v>
      </c>
      <c r="B16" s="40" t="s">
        <v>39</v>
      </c>
      <c r="C16" s="41"/>
      <c r="D16" s="4"/>
      <c r="E16" s="5"/>
      <c r="F16" s="6"/>
      <c r="G16" s="4"/>
      <c r="H16" s="10"/>
      <c r="I16" s="10"/>
      <c r="J16" s="10"/>
      <c r="K16" s="10"/>
    </row>
    <row r="17" spans="1:11" s="24" customFormat="1" x14ac:dyDescent="0.25">
      <c r="A17" s="10"/>
      <c r="B17" s="230" t="s">
        <v>3</v>
      </c>
      <c r="C17" s="230" t="s">
        <v>4</v>
      </c>
      <c r="D17" s="231" t="s">
        <v>5</v>
      </c>
      <c r="E17" s="232" t="s">
        <v>6</v>
      </c>
      <c r="F17" s="231" t="s">
        <v>7</v>
      </c>
      <c r="G17" s="231" t="s">
        <v>8</v>
      </c>
      <c r="H17" s="7"/>
      <c r="I17" s="7"/>
      <c r="J17" s="7"/>
      <c r="K17" s="7"/>
    </row>
    <row r="18" spans="1:11" s="24" customFormat="1" x14ac:dyDescent="0.25">
      <c r="A18" s="10"/>
      <c r="B18" s="230"/>
      <c r="C18" s="230"/>
      <c r="D18" s="231"/>
      <c r="E18" s="233"/>
      <c r="F18" s="231"/>
      <c r="G18" s="231"/>
      <c r="H18" s="7"/>
      <c r="I18" s="7"/>
      <c r="J18" s="7"/>
      <c r="K18" s="7"/>
    </row>
    <row r="19" spans="1:11" s="24" customFormat="1" ht="28.5" x14ac:dyDescent="0.25">
      <c r="A19" s="1"/>
      <c r="B19" s="43" t="s">
        <v>40</v>
      </c>
      <c r="C19" s="15" t="s">
        <v>41</v>
      </c>
      <c r="D19" s="25" t="s">
        <v>16</v>
      </c>
      <c r="E19" s="119">
        <f>'Volume POME'!C18</f>
        <v>106267.08278</v>
      </c>
      <c r="F19" s="25" t="s">
        <v>9</v>
      </c>
      <c r="G19" s="26" t="str">
        <f>G7</f>
        <v>Volume air limbah yang diolah untuk pemulihan metana menjadi biogas pada tahun 2020| Lihat lampiran 'Volume POME' [C18]</v>
      </c>
      <c r="H19" s="7"/>
      <c r="I19" s="7"/>
      <c r="J19" s="7"/>
      <c r="K19" s="7"/>
    </row>
    <row r="20" spans="1:11" s="31" customFormat="1" ht="28.5" x14ac:dyDescent="0.25">
      <c r="A20" s="1"/>
      <c r="B20" s="43" t="s">
        <v>42</v>
      </c>
      <c r="C20" s="15" t="s">
        <v>43</v>
      </c>
      <c r="D20" s="25" t="s">
        <v>19</v>
      </c>
      <c r="E20" s="118">
        <f>COD!B33/1000</f>
        <v>1.6823783840205955E-2</v>
      </c>
      <c r="F20" s="25" t="s">
        <v>9</v>
      </c>
      <c r="G20" s="26" t="s">
        <v>130</v>
      </c>
      <c r="H20" s="108"/>
      <c r="I20" s="10"/>
      <c r="J20" s="10"/>
      <c r="K20" s="10"/>
    </row>
    <row r="21" spans="1:11" x14ac:dyDescent="0.25">
      <c r="B21" s="43" t="s">
        <v>44</v>
      </c>
      <c r="C21" s="15" t="s">
        <v>45</v>
      </c>
      <c r="D21" s="25" t="s">
        <v>77</v>
      </c>
      <c r="E21" s="109">
        <f>COD!B36</f>
        <v>0.76618309903630788</v>
      </c>
      <c r="F21" s="25" t="s">
        <v>12</v>
      </c>
      <c r="G21" s="27" t="s">
        <v>131</v>
      </c>
      <c r="H21" s="42"/>
      <c r="I21" s="42"/>
      <c r="J21" s="42"/>
      <c r="K21" s="42"/>
    </row>
    <row r="22" spans="1:11" s="10" customFormat="1" ht="50.25" customHeight="1" x14ac:dyDescent="0.25">
      <c r="A22" s="1"/>
      <c r="B22" s="28" t="s">
        <v>46</v>
      </c>
      <c r="C22" s="15" t="s">
        <v>47</v>
      </c>
      <c r="D22" s="29" t="s">
        <v>22</v>
      </c>
      <c r="E22" s="44">
        <f>E10</f>
        <v>0.8</v>
      </c>
      <c r="F22" s="154" t="s">
        <v>10</v>
      </c>
      <c r="G22" s="13" t="str">
        <f>G10</f>
        <v>Tabel 6.3 Bab 6 Hal 13 dari Vol. 5 (Limbah) dari IPCC (2006) | Kedalaman kolam &gt; 2 meter</v>
      </c>
      <c r="H22" s="42"/>
      <c r="I22" s="42"/>
      <c r="J22" s="42"/>
      <c r="K22" s="42"/>
    </row>
    <row r="23" spans="1:11" s="10" customFormat="1" x14ac:dyDescent="0.25">
      <c r="A23" s="1"/>
      <c r="B23" s="28" t="s">
        <v>25</v>
      </c>
      <c r="C23" s="15" t="s">
        <v>26</v>
      </c>
      <c r="D23" s="29" t="s">
        <v>27</v>
      </c>
      <c r="E23" s="45">
        <f>E11</f>
        <v>0.25</v>
      </c>
      <c r="F23" s="12" t="s">
        <v>10</v>
      </c>
      <c r="G23" s="13" t="str">
        <f>G11</f>
        <v xml:space="preserve">Tabel 6.2 Bab 6 Hal 12 dari Vol. 5 (Limbah) dari IPCC (2006) </v>
      </c>
      <c r="H23" s="7"/>
      <c r="I23" s="7"/>
      <c r="J23" s="7"/>
      <c r="K23" s="7"/>
    </row>
    <row r="24" spans="1:11" ht="28.5" x14ac:dyDescent="0.25">
      <c r="B24" s="28" t="s">
        <v>48</v>
      </c>
      <c r="C24" s="15" t="s">
        <v>30</v>
      </c>
      <c r="D24" s="29" t="s">
        <v>22</v>
      </c>
      <c r="E24" s="45">
        <v>1.1200000000000001</v>
      </c>
      <c r="F24" s="12" t="s">
        <v>10</v>
      </c>
      <c r="G24" s="13" t="s">
        <v>49</v>
      </c>
      <c r="H24" s="10"/>
      <c r="I24" s="10"/>
      <c r="J24" s="10"/>
      <c r="K24" s="10"/>
    </row>
    <row r="25" spans="1:11" x14ac:dyDescent="0.25">
      <c r="B25" s="32" t="s">
        <v>32</v>
      </c>
      <c r="C25" s="15" t="s">
        <v>33</v>
      </c>
      <c r="D25" s="33" t="s">
        <v>22</v>
      </c>
      <c r="E25" s="46">
        <f>E13</f>
        <v>28</v>
      </c>
      <c r="F25" s="12" t="s">
        <v>10</v>
      </c>
      <c r="G25" s="26" t="s">
        <v>34</v>
      </c>
      <c r="H25" s="10"/>
      <c r="I25" s="10"/>
      <c r="J25" s="10"/>
      <c r="K25" s="10"/>
    </row>
    <row r="26" spans="1:11" ht="57" x14ac:dyDescent="0.25">
      <c r="B26" s="47" t="s">
        <v>50</v>
      </c>
      <c r="C26" s="48" t="s">
        <v>51</v>
      </c>
      <c r="D26" s="16" t="s">
        <v>11</v>
      </c>
      <c r="E26" s="49">
        <f>E19*E20*E21*E22*E23*E24*E25</f>
        <v>8591.3429535018076</v>
      </c>
      <c r="F26" s="12" t="s">
        <v>12</v>
      </c>
      <c r="G26" s="26" t="s">
        <v>52</v>
      </c>
    </row>
    <row r="27" spans="1:11" s="10" customFormat="1" x14ac:dyDescent="0.25">
      <c r="A27" s="50"/>
      <c r="B27" s="51"/>
      <c r="C27" s="51"/>
      <c r="D27" s="52"/>
      <c r="E27" s="53"/>
      <c r="F27" s="54"/>
      <c r="G27" s="55"/>
      <c r="H27" s="7"/>
      <c r="I27" s="7"/>
      <c r="J27" s="7"/>
      <c r="K27" s="7"/>
    </row>
    <row r="28" spans="1:11" s="42" customFormat="1" x14ac:dyDescent="0.25">
      <c r="A28" s="1" t="s">
        <v>38</v>
      </c>
      <c r="B28" s="40" t="s">
        <v>54</v>
      </c>
      <c r="C28" s="4"/>
      <c r="D28" s="4"/>
      <c r="E28" s="5"/>
      <c r="F28" s="6"/>
      <c r="G28" s="4"/>
      <c r="H28" s="7"/>
      <c r="I28" s="7"/>
      <c r="J28" s="7"/>
      <c r="K28" s="7"/>
    </row>
    <row r="29" spans="1:11" s="42" customFormat="1" x14ac:dyDescent="0.25">
      <c r="A29" s="10"/>
      <c r="B29" s="230" t="s">
        <v>3</v>
      </c>
      <c r="C29" s="230" t="s">
        <v>4</v>
      </c>
      <c r="D29" s="231" t="s">
        <v>5</v>
      </c>
      <c r="E29" s="232" t="s">
        <v>6</v>
      </c>
      <c r="F29" s="231" t="s">
        <v>7</v>
      </c>
      <c r="G29" s="231" t="s">
        <v>8</v>
      </c>
      <c r="H29" s="10"/>
      <c r="I29" s="7"/>
      <c r="J29" s="7"/>
      <c r="K29" s="7"/>
    </row>
    <row r="30" spans="1:11" x14ac:dyDescent="0.25">
      <c r="A30" s="10"/>
      <c r="B30" s="230"/>
      <c r="C30" s="230"/>
      <c r="D30" s="231"/>
      <c r="E30" s="233"/>
      <c r="F30" s="231"/>
      <c r="G30" s="231"/>
      <c r="I30" s="10"/>
      <c r="J30" s="10"/>
      <c r="K30" s="10"/>
    </row>
    <row r="31" spans="1:11" s="10" customFormat="1" ht="28.5" x14ac:dyDescent="0.25">
      <c r="A31" s="1"/>
      <c r="B31" s="32" t="s">
        <v>55</v>
      </c>
      <c r="C31" s="11" t="s">
        <v>56</v>
      </c>
      <c r="D31" s="56" t="s">
        <v>22</v>
      </c>
      <c r="E31" s="44">
        <v>0.9</v>
      </c>
      <c r="F31" s="57" t="s">
        <v>10</v>
      </c>
      <c r="G31" s="13" t="s">
        <v>57</v>
      </c>
      <c r="H31" s="7"/>
      <c r="I31" s="7"/>
      <c r="J31" s="7"/>
      <c r="K31" s="7"/>
    </row>
    <row r="32" spans="1:11" s="10" customFormat="1" ht="28.5" x14ac:dyDescent="0.25">
      <c r="A32" s="1"/>
      <c r="B32" s="32" t="s">
        <v>58</v>
      </c>
      <c r="C32" s="58" t="s">
        <v>59</v>
      </c>
      <c r="D32" s="25" t="s">
        <v>16</v>
      </c>
      <c r="E32" s="119">
        <f>'Volume POME'!C18</f>
        <v>106267.08278</v>
      </c>
      <c r="F32" s="25" t="s">
        <v>9</v>
      </c>
      <c r="G32" s="26" t="str">
        <f>G7</f>
        <v>Volume air limbah yang diolah untuk pemulihan metana menjadi biogas pada tahun 2020| Lihat lampiran 'Volume POME' [C18]</v>
      </c>
      <c r="H32" s="7"/>
      <c r="I32" s="7"/>
      <c r="J32" s="7"/>
      <c r="K32" s="7"/>
    </row>
    <row r="33" spans="1:11" x14ac:dyDescent="0.25">
      <c r="B33" s="32" t="s">
        <v>25</v>
      </c>
      <c r="C33" s="11" t="s">
        <v>26</v>
      </c>
      <c r="D33" s="29" t="s">
        <v>27</v>
      </c>
      <c r="E33" s="45">
        <f>E23</f>
        <v>0.25</v>
      </c>
      <c r="F33" s="12" t="s">
        <v>10</v>
      </c>
      <c r="G33" s="13" t="str">
        <f>G23</f>
        <v xml:space="preserve">Tabel 6.2 Bab 6 Hal 12 dari Vol. 5 (Limbah) dari IPCC (2006) </v>
      </c>
      <c r="H33" s="10"/>
    </row>
    <row r="34" spans="1:11" ht="46.5" customHeight="1" x14ac:dyDescent="0.25">
      <c r="B34" s="32" t="s">
        <v>48</v>
      </c>
      <c r="C34" s="11" t="s">
        <v>30</v>
      </c>
      <c r="D34" s="29" t="s">
        <v>22</v>
      </c>
      <c r="E34" s="45">
        <f>E24</f>
        <v>1.1200000000000001</v>
      </c>
      <c r="F34" s="12" t="s">
        <v>10</v>
      </c>
      <c r="G34" s="13" t="str">
        <f>G24</f>
        <v>CDM AMS III H UNFCCC (2019) Hal 21</v>
      </c>
      <c r="H34" s="10"/>
      <c r="I34" s="10"/>
      <c r="J34" s="10"/>
      <c r="K34" s="10"/>
    </row>
    <row r="35" spans="1:11" ht="42.75" x14ac:dyDescent="0.25">
      <c r="B35" s="28" t="s">
        <v>60</v>
      </c>
      <c r="C35" s="32" t="s">
        <v>61</v>
      </c>
      <c r="D35" s="59" t="s">
        <v>19</v>
      </c>
      <c r="E35" s="118">
        <f>COD!B46/1000</f>
        <v>7.1635634194681191E-2</v>
      </c>
      <c r="F35" s="57" t="s">
        <v>12</v>
      </c>
      <c r="G35" s="26" t="s">
        <v>132</v>
      </c>
      <c r="H35" s="14"/>
      <c r="I35" s="10"/>
      <c r="J35" s="10"/>
      <c r="K35" s="10"/>
    </row>
    <row r="36" spans="1:11" ht="42.75" x14ac:dyDescent="0.25">
      <c r="B36" s="28" t="s">
        <v>46</v>
      </c>
      <c r="C36" s="32" t="s">
        <v>62</v>
      </c>
      <c r="D36" s="59" t="s">
        <v>22</v>
      </c>
      <c r="E36" s="44">
        <f>E22</f>
        <v>0.8</v>
      </c>
      <c r="F36" s="12" t="s">
        <v>10</v>
      </c>
      <c r="G36" s="89" t="str">
        <f>G10</f>
        <v>Tabel 6.3 Bab 6 Hal 13 dari Vol. 5 (Limbah) dari IPCC (2006) | Kedalaman kolam &gt; 2 meter</v>
      </c>
      <c r="H36" s="14"/>
      <c r="I36" s="14"/>
      <c r="J36" s="14"/>
      <c r="K36" s="14"/>
    </row>
    <row r="37" spans="1:11" s="10" customFormat="1" x14ac:dyDescent="0.25">
      <c r="A37" s="1"/>
      <c r="B37" s="32" t="s">
        <v>32</v>
      </c>
      <c r="C37" s="11" t="s">
        <v>33</v>
      </c>
      <c r="D37" s="33" t="s">
        <v>22</v>
      </c>
      <c r="E37" s="46">
        <f>E25</f>
        <v>28</v>
      </c>
      <c r="F37" s="12" t="s">
        <v>10</v>
      </c>
      <c r="G37" s="26" t="s">
        <v>34</v>
      </c>
      <c r="H37" s="14"/>
      <c r="I37" s="14"/>
      <c r="J37" s="14"/>
      <c r="K37" s="14"/>
    </row>
    <row r="38" spans="1:11" ht="42.75" x14ac:dyDescent="0.25">
      <c r="A38" s="10"/>
      <c r="B38" s="60" t="s">
        <v>63</v>
      </c>
      <c r="C38" s="61" t="s">
        <v>64</v>
      </c>
      <c r="D38" s="16" t="s">
        <v>11</v>
      </c>
      <c r="E38" s="62">
        <f>(1-E31)*(E32*E33*E34*E35*E36)*E37</f>
        <v>4774.5661898142098</v>
      </c>
      <c r="F38" s="18" t="s">
        <v>12</v>
      </c>
      <c r="G38" s="13" t="s">
        <v>65</v>
      </c>
      <c r="H38" s="14"/>
      <c r="I38" s="14"/>
      <c r="J38" s="14"/>
      <c r="K38" s="14"/>
    </row>
    <row r="39" spans="1:11" x14ac:dyDescent="0.25">
      <c r="H39" s="10"/>
      <c r="I39" s="14"/>
      <c r="J39" s="14"/>
      <c r="K39" s="14"/>
    </row>
    <row r="40" spans="1:11" x14ac:dyDescent="0.25">
      <c r="A40" s="1" t="s">
        <v>53</v>
      </c>
      <c r="B40" s="40" t="s">
        <v>67</v>
      </c>
      <c r="I40" s="10"/>
      <c r="J40" s="10"/>
      <c r="K40" s="10"/>
    </row>
    <row r="41" spans="1:11" s="10" customFormat="1" x14ac:dyDescent="0.25">
      <c r="B41" s="230" t="s">
        <v>3</v>
      </c>
      <c r="C41" s="230" t="s">
        <v>4</v>
      </c>
      <c r="D41" s="231" t="s">
        <v>5</v>
      </c>
      <c r="E41" s="232" t="s">
        <v>6</v>
      </c>
      <c r="F41" s="231" t="s">
        <v>7</v>
      </c>
      <c r="G41" s="231" t="s">
        <v>8</v>
      </c>
      <c r="H41" s="7"/>
      <c r="I41" s="7"/>
      <c r="J41" s="7"/>
      <c r="K41" s="7"/>
    </row>
    <row r="42" spans="1:11" s="10" customFormat="1" x14ac:dyDescent="0.25">
      <c r="B42" s="230"/>
      <c r="C42" s="230"/>
      <c r="D42" s="231"/>
      <c r="E42" s="233"/>
      <c r="F42" s="231"/>
      <c r="G42" s="231"/>
      <c r="H42" s="7"/>
      <c r="I42" s="7"/>
      <c r="J42" s="7"/>
      <c r="K42" s="7"/>
    </row>
    <row r="43" spans="1:11" s="14" customFormat="1" x14ac:dyDescent="0.25">
      <c r="A43" s="1"/>
      <c r="B43" s="32" t="s">
        <v>32</v>
      </c>
      <c r="C43" s="11" t="s">
        <v>33</v>
      </c>
      <c r="D43" s="33" t="s">
        <v>22</v>
      </c>
      <c r="E43" s="46">
        <f>E37</f>
        <v>28</v>
      </c>
      <c r="F43" s="12" t="s">
        <v>10</v>
      </c>
      <c r="G43" s="26" t="s">
        <v>34</v>
      </c>
      <c r="H43" s="7"/>
      <c r="I43" s="7"/>
      <c r="J43" s="7"/>
      <c r="K43" s="7"/>
    </row>
    <row r="44" spans="1:11" s="14" customFormat="1" ht="28.5" x14ac:dyDescent="0.25">
      <c r="A44" s="1"/>
      <c r="B44" s="32" t="s">
        <v>142</v>
      </c>
      <c r="C44" s="58" t="s">
        <v>192</v>
      </c>
      <c r="D44" s="25" t="s">
        <v>170</v>
      </c>
      <c r="E44" s="44">
        <f>(Flare!E11-Flare!E23-Flare!E30)*1000</f>
        <v>136868.8321668345</v>
      </c>
      <c r="F44" s="25" t="s">
        <v>12</v>
      </c>
      <c r="G44" s="26" t="s">
        <v>174</v>
      </c>
      <c r="H44" s="7"/>
      <c r="I44" s="7"/>
      <c r="J44" s="7"/>
      <c r="K44" s="7"/>
    </row>
    <row r="45" spans="1:11" s="14" customFormat="1" x14ac:dyDescent="0.25">
      <c r="A45" s="1"/>
      <c r="B45" s="32" t="s">
        <v>193</v>
      </c>
      <c r="C45" s="11" t="s">
        <v>191</v>
      </c>
      <c r="D45" s="29" t="s">
        <v>22</v>
      </c>
      <c r="E45" s="44">
        <v>0.5</v>
      </c>
      <c r="F45" s="12" t="s">
        <v>10</v>
      </c>
      <c r="G45" s="63" t="s">
        <v>110</v>
      </c>
      <c r="H45" s="7"/>
      <c r="I45" s="7"/>
      <c r="J45" s="7"/>
      <c r="K45" s="7"/>
    </row>
    <row r="46" spans="1:11" s="14" customFormat="1" ht="30" x14ac:dyDescent="0.25">
      <c r="A46" s="10"/>
      <c r="B46" s="64" t="s">
        <v>69</v>
      </c>
      <c r="C46" s="61" t="s">
        <v>70</v>
      </c>
      <c r="D46" s="16" t="s">
        <v>11</v>
      </c>
      <c r="E46" s="17">
        <f>E43*E44*(1-E45)*(1/1000)</f>
        <v>1916.1636503356831</v>
      </c>
      <c r="F46" s="18" t="s">
        <v>12</v>
      </c>
      <c r="G46" s="26" t="s">
        <v>171</v>
      </c>
      <c r="H46" s="7"/>
      <c r="I46" s="7"/>
      <c r="J46" s="7"/>
      <c r="K46" s="7"/>
    </row>
    <row r="47" spans="1:11" s="10" customFormat="1" x14ac:dyDescent="0.25">
      <c r="A47" s="1"/>
      <c r="B47" s="4"/>
      <c r="C47" s="4"/>
      <c r="D47" s="4"/>
      <c r="E47" s="5"/>
      <c r="F47" s="6"/>
      <c r="G47" s="4"/>
      <c r="H47" s="7"/>
      <c r="I47" s="7"/>
      <c r="J47" s="7"/>
      <c r="K47" s="7"/>
    </row>
    <row r="48" spans="1:11" x14ac:dyDescent="0.25">
      <c r="A48" s="1" t="s">
        <v>66</v>
      </c>
      <c r="B48" s="65" t="s">
        <v>71</v>
      </c>
    </row>
    <row r="49" spans="1:7" x14ac:dyDescent="0.25">
      <c r="A49" s="10"/>
      <c r="B49" s="234" t="s">
        <v>3</v>
      </c>
      <c r="C49" s="234" t="s">
        <v>4</v>
      </c>
      <c r="D49" s="236" t="s">
        <v>5</v>
      </c>
      <c r="E49" s="236" t="s">
        <v>6</v>
      </c>
      <c r="F49" s="236" t="s">
        <v>7</v>
      </c>
      <c r="G49" s="229" t="s">
        <v>8</v>
      </c>
    </row>
    <row r="50" spans="1:7" x14ac:dyDescent="0.25">
      <c r="A50" s="10"/>
      <c r="B50" s="235"/>
      <c r="C50" s="235"/>
      <c r="D50" s="237"/>
      <c r="E50" s="237"/>
      <c r="F50" s="237"/>
      <c r="G50" s="229"/>
    </row>
    <row r="51" spans="1:7" ht="57" x14ac:dyDescent="0.25">
      <c r="A51" s="10"/>
      <c r="B51" s="66" t="str">
        <f t="shared" ref="B51:G51" si="0">B14</f>
        <v>BEww,treatment,y</v>
      </c>
      <c r="C51" s="32" t="str">
        <f t="shared" si="0"/>
        <v>Emisi baseline dari sistem pengolahan air limbah yang dipengaruhi oleh aktivitas proyek pada tahun y</v>
      </c>
      <c r="D51" s="67" t="str">
        <f t="shared" si="0"/>
        <v xml:space="preserve">t CO2e </v>
      </c>
      <c r="E51" s="139">
        <f t="shared" si="0"/>
        <v>44767.798498181328</v>
      </c>
      <c r="F51" s="67" t="str">
        <f t="shared" si="0"/>
        <v>Perhitungan</v>
      </c>
      <c r="G51" s="32" t="str">
        <f t="shared" si="0"/>
        <v>CDM AMS III H UNFCCC V.19.0 P.13 (2019) | BEww,treatment,y = penjumlahan dari i untuk (Qww,i,y*CODinflow,i,y*ⴄCOD,BL,i*MCFww,treatment,BL,i)*Bo,ww*UFBL* GWPCH4</v>
      </c>
    </row>
    <row r="52" spans="1:7" ht="57" x14ac:dyDescent="0.25">
      <c r="A52" s="10"/>
      <c r="B52" s="66" t="str">
        <f t="shared" ref="B52:G52" si="1">B26</f>
        <v>PEww,treatment,y</v>
      </c>
      <c r="C52" s="68" t="str">
        <f t="shared" si="1"/>
        <v xml:space="preserve">Emisi Proyek dari  sistem pengolahan air limbah  dipengaruhi oleh aktivitas proyek tidak dilengkapi  dengan pemulihan biogas, pada tahun y </v>
      </c>
      <c r="D52" s="69" t="str">
        <f t="shared" si="1"/>
        <v xml:space="preserve">t CO2e </v>
      </c>
      <c r="E52" s="196">
        <f t="shared" si="1"/>
        <v>8591.3429535018076</v>
      </c>
      <c r="F52" s="69" t="str">
        <f t="shared" si="1"/>
        <v>Perhitungan</v>
      </c>
      <c r="G52" s="68" t="str">
        <f t="shared" si="1"/>
        <v>CDM AMS III H UNFCCC V.19.0 P.21 (2019) | PEww,treatment,y = penjumlahan dari i untuk (Qww,k,y*CODinflow,k,y*ⴄCOD,PJ,k*MCFww,treatment,PJ,k)*Bo,ww*UFPJ* GWPCH4</v>
      </c>
    </row>
    <row r="53" spans="1:7" ht="42.75" x14ac:dyDescent="0.25">
      <c r="A53" s="10"/>
      <c r="B53" s="66" t="str">
        <f t="shared" ref="B53:G53" si="2">B38</f>
        <v>PEfugitive,ww,y</v>
      </c>
      <c r="C53" s="32" t="str">
        <f t="shared" si="2"/>
        <v xml:space="preserve">Emisi fugitive melalui inefisiensi penangkapan dalam  sistem pengolahan air limbah anaerobik di tahun y </v>
      </c>
      <c r="D53" s="67" t="str">
        <f t="shared" si="2"/>
        <v xml:space="preserve">t CO2e </v>
      </c>
      <c r="E53" s="139">
        <f t="shared" si="2"/>
        <v>4774.5661898142098</v>
      </c>
      <c r="F53" s="67" t="str">
        <f t="shared" si="2"/>
        <v>Perhitungan</v>
      </c>
      <c r="G53" s="32" t="str">
        <f t="shared" si="2"/>
        <v>CDM AMS III H UNFCCC V.19.0 P.23 (2019) | PEfugitive,ww,y = (1-CFEww)*(Qww,y* Boww*UFPJ)*penjumlahan dari k untuk (CODremoval,PJ,k,y* MCFww,treatment,PJ,k)*GWPCH4</v>
      </c>
    </row>
    <row r="54" spans="1:7" ht="42" customHeight="1" x14ac:dyDescent="0.25">
      <c r="A54" s="10"/>
      <c r="B54" s="70" t="str">
        <f t="shared" ref="B54:G54" si="3">B46</f>
        <v>PEflare,y</v>
      </c>
      <c r="C54" s="68" t="str">
        <f t="shared" si="3"/>
        <v xml:space="preserve">Emisi gas metana akibat flaring yang tidak sempurna pada  tahun y </v>
      </c>
      <c r="D54" s="71" t="str">
        <f t="shared" si="3"/>
        <v xml:space="preserve">t CO2e </v>
      </c>
      <c r="E54" s="197">
        <f t="shared" si="3"/>
        <v>1916.1636503356831</v>
      </c>
      <c r="F54" s="71" t="str">
        <f t="shared" si="3"/>
        <v>Perhitungan</v>
      </c>
      <c r="G54" s="68" t="str">
        <f t="shared" si="3"/>
        <v>Tool 06 V.03.0 P.13 UNFCCC (2019) | PEflare,y = GWPCH4*penjumlahan dari H = 1 menuju 8760 untuk (TM,RG,h)*(1-ⴄflare,m)*(1/1000)</v>
      </c>
    </row>
    <row r="55" spans="1:7" ht="30" x14ac:dyDescent="0.25">
      <c r="A55" s="10"/>
      <c r="B55" s="72" t="s">
        <v>72</v>
      </c>
      <c r="C55" s="73" t="s">
        <v>73</v>
      </c>
      <c r="D55" s="74" t="s">
        <v>11</v>
      </c>
      <c r="E55" s="75">
        <f>E51-SUM(E52:E54)</f>
        <v>29485.725704529628</v>
      </c>
      <c r="F55" s="18" t="s">
        <v>12</v>
      </c>
      <c r="G55" s="73" t="s">
        <v>74</v>
      </c>
    </row>
    <row r="56" spans="1:7" ht="30" x14ac:dyDescent="0.25">
      <c r="B56" s="72" t="s">
        <v>75</v>
      </c>
      <c r="C56" s="76" t="s">
        <v>76</v>
      </c>
      <c r="D56" s="77" t="s">
        <v>77</v>
      </c>
      <c r="E56" s="78">
        <f>(E51-SUM(E52:E54))/E51</f>
        <v>0.65863693756858455</v>
      </c>
      <c r="F56" s="18" t="s">
        <v>12</v>
      </c>
      <c r="G56" s="73" t="s">
        <v>78</v>
      </c>
    </row>
    <row r="58" spans="1:7" x14ac:dyDescent="0.25">
      <c r="D58" s="65"/>
    </row>
    <row r="59" spans="1:7" x14ac:dyDescent="0.25">
      <c r="D59" s="65"/>
    </row>
  </sheetData>
  <mergeCells count="30">
    <mergeCell ref="G5:G6"/>
    <mergeCell ref="B5:B6"/>
    <mergeCell ref="C5:C6"/>
    <mergeCell ref="D5:D6"/>
    <mergeCell ref="E5:E6"/>
    <mergeCell ref="F5:F6"/>
    <mergeCell ref="G29:G30"/>
    <mergeCell ref="B17:B18"/>
    <mergeCell ref="C17:C18"/>
    <mergeCell ref="D17:D18"/>
    <mergeCell ref="E17:E18"/>
    <mergeCell ref="F17:F18"/>
    <mergeCell ref="G17:G18"/>
    <mergeCell ref="B29:B30"/>
    <mergeCell ref="C29:C30"/>
    <mergeCell ref="D29:D30"/>
    <mergeCell ref="E29:E30"/>
    <mergeCell ref="F29:F30"/>
    <mergeCell ref="G49:G50"/>
    <mergeCell ref="B41:B42"/>
    <mergeCell ref="C41:C42"/>
    <mergeCell ref="D41:D42"/>
    <mergeCell ref="E41:E42"/>
    <mergeCell ref="F41:F42"/>
    <mergeCell ref="G41:G42"/>
    <mergeCell ref="B49:B50"/>
    <mergeCell ref="C49:C50"/>
    <mergeCell ref="D49:D50"/>
    <mergeCell ref="E49:E50"/>
    <mergeCell ref="F49:F5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1"/>
  <sheetViews>
    <sheetView showGridLines="0" topLeftCell="C1" zoomScale="85" zoomScaleNormal="85" workbookViewId="0">
      <selection activeCell="E23" sqref="E23"/>
    </sheetView>
  </sheetViews>
  <sheetFormatPr defaultColWidth="8.7109375" defaultRowHeight="15" x14ac:dyDescent="0.25"/>
  <cols>
    <col min="1" max="1" width="3.28515625" style="1" customWidth="1"/>
    <col min="2" max="2" width="23.42578125" style="4" customWidth="1"/>
    <col min="3" max="3" width="60.5703125" style="4" customWidth="1"/>
    <col min="4" max="4" width="19.140625" style="4" customWidth="1"/>
    <col min="5" max="5" width="20.7109375" style="5" customWidth="1"/>
    <col min="6" max="6" width="20.85546875" style="6" customWidth="1"/>
    <col min="7" max="7" width="79" style="4" customWidth="1"/>
    <col min="8" max="9" width="8.7109375" style="7"/>
    <col min="10" max="10" width="9.42578125" style="7" bestFit="1" customWidth="1"/>
    <col min="11" max="16384" width="8.7109375" style="7"/>
  </cols>
  <sheetData>
    <row r="2" spans="1:15" x14ac:dyDescent="0.25">
      <c r="H2" s="10"/>
      <c r="I2" s="14"/>
      <c r="J2" s="14"/>
      <c r="K2" s="10"/>
    </row>
    <row r="3" spans="1:15" x14ac:dyDescent="0.25">
      <c r="B3" s="133" t="s">
        <v>167</v>
      </c>
      <c r="C3" s="132"/>
      <c r="D3" s="132"/>
      <c r="H3" s="14"/>
      <c r="I3" s="14"/>
      <c r="J3" s="14"/>
      <c r="K3" s="14"/>
      <c r="L3" s="10"/>
      <c r="M3" s="10"/>
      <c r="N3" s="10"/>
      <c r="O3" s="10"/>
    </row>
    <row r="4" spans="1:15" x14ac:dyDescent="0.25">
      <c r="B4" s="244" t="s">
        <v>3</v>
      </c>
      <c r="C4" s="244" t="s">
        <v>4</v>
      </c>
      <c r="D4" s="242" t="s">
        <v>5</v>
      </c>
      <c r="E4" s="242" t="s">
        <v>6</v>
      </c>
      <c r="F4" s="242" t="s">
        <v>7</v>
      </c>
      <c r="G4" s="242" t="s">
        <v>8</v>
      </c>
      <c r="H4" s="14"/>
      <c r="I4" s="14"/>
      <c r="J4" s="14"/>
      <c r="K4" s="14"/>
      <c r="L4" s="10"/>
      <c r="M4" s="10"/>
      <c r="N4" s="10"/>
      <c r="O4" s="10"/>
    </row>
    <row r="5" spans="1:15" s="10" customFormat="1" x14ac:dyDescent="0.25">
      <c r="A5" s="1"/>
      <c r="B5" s="245"/>
      <c r="C5" s="245"/>
      <c r="D5" s="243"/>
      <c r="E5" s="243"/>
      <c r="F5" s="243"/>
      <c r="G5" s="243"/>
      <c r="L5" s="14"/>
      <c r="M5" s="14"/>
      <c r="N5" s="14"/>
      <c r="O5" s="14"/>
    </row>
    <row r="6" spans="1:15" s="10" customFormat="1" ht="28.5" x14ac:dyDescent="0.25">
      <c r="A6" s="1"/>
      <c r="B6" s="32" t="s">
        <v>58</v>
      </c>
      <c r="C6" s="58" t="s">
        <v>59</v>
      </c>
      <c r="D6" s="25" t="s">
        <v>16</v>
      </c>
      <c r="E6" s="119">
        <f>'Volume POME'!C18</f>
        <v>106267.08278</v>
      </c>
      <c r="F6" s="25" t="s">
        <v>9</v>
      </c>
      <c r="G6" s="26" t="s">
        <v>127</v>
      </c>
      <c r="L6" s="14"/>
      <c r="M6" s="14"/>
      <c r="N6" s="14"/>
      <c r="O6" s="14"/>
    </row>
    <row r="7" spans="1:15" s="14" customFormat="1" x14ac:dyDescent="0.25">
      <c r="A7" s="1"/>
      <c r="B7" s="32" t="s">
        <v>25</v>
      </c>
      <c r="C7" s="11" t="s">
        <v>26</v>
      </c>
      <c r="D7" s="29" t="s">
        <v>27</v>
      </c>
      <c r="E7" s="45">
        <f>Em!E33</f>
        <v>0.25</v>
      </c>
      <c r="F7" s="12" t="s">
        <v>10</v>
      </c>
      <c r="G7" s="13" t="s">
        <v>28</v>
      </c>
      <c r="H7" s="24"/>
      <c r="I7" s="24"/>
      <c r="J7" s="24"/>
      <c r="K7" s="24"/>
    </row>
    <row r="8" spans="1:15" s="14" customFormat="1" ht="28.5" x14ac:dyDescent="0.25">
      <c r="A8" s="1"/>
      <c r="B8" s="32" t="s">
        <v>48</v>
      </c>
      <c r="C8" s="11" t="s">
        <v>30</v>
      </c>
      <c r="D8" s="29" t="s">
        <v>22</v>
      </c>
      <c r="E8" s="45">
        <f>Em!E34</f>
        <v>1.1200000000000001</v>
      </c>
      <c r="F8" s="12" t="s">
        <v>10</v>
      </c>
      <c r="G8" s="13" t="s">
        <v>163</v>
      </c>
      <c r="H8" s="24"/>
      <c r="I8" s="24"/>
      <c r="J8" s="24"/>
      <c r="K8" s="24"/>
    </row>
    <row r="9" spans="1:15" s="14" customFormat="1" ht="42.75" x14ac:dyDescent="0.25">
      <c r="A9" s="1"/>
      <c r="B9" s="28" t="s">
        <v>60</v>
      </c>
      <c r="C9" s="32" t="s">
        <v>61</v>
      </c>
      <c r="D9" s="59" t="s">
        <v>19</v>
      </c>
      <c r="E9" s="118">
        <f>Em!E35</f>
        <v>7.1635634194681191E-2</v>
      </c>
      <c r="F9" s="57" t="s">
        <v>12</v>
      </c>
      <c r="G9" s="26" t="s">
        <v>132</v>
      </c>
      <c r="H9" s="24"/>
      <c r="I9" s="24"/>
      <c r="J9" s="24"/>
      <c r="K9" s="24"/>
      <c r="L9" s="10"/>
      <c r="M9" s="10"/>
      <c r="N9" s="10"/>
      <c r="O9" s="10"/>
    </row>
    <row r="10" spans="1:15" s="14" customFormat="1" ht="42.75" x14ac:dyDescent="0.25">
      <c r="A10" s="1"/>
      <c r="B10" s="28" t="s">
        <v>46</v>
      </c>
      <c r="C10" s="32" t="s">
        <v>62</v>
      </c>
      <c r="D10" s="59" t="s">
        <v>22</v>
      </c>
      <c r="E10" s="44">
        <f>Em!E36</f>
        <v>0.8</v>
      </c>
      <c r="F10" s="12" t="s">
        <v>10</v>
      </c>
      <c r="G10" s="89" t="s">
        <v>109</v>
      </c>
      <c r="H10" s="24"/>
      <c r="I10" s="24"/>
      <c r="J10" s="24"/>
      <c r="K10" s="24"/>
    </row>
    <row r="11" spans="1:15" s="10" customFormat="1" ht="42.75" x14ac:dyDescent="0.25">
      <c r="A11" s="1"/>
      <c r="B11" s="60" t="s">
        <v>162</v>
      </c>
      <c r="C11" s="61" t="s">
        <v>161</v>
      </c>
      <c r="D11" s="16" t="s">
        <v>165</v>
      </c>
      <c r="E11" s="62">
        <f>E6*E7*E8*E9*E10</f>
        <v>1705.2022106479326</v>
      </c>
      <c r="F11" s="18" t="s">
        <v>12</v>
      </c>
      <c r="G11" s="13" t="s">
        <v>164</v>
      </c>
      <c r="H11" s="31"/>
      <c r="I11" s="31"/>
      <c r="J11" s="31"/>
      <c r="K11" s="31"/>
      <c r="L11" s="14"/>
      <c r="M11" s="14"/>
      <c r="N11" s="14"/>
      <c r="O11" s="14"/>
    </row>
    <row r="12" spans="1:15" s="14" customFormat="1" x14ac:dyDescent="0.25">
      <c r="A12" s="1"/>
      <c r="B12" s="4"/>
      <c r="C12" s="4"/>
      <c r="D12" s="4"/>
      <c r="E12" s="5"/>
      <c r="F12" s="6"/>
      <c r="G12" s="4"/>
      <c r="H12" s="10"/>
      <c r="I12" s="10"/>
      <c r="J12" s="7"/>
      <c r="K12" s="7"/>
      <c r="L12" s="10"/>
      <c r="M12" s="10"/>
      <c r="N12" s="10"/>
      <c r="O12" s="10"/>
    </row>
    <row r="13" spans="1:15" s="14" customFormat="1" x14ac:dyDescent="0.25">
      <c r="A13" s="1"/>
      <c r="B13" s="40"/>
      <c r="C13" s="133" t="s">
        <v>144</v>
      </c>
      <c r="D13" s="4"/>
      <c r="E13" s="5"/>
      <c r="F13" s="6"/>
      <c r="G13" s="4"/>
      <c r="H13" s="10"/>
      <c r="I13" s="10"/>
      <c r="J13" s="10"/>
      <c r="K13" s="10"/>
      <c r="L13" s="10"/>
      <c r="M13" s="10"/>
      <c r="N13" s="10"/>
      <c r="O13" s="10"/>
    </row>
    <row r="14" spans="1:15" s="10" customFormat="1" x14ac:dyDescent="0.25">
      <c r="A14" s="1"/>
      <c r="B14" s="246"/>
      <c r="C14" s="247" t="s">
        <v>4</v>
      </c>
      <c r="D14" s="242" t="s">
        <v>5</v>
      </c>
      <c r="E14" s="242" t="s">
        <v>102</v>
      </c>
      <c r="F14" s="242" t="s">
        <v>7</v>
      </c>
      <c r="G14" s="242" t="s">
        <v>8</v>
      </c>
      <c r="H14" s="7"/>
      <c r="I14" s="7"/>
      <c r="L14" s="24"/>
      <c r="M14" s="24"/>
      <c r="N14" s="24"/>
      <c r="O14" s="24"/>
    </row>
    <row r="15" spans="1:15" s="10" customFormat="1" x14ac:dyDescent="0.25">
      <c r="A15" s="1"/>
      <c r="B15" s="246"/>
      <c r="C15" s="248"/>
      <c r="D15" s="243"/>
      <c r="E15" s="243"/>
      <c r="F15" s="243"/>
      <c r="G15" s="243"/>
      <c r="H15" s="7"/>
      <c r="I15" s="7"/>
      <c r="J15" s="7"/>
      <c r="K15" s="7"/>
      <c r="L15" s="24"/>
      <c r="M15" s="24"/>
      <c r="N15" s="24"/>
      <c r="O15" s="24"/>
    </row>
    <row r="16" spans="1:15" s="24" customFormat="1" ht="29.25" x14ac:dyDescent="0.25">
      <c r="A16" s="1"/>
      <c r="B16" s="126"/>
      <c r="C16" s="129" t="s">
        <v>145</v>
      </c>
      <c r="D16" s="134" t="s">
        <v>152</v>
      </c>
      <c r="E16" s="129">
        <v>2400</v>
      </c>
      <c r="F16" s="25" t="s">
        <v>9</v>
      </c>
      <c r="G16" s="130" t="s">
        <v>173</v>
      </c>
      <c r="H16" s="7"/>
      <c r="I16" s="7"/>
      <c r="J16" s="7"/>
      <c r="K16" s="7"/>
    </row>
    <row r="17" spans="1:17" s="24" customFormat="1" x14ac:dyDescent="0.25">
      <c r="A17" s="1"/>
      <c r="B17" s="126"/>
      <c r="C17" s="130" t="s">
        <v>147</v>
      </c>
      <c r="D17" s="134" t="s">
        <v>153</v>
      </c>
      <c r="E17" s="130">
        <v>24</v>
      </c>
      <c r="F17" s="25" t="s">
        <v>9</v>
      </c>
      <c r="G17" s="130" t="s">
        <v>157</v>
      </c>
      <c r="H17" s="10"/>
      <c r="I17" s="10"/>
      <c r="J17" s="7"/>
      <c r="K17" s="7"/>
    </row>
    <row r="18" spans="1:17" s="24" customFormat="1" x14ac:dyDescent="0.25">
      <c r="A18" s="1"/>
      <c r="B18" s="126"/>
      <c r="C18" s="130" t="s">
        <v>154</v>
      </c>
      <c r="D18" s="134" t="s">
        <v>155</v>
      </c>
      <c r="E18" s="130">
        <v>299</v>
      </c>
      <c r="F18" s="25" t="s">
        <v>9</v>
      </c>
      <c r="G18" s="130" t="s">
        <v>157</v>
      </c>
      <c r="H18" s="42"/>
      <c r="I18" s="42"/>
      <c r="J18" s="10"/>
      <c r="K18" s="10"/>
      <c r="L18" s="31"/>
      <c r="M18" s="31"/>
      <c r="N18" s="31"/>
      <c r="O18" s="31"/>
    </row>
    <row r="19" spans="1:17" s="24" customFormat="1" x14ac:dyDescent="0.25">
      <c r="A19" s="1"/>
      <c r="B19" s="126"/>
      <c r="C19" s="129" t="s">
        <v>148</v>
      </c>
      <c r="D19" s="134" t="s">
        <v>77</v>
      </c>
      <c r="E19" s="135">
        <f>E18/365</f>
        <v>0.81917808219178079</v>
      </c>
      <c r="F19" s="12" t="s">
        <v>12</v>
      </c>
      <c r="G19" s="136" t="s">
        <v>158</v>
      </c>
      <c r="H19" s="42"/>
      <c r="I19" s="42"/>
      <c r="J19" s="42"/>
      <c r="K19" s="42"/>
      <c r="L19" s="7"/>
      <c r="M19" s="7"/>
      <c r="N19" s="7"/>
      <c r="O19" s="7"/>
    </row>
    <row r="20" spans="1:17" s="31" customFormat="1" x14ac:dyDescent="0.25">
      <c r="A20" s="1"/>
      <c r="B20" s="127"/>
      <c r="C20" s="143" t="s">
        <v>149</v>
      </c>
      <c r="D20" s="134" t="s">
        <v>77</v>
      </c>
      <c r="E20" s="140">
        <f>0.8</f>
        <v>0.8</v>
      </c>
      <c r="F20" s="57" t="s">
        <v>9</v>
      </c>
      <c r="G20" s="130" t="s">
        <v>172</v>
      </c>
      <c r="H20" s="7"/>
      <c r="I20" s="7"/>
      <c r="J20" s="42"/>
      <c r="K20" s="42"/>
      <c r="L20" s="10"/>
      <c r="M20" s="10"/>
      <c r="N20" s="10"/>
      <c r="O20" s="10"/>
    </row>
    <row r="21" spans="1:17" x14ac:dyDescent="0.25">
      <c r="B21" s="127"/>
      <c r="C21" s="130" t="s">
        <v>150</v>
      </c>
      <c r="D21" s="134" t="s">
        <v>156</v>
      </c>
      <c r="E21" s="130">
        <v>0.27800000000000002</v>
      </c>
      <c r="F21" s="12" t="s">
        <v>10</v>
      </c>
      <c r="G21" s="130" t="s">
        <v>160</v>
      </c>
      <c r="H21" s="10"/>
      <c r="I21" s="10"/>
    </row>
    <row r="22" spans="1:17" s="10" customFormat="1" x14ac:dyDescent="0.25">
      <c r="A22" s="1"/>
      <c r="B22" s="126"/>
      <c r="C22" s="130" t="s">
        <v>151</v>
      </c>
      <c r="D22" s="134" t="s">
        <v>159</v>
      </c>
      <c r="E22" s="130">
        <v>55400</v>
      </c>
      <c r="F22" s="12" t="s">
        <v>10</v>
      </c>
      <c r="G22" s="130" t="s">
        <v>160</v>
      </c>
    </row>
    <row r="23" spans="1:17" s="10" customFormat="1" ht="45" x14ac:dyDescent="0.25">
      <c r="A23" s="1"/>
      <c r="B23" s="128"/>
      <c r="C23" s="131" t="s">
        <v>143</v>
      </c>
      <c r="D23" s="137" t="s">
        <v>166</v>
      </c>
      <c r="E23" s="198">
        <f>(E16*E17*365*E19)/(E20*E21*E22)</f>
        <v>1397.8131574163049</v>
      </c>
      <c r="F23" s="18" t="s">
        <v>12</v>
      </c>
      <c r="G23" s="138" t="s">
        <v>146</v>
      </c>
      <c r="H23" s="7"/>
      <c r="I23" s="7"/>
    </row>
    <row r="24" spans="1:17" x14ac:dyDescent="0.25">
      <c r="A24" s="10"/>
      <c r="J24" s="141" t="e">
        <f>C8*(' ER POME naik'!H28-' ER POME naik'!I28-Flare!E23)</f>
        <v>#VALUE!</v>
      </c>
    </row>
    <row r="25" spans="1:17" x14ac:dyDescent="0.25">
      <c r="A25" s="10"/>
      <c r="B25" s="133" t="s">
        <v>168</v>
      </c>
      <c r="C25" s="132"/>
      <c r="D25" s="132"/>
      <c r="H25" s="14"/>
      <c r="I25" s="14"/>
    </row>
    <row r="26" spans="1:17" x14ac:dyDescent="0.25">
      <c r="B26" s="244" t="s">
        <v>3</v>
      </c>
      <c r="C26" s="244" t="s">
        <v>4</v>
      </c>
      <c r="D26" s="242" t="s">
        <v>5</v>
      </c>
      <c r="E26" s="242" t="s">
        <v>6</v>
      </c>
      <c r="F26" s="242" t="s">
        <v>7</v>
      </c>
      <c r="G26" s="242" t="s">
        <v>8</v>
      </c>
      <c r="H26" s="14"/>
      <c r="I26" s="14"/>
    </row>
    <row r="27" spans="1:17" s="10" customFormat="1" x14ac:dyDescent="0.25">
      <c r="A27" s="1"/>
      <c r="B27" s="245"/>
      <c r="C27" s="245"/>
      <c r="D27" s="243"/>
      <c r="E27" s="243"/>
      <c r="F27" s="243"/>
      <c r="G27" s="243"/>
    </row>
    <row r="28" spans="1:17" s="42" customFormat="1" ht="28.5" x14ac:dyDescent="0.25">
      <c r="A28" s="1"/>
      <c r="B28" s="32" t="s">
        <v>55</v>
      </c>
      <c r="C28" s="11" t="s">
        <v>56</v>
      </c>
      <c r="D28" s="56" t="s">
        <v>22</v>
      </c>
      <c r="E28" s="44">
        <v>0.9</v>
      </c>
      <c r="F28" s="57" t="s">
        <v>10</v>
      </c>
      <c r="G28" s="13" t="s">
        <v>57</v>
      </c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42" customFormat="1" ht="42.75" x14ac:dyDescent="0.25">
      <c r="A29" s="1"/>
      <c r="B29" s="32" t="str">
        <f t="shared" ref="B29:G29" si="0">B11</f>
        <v>MEPfugitive,ww,y</v>
      </c>
      <c r="C29" s="32" t="str">
        <f t="shared" si="0"/>
        <v>Potensi emisi gas metana dari kolam anaerobik yang dilengkapi dengan sistem penangkapan gasbio</v>
      </c>
      <c r="D29" s="67" t="str">
        <f t="shared" si="0"/>
        <v xml:space="preserve">t CH4e </v>
      </c>
      <c r="E29" s="139">
        <f t="shared" si="0"/>
        <v>1705.2022106479326</v>
      </c>
      <c r="F29" s="67" t="str">
        <f t="shared" si="0"/>
        <v>Perhitungan</v>
      </c>
      <c r="G29" s="32" t="str">
        <f t="shared" si="0"/>
        <v>CDM AMS III H UNFCCC V.19.0 P.23 (2019) | MEPfugitive,ww,y = Qww,y* Boww*UFPJ*penjumlahan dari k untuk CODremoval,PJ,k,y* MCFww,treatment,PJ,k</v>
      </c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ht="30" x14ac:dyDescent="0.25">
      <c r="B30" s="60" t="s">
        <v>63</v>
      </c>
      <c r="C30" s="61" t="s">
        <v>64</v>
      </c>
      <c r="D30" s="16" t="s">
        <v>165</v>
      </c>
      <c r="E30" s="62">
        <f>(1-E28)*(E29)</f>
        <v>170.52022106479322</v>
      </c>
      <c r="F30" s="18" t="s">
        <v>12</v>
      </c>
      <c r="G30" s="13" t="s">
        <v>169</v>
      </c>
    </row>
    <row r="31" spans="1:17" s="10" customFormat="1" x14ac:dyDescent="0.25">
      <c r="A31" s="1"/>
      <c r="B31" s="4"/>
      <c r="C31" s="4"/>
      <c r="D31" s="4"/>
      <c r="E31" s="5"/>
      <c r="F31" s="6"/>
      <c r="G31" s="4"/>
      <c r="H31" s="7"/>
      <c r="I31" s="7"/>
    </row>
    <row r="32" spans="1:17" s="10" customFormat="1" x14ac:dyDescent="0.25">
      <c r="A32" s="1"/>
      <c r="B32" s="4"/>
      <c r="C32" s="4"/>
      <c r="D32" s="4"/>
      <c r="E32" s="5"/>
      <c r="F32" s="6"/>
      <c r="G32" s="4"/>
      <c r="H32" s="7"/>
      <c r="I32" s="7"/>
    </row>
    <row r="33" spans="1:17" x14ac:dyDescent="0.25">
      <c r="A33" s="10"/>
      <c r="J33" s="14"/>
      <c r="K33" s="14"/>
      <c r="L33" s="14"/>
      <c r="M33" s="14"/>
      <c r="N33" s="14"/>
      <c r="O33" s="14"/>
      <c r="P33" s="14"/>
      <c r="Q33" s="14"/>
    </row>
    <row r="34" spans="1:17" ht="46.5" customHeight="1" x14ac:dyDescent="0.25">
      <c r="J34" s="14"/>
      <c r="K34" s="14"/>
      <c r="L34" s="14"/>
      <c r="M34" s="14"/>
      <c r="N34" s="14"/>
      <c r="O34" s="14"/>
      <c r="P34" s="14"/>
      <c r="Q34" s="14"/>
    </row>
    <row r="35" spans="1:17" x14ac:dyDescent="0.25">
      <c r="J35" s="14"/>
      <c r="K35" s="14"/>
      <c r="L35" s="14"/>
      <c r="M35" s="14"/>
      <c r="N35" s="14"/>
      <c r="O35" s="14"/>
      <c r="P35" s="14"/>
      <c r="Q35" s="14"/>
    </row>
    <row r="36" spans="1:17" x14ac:dyDescent="0.25">
      <c r="J36" s="14"/>
      <c r="K36" s="14"/>
      <c r="L36" s="14"/>
      <c r="M36" s="14"/>
      <c r="N36" s="14"/>
      <c r="O36" s="14"/>
      <c r="P36" s="14"/>
      <c r="Q36" s="14"/>
    </row>
    <row r="37" spans="1:17" s="10" customFormat="1" x14ac:dyDescent="0.25">
      <c r="A37" s="1"/>
      <c r="B37" s="4"/>
      <c r="C37" s="4"/>
      <c r="D37" s="4"/>
      <c r="E37" s="5"/>
      <c r="F37" s="6"/>
      <c r="G37" s="4"/>
      <c r="H37" s="7"/>
      <c r="I37" s="7"/>
    </row>
    <row r="41" spans="1:17" s="10" customFormat="1" x14ac:dyDescent="0.25">
      <c r="A41" s="1"/>
      <c r="B41" s="4"/>
      <c r="C41" s="4"/>
      <c r="D41" s="4"/>
      <c r="E41" s="5"/>
      <c r="F41" s="6"/>
      <c r="G41" s="4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0" customFormat="1" x14ac:dyDescent="0.25">
      <c r="A42" s="1"/>
      <c r="B42" s="4"/>
      <c r="C42" s="4"/>
      <c r="D42" s="4"/>
      <c r="E42" s="5"/>
      <c r="F42" s="6"/>
      <c r="G42" s="4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4" customFormat="1" x14ac:dyDescent="0.25">
      <c r="A43" s="1"/>
      <c r="B43" s="4"/>
      <c r="C43" s="4"/>
      <c r="D43" s="4"/>
      <c r="E43" s="5"/>
      <c r="F43" s="6"/>
      <c r="G43" s="4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4" customFormat="1" x14ac:dyDescent="0.25">
      <c r="A44" s="1"/>
      <c r="B44" s="4"/>
      <c r="C44" s="4"/>
      <c r="D44" s="4"/>
      <c r="E44" s="5"/>
      <c r="F44" s="6"/>
      <c r="G44" s="4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4" customFormat="1" x14ac:dyDescent="0.25">
      <c r="A45" s="1"/>
      <c r="B45" s="4"/>
      <c r="C45" s="4"/>
      <c r="D45" s="4"/>
      <c r="E45" s="5"/>
      <c r="F45" s="6"/>
      <c r="G45" s="4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4" customFormat="1" x14ac:dyDescent="0.25">
      <c r="A46" s="1"/>
      <c r="B46" s="4"/>
      <c r="C46" s="4"/>
      <c r="D46" s="4"/>
      <c r="E46" s="5"/>
      <c r="F46" s="6"/>
      <c r="G46" s="4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0" customFormat="1" x14ac:dyDescent="0.25">
      <c r="A47" s="1"/>
      <c r="B47" s="4"/>
      <c r="C47" s="4"/>
      <c r="D47" s="4"/>
      <c r="E47" s="5"/>
      <c r="F47" s="6"/>
      <c r="G47" s="4"/>
      <c r="H47" s="7"/>
      <c r="I47" s="7"/>
      <c r="J47" s="7"/>
      <c r="K47" s="7"/>
      <c r="L47" s="7"/>
      <c r="M47" s="7"/>
      <c r="N47" s="7"/>
      <c r="O47" s="7"/>
      <c r="P47" s="7"/>
      <c r="Q47" s="7"/>
    </row>
    <row r="51" spans="2:7" x14ac:dyDescent="0.25">
      <c r="B51" s="7"/>
      <c r="C51" s="7"/>
      <c r="D51" s="7"/>
      <c r="E51" s="7"/>
      <c r="F51" s="7"/>
      <c r="G51" s="7"/>
    </row>
    <row r="52" spans="2:7" x14ac:dyDescent="0.25">
      <c r="B52" s="7"/>
      <c r="C52" s="7"/>
      <c r="D52" s="7"/>
      <c r="E52" s="7"/>
      <c r="F52" s="7"/>
      <c r="G52" s="7"/>
    </row>
    <row r="53" spans="2:7" x14ac:dyDescent="0.25">
      <c r="B53" s="7"/>
      <c r="C53" s="7"/>
      <c r="D53" s="7"/>
      <c r="E53" s="7"/>
      <c r="F53" s="7"/>
      <c r="G53" s="7"/>
    </row>
    <row r="54" spans="2:7" ht="33" customHeight="1" x14ac:dyDescent="0.25">
      <c r="B54" s="7"/>
      <c r="C54" s="7"/>
      <c r="D54" s="7"/>
      <c r="E54" s="7"/>
      <c r="F54" s="7"/>
      <c r="G54" s="7"/>
    </row>
    <row r="55" spans="2:7" x14ac:dyDescent="0.25">
      <c r="B55" s="7"/>
      <c r="C55" s="7"/>
      <c r="D55" s="7"/>
      <c r="E55" s="7"/>
      <c r="F55" s="7"/>
      <c r="G55" s="7"/>
    </row>
    <row r="56" spans="2:7" x14ac:dyDescent="0.25">
      <c r="B56" s="7"/>
      <c r="C56" s="7"/>
      <c r="D56" s="7"/>
      <c r="E56" s="7"/>
      <c r="F56" s="7"/>
      <c r="G56" s="7"/>
    </row>
    <row r="57" spans="2:7" x14ac:dyDescent="0.25">
      <c r="B57" s="7"/>
      <c r="C57" s="7"/>
      <c r="D57" s="7"/>
      <c r="E57" s="7"/>
      <c r="F57" s="7"/>
      <c r="G57" s="7"/>
    </row>
    <row r="58" spans="2:7" x14ac:dyDescent="0.25">
      <c r="B58" s="7"/>
      <c r="C58" s="7"/>
      <c r="D58" s="7"/>
      <c r="E58" s="7"/>
      <c r="F58" s="7"/>
      <c r="G58" s="7"/>
    </row>
    <row r="59" spans="2:7" x14ac:dyDescent="0.25">
      <c r="B59" s="7"/>
      <c r="C59" s="7"/>
      <c r="D59" s="7"/>
      <c r="E59" s="7"/>
      <c r="F59" s="7"/>
      <c r="G59" s="7"/>
    </row>
    <row r="60" spans="2:7" x14ac:dyDescent="0.25">
      <c r="B60" s="10"/>
      <c r="C60" s="14"/>
      <c r="D60" s="14"/>
      <c r="E60" s="14"/>
      <c r="F60" s="14"/>
      <c r="G60" s="14"/>
    </row>
    <row r="61" spans="2:7" x14ac:dyDescent="0.25">
      <c r="B61" s="10"/>
      <c r="C61" s="14"/>
      <c r="D61" s="14"/>
      <c r="E61" s="14"/>
      <c r="F61" s="14"/>
      <c r="G61" s="14"/>
    </row>
    <row r="62" spans="2:7" x14ac:dyDescent="0.25">
      <c r="B62" s="7"/>
      <c r="C62" s="14"/>
      <c r="D62" s="14"/>
      <c r="E62" s="14"/>
      <c r="F62" s="14"/>
      <c r="G62" s="14"/>
    </row>
    <row r="63" spans="2:7" x14ac:dyDescent="0.25">
      <c r="B63" s="7"/>
      <c r="C63" s="14"/>
      <c r="D63" s="14"/>
      <c r="E63" s="14"/>
      <c r="F63" s="14"/>
      <c r="G63" s="14"/>
    </row>
    <row r="64" spans="2:7" x14ac:dyDescent="0.25">
      <c r="B64" s="7"/>
      <c r="C64" s="10"/>
      <c r="D64" s="10"/>
      <c r="E64" s="10"/>
      <c r="F64" s="10"/>
      <c r="G64" s="10"/>
    </row>
    <row r="65" spans="1:7" x14ac:dyDescent="0.25">
      <c r="B65" s="10"/>
      <c r="C65" s="7"/>
      <c r="D65" s="7"/>
      <c r="E65" s="7"/>
      <c r="F65" s="7"/>
      <c r="G65" s="7"/>
    </row>
    <row r="66" spans="1:7" x14ac:dyDescent="0.25">
      <c r="B66" s="42"/>
      <c r="C66" s="7"/>
      <c r="D66" s="7"/>
      <c r="E66" s="7"/>
      <c r="F66" s="7"/>
      <c r="G66" s="7"/>
    </row>
    <row r="67" spans="1:7" x14ac:dyDescent="0.25">
      <c r="B67" s="42"/>
      <c r="C67" s="7"/>
      <c r="D67" s="7"/>
      <c r="E67" s="7"/>
      <c r="F67" s="7"/>
      <c r="G67" s="7"/>
    </row>
    <row r="68" spans="1:7" x14ac:dyDescent="0.25">
      <c r="B68" s="7"/>
      <c r="C68" s="7"/>
      <c r="D68" s="7"/>
      <c r="E68" s="7"/>
      <c r="F68" s="7"/>
      <c r="G68" s="7"/>
    </row>
    <row r="69" spans="1:7" x14ac:dyDescent="0.25">
      <c r="B69" s="10"/>
      <c r="C69" s="7"/>
      <c r="D69" s="7"/>
      <c r="E69" s="7"/>
      <c r="F69" s="7"/>
      <c r="G69" s="7"/>
    </row>
    <row r="70" spans="1:7" x14ac:dyDescent="0.25">
      <c r="B70" s="10"/>
      <c r="C70" s="7"/>
      <c r="D70" s="7"/>
      <c r="E70" s="7"/>
      <c r="F70" s="7"/>
      <c r="G70" s="7"/>
    </row>
    <row r="71" spans="1:7" x14ac:dyDescent="0.25">
      <c r="B71" s="7"/>
      <c r="C71" s="7"/>
      <c r="D71" s="7"/>
      <c r="E71" s="7"/>
      <c r="F71" s="7"/>
      <c r="G71" s="7"/>
    </row>
    <row r="72" spans="1:7" x14ac:dyDescent="0.25">
      <c r="B72" s="7"/>
      <c r="C72" s="7"/>
      <c r="D72" s="7"/>
      <c r="E72" s="7"/>
      <c r="F72" s="7"/>
      <c r="G72" s="7"/>
    </row>
    <row r="73" spans="1:7" x14ac:dyDescent="0.25">
      <c r="B73" s="7"/>
      <c r="C73" s="7"/>
      <c r="D73" s="7"/>
      <c r="E73" s="7"/>
      <c r="F73" s="7"/>
      <c r="G73" s="7"/>
    </row>
    <row r="74" spans="1:7" x14ac:dyDescent="0.25">
      <c r="B74" s="7"/>
      <c r="C74" s="7"/>
      <c r="D74" s="7"/>
      <c r="E74" s="7"/>
      <c r="F74" s="7"/>
      <c r="G74" s="7"/>
    </row>
    <row r="75" spans="1:7" x14ac:dyDescent="0.25">
      <c r="B75" s="10"/>
      <c r="C75" s="10"/>
      <c r="D75" s="10"/>
      <c r="E75" s="10"/>
      <c r="F75" s="10"/>
      <c r="G75" s="10"/>
    </row>
    <row r="76" spans="1:7" x14ac:dyDescent="0.25">
      <c r="A76" s="1" t="s">
        <v>53</v>
      </c>
      <c r="B76" s="7"/>
      <c r="C76" s="7"/>
      <c r="D76" s="7"/>
      <c r="E76" s="7"/>
      <c r="F76" s="7"/>
      <c r="G76" s="7"/>
    </row>
    <row r="77" spans="1:7" x14ac:dyDescent="0.25">
      <c r="A77" s="10"/>
      <c r="B77" s="7"/>
      <c r="C77" s="7"/>
      <c r="D77" s="7"/>
      <c r="E77" s="7"/>
      <c r="F77" s="7"/>
      <c r="G77" s="7"/>
    </row>
    <row r="78" spans="1:7" x14ac:dyDescent="0.25">
      <c r="A78" s="10"/>
      <c r="B78" s="7"/>
      <c r="C78" s="7"/>
      <c r="D78" s="7"/>
      <c r="E78" s="7"/>
      <c r="F78" s="7"/>
      <c r="G78" s="7"/>
    </row>
    <row r="79" spans="1:7" x14ac:dyDescent="0.25">
      <c r="B79" s="10"/>
      <c r="C79" s="10"/>
      <c r="D79" s="10"/>
      <c r="E79" s="10"/>
      <c r="F79" s="10"/>
      <c r="G79" s="10"/>
    </row>
    <row r="80" spans="1:7" x14ac:dyDescent="0.25">
      <c r="B80" s="10"/>
      <c r="C80" s="10"/>
      <c r="D80" s="10"/>
      <c r="E80" s="10"/>
      <c r="F80" s="10"/>
      <c r="G80" s="10"/>
    </row>
    <row r="81" spans="1:7" x14ac:dyDescent="0.25">
      <c r="B81" s="14"/>
      <c r="C81" s="14"/>
      <c r="D81" s="14"/>
      <c r="E81" s="14"/>
      <c r="F81" s="14"/>
      <c r="G81" s="14"/>
    </row>
    <row r="82" spans="1:7" x14ac:dyDescent="0.25">
      <c r="A82" s="10"/>
      <c r="B82" s="14"/>
      <c r="C82" s="14"/>
      <c r="D82" s="14"/>
      <c r="E82" s="14"/>
      <c r="F82" s="14"/>
      <c r="G82" s="14"/>
    </row>
    <row r="83" spans="1:7" x14ac:dyDescent="0.25">
      <c r="B83" s="14"/>
      <c r="C83" s="14"/>
      <c r="D83" s="14"/>
      <c r="E83" s="14"/>
      <c r="F83" s="14"/>
      <c r="G83" s="14"/>
    </row>
    <row r="84" spans="1:7" ht="14.25" x14ac:dyDescent="0.2">
      <c r="A84" s="7"/>
      <c r="B84" s="14"/>
      <c r="C84" s="14"/>
      <c r="D84" s="14"/>
      <c r="E84" s="14"/>
      <c r="F84" s="14"/>
      <c r="G84" s="14"/>
    </row>
    <row r="85" spans="1:7" x14ac:dyDescent="0.25">
      <c r="A85" s="10"/>
      <c r="B85" s="10"/>
      <c r="C85" s="10"/>
      <c r="D85" s="10"/>
      <c r="E85" s="10"/>
      <c r="F85" s="10"/>
      <c r="G85" s="10"/>
    </row>
    <row r="86" spans="1:7" x14ac:dyDescent="0.25">
      <c r="A86" s="10"/>
      <c r="B86" s="7"/>
      <c r="C86" s="7"/>
      <c r="D86" s="7"/>
      <c r="E86" s="7"/>
      <c r="F86" s="7"/>
      <c r="G86" s="7"/>
    </row>
    <row r="87" spans="1:7" ht="14.25" x14ac:dyDescent="0.2">
      <c r="A87" s="7"/>
    </row>
    <row r="88" spans="1:7" ht="14.25" x14ac:dyDescent="0.2">
      <c r="A88" s="7"/>
    </row>
    <row r="89" spans="1:7" ht="14.25" x14ac:dyDescent="0.2">
      <c r="A89" s="7"/>
    </row>
    <row r="90" spans="1:7" x14ac:dyDescent="0.25">
      <c r="A90" s="10"/>
    </row>
    <row r="91" spans="1:7" ht="14.25" x14ac:dyDescent="0.2">
      <c r="A91" s="42"/>
    </row>
    <row r="92" spans="1:7" ht="14.25" x14ac:dyDescent="0.2">
      <c r="A92" s="42"/>
    </row>
    <row r="93" spans="1:7" ht="14.25" x14ac:dyDescent="0.2">
      <c r="A93" s="7"/>
    </row>
    <row r="94" spans="1:7" x14ac:dyDescent="0.25">
      <c r="A94" s="10"/>
    </row>
    <row r="95" spans="1:7" x14ac:dyDescent="0.25">
      <c r="A95" s="10"/>
    </row>
    <row r="96" spans="1:7" ht="14.25" x14ac:dyDescent="0.2">
      <c r="A96" s="7"/>
    </row>
    <row r="97" spans="1:1" ht="14.25" x14ac:dyDescent="0.2">
      <c r="A97" s="7"/>
    </row>
    <row r="98" spans="1:1" ht="14.25" x14ac:dyDescent="0.2">
      <c r="A98" s="7"/>
    </row>
    <row r="99" spans="1:1" ht="14.25" x14ac:dyDescent="0.2">
      <c r="A99" s="7"/>
    </row>
    <row r="100" spans="1:1" x14ac:dyDescent="0.25">
      <c r="A100" s="10"/>
    </row>
    <row r="101" spans="1:1" ht="14.25" x14ac:dyDescent="0.2">
      <c r="A101" s="7"/>
    </row>
    <row r="102" spans="1:1" ht="14.25" x14ac:dyDescent="0.2">
      <c r="A102" s="7"/>
    </row>
    <row r="103" spans="1:1" ht="14.25" x14ac:dyDescent="0.2">
      <c r="A103" s="7"/>
    </row>
    <row r="104" spans="1:1" x14ac:dyDescent="0.25">
      <c r="A104" s="10"/>
    </row>
    <row r="105" spans="1:1" x14ac:dyDescent="0.25">
      <c r="A105" s="10"/>
    </row>
    <row r="106" spans="1:1" ht="14.25" x14ac:dyDescent="0.2">
      <c r="A106" s="14"/>
    </row>
    <row r="107" spans="1:1" ht="14.25" x14ac:dyDescent="0.2">
      <c r="A107" s="14"/>
    </row>
    <row r="108" spans="1:1" ht="14.25" x14ac:dyDescent="0.2">
      <c r="A108" s="14"/>
    </row>
    <row r="109" spans="1:1" ht="14.25" x14ac:dyDescent="0.2">
      <c r="A109" s="14"/>
    </row>
    <row r="110" spans="1:1" x14ac:dyDescent="0.25">
      <c r="A110" s="10"/>
    </row>
    <row r="111" spans="1:1" ht="14.25" x14ac:dyDescent="0.2">
      <c r="A111" s="7"/>
    </row>
  </sheetData>
  <mergeCells count="18">
    <mergeCell ref="G14:G15"/>
    <mergeCell ref="B4:B5"/>
    <mergeCell ref="C4:C5"/>
    <mergeCell ref="D4:D5"/>
    <mergeCell ref="E4:E5"/>
    <mergeCell ref="F4:F5"/>
    <mergeCell ref="G4:G5"/>
    <mergeCell ref="B14:B15"/>
    <mergeCell ref="C14:C15"/>
    <mergeCell ref="D14:D15"/>
    <mergeCell ref="E14:E15"/>
    <mergeCell ref="F14:F15"/>
    <mergeCell ref="G26:G27"/>
    <mergeCell ref="B26:B27"/>
    <mergeCell ref="C26:C27"/>
    <mergeCell ref="D26:D27"/>
    <mergeCell ref="E26:E27"/>
    <mergeCell ref="F26:F2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M38"/>
  <sheetViews>
    <sheetView topLeftCell="A22" workbookViewId="0">
      <selection activeCell="G39" sqref="G39"/>
    </sheetView>
  </sheetViews>
  <sheetFormatPr defaultRowHeight="15" x14ac:dyDescent="0.25"/>
  <cols>
    <col min="1" max="1" width="25.7109375" customWidth="1"/>
    <col min="2" max="12" width="13.7109375" customWidth="1"/>
    <col min="13" max="13" width="13.42578125" customWidth="1"/>
    <col min="14" max="14" width="13.140625" customWidth="1"/>
  </cols>
  <sheetData>
    <row r="2" spans="1:3" x14ac:dyDescent="0.25">
      <c r="A2" s="110" t="s">
        <v>113</v>
      </c>
      <c r="B2" s="79"/>
      <c r="C2" s="79"/>
    </row>
    <row r="3" spans="1:3" x14ac:dyDescent="0.25">
      <c r="A3" s="144" t="s">
        <v>17</v>
      </c>
      <c r="B3" s="92" t="s">
        <v>19</v>
      </c>
      <c r="C3" s="93">
        <v>8.8459418034887133E-2</v>
      </c>
    </row>
    <row r="4" spans="1:3" x14ac:dyDescent="0.25">
      <c r="A4" s="144" t="s">
        <v>20</v>
      </c>
      <c r="B4" s="92" t="s">
        <v>77</v>
      </c>
      <c r="C4" s="94">
        <v>0.95553119060258107</v>
      </c>
    </row>
    <row r="5" spans="1:3" x14ac:dyDescent="0.25">
      <c r="A5" s="145" t="s">
        <v>23</v>
      </c>
      <c r="B5" s="95" t="s">
        <v>22</v>
      </c>
      <c r="C5" s="96">
        <v>0.8</v>
      </c>
    </row>
    <row r="6" spans="1:3" x14ac:dyDescent="0.25">
      <c r="A6" s="145" t="s">
        <v>25</v>
      </c>
      <c r="B6" s="95" t="s">
        <v>27</v>
      </c>
      <c r="C6" s="96">
        <v>0.25</v>
      </c>
    </row>
    <row r="7" spans="1:3" x14ac:dyDescent="0.25">
      <c r="A7" s="145" t="s">
        <v>29</v>
      </c>
      <c r="B7" s="95" t="s">
        <v>22</v>
      </c>
      <c r="C7" s="96">
        <v>0.89</v>
      </c>
    </row>
    <row r="8" spans="1:3" x14ac:dyDescent="0.25">
      <c r="A8" s="146" t="s">
        <v>32</v>
      </c>
      <c r="B8" s="97" t="s">
        <v>22</v>
      </c>
      <c r="C8" s="98">
        <v>28</v>
      </c>
    </row>
    <row r="9" spans="1:3" x14ac:dyDescent="0.25">
      <c r="A9" s="144" t="s">
        <v>42</v>
      </c>
      <c r="B9" s="92" t="s">
        <v>19</v>
      </c>
      <c r="C9" s="99">
        <v>1.6823783840205955E-2</v>
      </c>
    </row>
    <row r="10" spans="1:3" x14ac:dyDescent="0.25">
      <c r="A10" s="144" t="s">
        <v>44</v>
      </c>
      <c r="B10" s="92" t="s">
        <v>77</v>
      </c>
      <c r="C10" s="100">
        <v>0.76618309903630788</v>
      </c>
    </row>
    <row r="11" spans="1:3" x14ac:dyDescent="0.25">
      <c r="A11" s="145" t="s">
        <v>46</v>
      </c>
      <c r="B11" s="95" t="s">
        <v>22</v>
      </c>
      <c r="C11" s="101">
        <v>0.8</v>
      </c>
    </row>
    <row r="12" spans="1:3" x14ac:dyDescent="0.25">
      <c r="A12" s="145" t="s">
        <v>25</v>
      </c>
      <c r="B12" s="95" t="s">
        <v>27</v>
      </c>
      <c r="C12" s="102">
        <v>0.25</v>
      </c>
    </row>
    <row r="13" spans="1:3" x14ac:dyDescent="0.25">
      <c r="A13" s="145" t="s">
        <v>48</v>
      </c>
      <c r="B13" s="95" t="s">
        <v>22</v>
      </c>
      <c r="C13" s="102">
        <v>1.1200000000000001</v>
      </c>
    </row>
    <row r="14" spans="1:3" x14ac:dyDescent="0.25">
      <c r="A14" s="146" t="s">
        <v>32</v>
      </c>
      <c r="B14" s="97" t="s">
        <v>22</v>
      </c>
      <c r="C14" s="103">
        <v>28</v>
      </c>
    </row>
    <row r="15" spans="1:3" x14ac:dyDescent="0.25">
      <c r="A15" s="146" t="s">
        <v>55</v>
      </c>
      <c r="B15" s="104" t="s">
        <v>22</v>
      </c>
      <c r="C15" s="101">
        <v>0.9</v>
      </c>
    </row>
    <row r="16" spans="1:3" x14ac:dyDescent="0.25">
      <c r="A16" s="146" t="s">
        <v>68</v>
      </c>
      <c r="B16" s="95" t="s">
        <v>22</v>
      </c>
      <c r="C16" s="101">
        <v>0.5</v>
      </c>
    </row>
    <row r="17" spans="1:13" x14ac:dyDescent="0.25">
      <c r="A17" s="145" t="s">
        <v>60</v>
      </c>
      <c r="B17" s="106" t="s">
        <v>19</v>
      </c>
      <c r="C17" s="99">
        <v>7.1635634194681191E-2</v>
      </c>
    </row>
    <row r="18" spans="1:13" x14ac:dyDescent="0.25">
      <c r="A18" s="148" t="s">
        <v>124</v>
      </c>
      <c r="B18" s="153" t="s">
        <v>16</v>
      </c>
      <c r="C18" s="199">
        <f>'Volume POME'!C18</f>
        <v>106267.08278</v>
      </c>
    </row>
    <row r="19" spans="1:13" x14ac:dyDescent="0.25">
      <c r="A19" s="148" t="s">
        <v>181</v>
      </c>
      <c r="B19" s="153" t="s">
        <v>182</v>
      </c>
      <c r="C19" s="147">
        <f>'Volume POME'!G10</f>
        <v>8.2231244444512588E-3</v>
      </c>
    </row>
    <row r="21" spans="1:13" ht="51" x14ac:dyDescent="0.25">
      <c r="B21" s="112" t="s">
        <v>114</v>
      </c>
      <c r="C21" s="115" t="s">
        <v>124</v>
      </c>
      <c r="D21" s="112" t="s">
        <v>35</v>
      </c>
      <c r="E21" s="112" t="s">
        <v>210</v>
      </c>
      <c r="F21" s="112" t="s">
        <v>50</v>
      </c>
      <c r="G21" s="112" t="s">
        <v>115</v>
      </c>
      <c r="H21" s="112" t="s">
        <v>185</v>
      </c>
      <c r="I21" s="112" t="s">
        <v>184</v>
      </c>
      <c r="J21" s="112" t="s">
        <v>183</v>
      </c>
      <c r="K21" s="112" t="s">
        <v>211</v>
      </c>
      <c r="L21" s="112" t="s">
        <v>116</v>
      </c>
      <c r="M21" s="112" t="s">
        <v>117</v>
      </c>
    </row>
    <row r="22" spans="1:13" ht="25.5" x14ac:dyDescent="0.25">
      <c r="B22" s="90" t="s">
        <v>118</v>
      </c>
      <c r="C22" s="114" t="s">
        <v>119</v>
      </c>
      <c r="D22" s="90" t="s">
        <v>120</v>
      </c>
      <c r="E22" s="90" t="s">
        <v>125</v>
      </c>
      <c r="F22" s="90" t="s">
        <v>121</v>
      </c>
      <c r="G22" s="90" t="s">
        <v>122</v>
      </c>
      <c r="H22" s="142" t="s">
        <v>123</v>
      </c>
      <c r="I22" s="142" t="s">
        <v>176</v>
      </c>
      <c r="J22" s="142" t="s">
        <v>177</v>
      </c>
      <c r="K22" s="142" t="s">
        <v>178</v>
      </c>
      <c r="L22" s="142" t="s">
        <v>179</v>
      </c>
      <c r="M22" s="142" t="s">
        <v>180</v>
      </c>
    </row>
    <row r="23" spans="1:13" x14ac:dyDescent="0.25">
      <c r="B23" s="91">
        <v>2016</v>
      </c>
      <c r="C23" s="200">
        <v>107989</v>
      </c>
      <c r="D23" s="150">
        <f>C23*C$3*C$4*C$5*C$6*C$7*C$8</f>
        <v>45493.201333366873</v>
      </c>
      <c r="E23" s="150">
        <f t="shared" ref="E23:E37" si="0">D23</f>
        <v>45493.201333366873</v>
      </c>
      <c r="F23" s="149">
        <f t="shared" ref="F23:F37" si="1">C23*C$9*C$10*C$11*C$12*C$13*C$14</f>
        <v>8730.5542782841676</v>
      </c>
      <c r="G23" s="149">
        <f t="shared" ref="G23:G37" si="2">(1-C$15)*(C23*C$12*C$13*C$17*C$11)*C$14</f>
        <v>4851.9317062582004</v>
      </c>
      <c r="H23" s="149">
        <f>C23*' ER Tanpa skenario'!$C$12*' ER Tanpa skenario'!$C$13*' ER Tanpa skenario'!$C$17*' ER Tanpa skenario'!$C$11</f>
        <v>1732.8327522350719</v>
      </c>
      <c r="I23" s="149">
        <f>(1-' ER Tanpa skenario'!$C$15)*' ER Tanpa skenario'!H23</f>
        <v>173.28327522350716</v>
      </c>
      <c r="J23" s="150">
        <f>C$14*(H23-I23-Flare!$E$23)*1000*(1-' ER Tanpa skenario'!$C$16)*(1/1000)</f>
        <v>2264.3084743336376</v>
      </c>
      <c r="K23" s="149">
        <f t="shared" ref="K23:K27" si="3">F23+G23+J23</f>
        <v>15846.794458876004</v>
      </c>
      <c r="L23" s="149">
        <f t="shared" ref="L23:L37" si="4">E23-K23</f>
        <v>29646.406874490869</v>
      </c>
      <c r="M23" s="151">
        <f t="shared" ref="M23:M27" si="5">L23/E23</f>
        <v>0.65166675471455093</v>
      </c>
    </row>
    <row r="24" spans="1:13" x14ac:dyDescent="0.25">
      <c r="B24" s="152">
        <v>2017</v>
      </c>
      <c r="C24" s="200">
        <v>138887</v>
      </c>
      <c r="D24" s="150">
        <f t="shared" ref="D24:D37" si="6">C24*C$3*C$4*C$5*C$6*C$7*C$8</f>
        <v>58509.795012337578</v>
      </c>
      <c r="E24" s="150">
        <f t="shared" si="0"/>
        <v>58509.795012337578</v>
      </c>
      <c r="F24" s="149">
        <f t="shared" si="1"/>
        <v>11228.555612590664</v>
      </c>
      <c r="G24" s="149">
        <f t="shared" si="2"/>
        <v>6240.1748223160012</v>
      </c>
      <c r="H24" s="149">
        <f>C24*' ER Tanpa skenario'!$C$12*' ER Tanpa skenario'!$C$13*' ER Tanpa skenario'!$C$17*' ER Tanpa skenario'!$C$11</f>
        <v>2228.6338651128581</v>
      </c>
      <c r="I24" s="149">
        <f>(1-' ER Tanpa skenario'!$C$15)*' ER Tanpa skenario'!H24</f>
        <v>222.86338651128577</v>
      </c>
      <c r="J24" s="150">
        <f>C$14*(H24-I24-Flare!$E$23)*1000*(1-' ER Tanpa skenario'!$C$16)*(1/1000)</f>
        <v>8511.4024965937424</v>
      </c>
      <c r="K24" s="149">
        <f t="shared" si="3"/>
        <v>25980.132931500408</v>
      </c>
      <c r="L24" s="149">
        <f t="shared" si="4"/>
        <v>32529.66208083717</v>
      </c>
      <c r="M24" s="151">
        <f t="shared" si="5"/>
        <v>0.55596951030127273</v>
      </c>
    </row>
    <row r="25" spans="1:13" x14ac:dyDescent="0.25">
      <c r="B25" s="91">
        <v>2018</v>
      </c>
      <c r="C25" s="200">
        <v>135383</v>
      </c>
      <c r="D25" s="150">
        <f t="shared" si="6"/>
        <v>57033.643020263233</v>
      </c>
      <c r="E25" s="150">
        <f t="shared" si="0"/>
        <v>57033.643020263233</v>
      </c>
      <c r="F25" s="149">
        <f t="shared" si="1"/>
        <v>10945.26877605076</v>
      </c>
      <c r="G25" s="149">
        <f t="shared" si="2"/>
        <v>6082.7405586527702</v>
      </c>
      <c r="H25" s="149">
        <f>C25*' ER Tanpa skenario'!$C$12*' ER Tanpa skenario'!$C$13*' ER Tanpa skenario'!$C$17*' ER Tanpa skenario'!$C$11</f>
        <v>2172.4073423759896</v>
      </c>
      <c r="I25" s="149">
        <f>(1-' ER Tanpa skenario'!$C$15)*' ER Tanpa skenario'!H25</f>
        <v>217.24073423759893</v>
      </c>
      <c r="J25" s="150">
        <f>C$14*(H25-I25-Flare!$E$23)*1000*(1-' ER Tanpa skenario'!$C$16)*(1/1000)</f>
        <v>7802.9483101092028</v>
      </c>
      <c r="K25" s="149">
        <f t="shared" si="3"/>
        <v>24830.957644812734</v>
      </c>
      <c r="L25" s="149">
        <f t="shared" si="4"/>
        <v>32202.685375450499</v>
      </c>
      <c r="M25" s="151">
        <f t="shared" si="5"/>
        <v>0.56462613415750684</v>
      </c>
    </row>
    <row r="26" spans="1:13" x14ac:dyDescent="0.25">
      <c r="B26" s="152">
        <v>2019</v>
      </c>
      <c r="C26" s="200">
        <v>118902</v>
      </c>
      <c r="D26" s="150">
        <f t="shared" si="6"/>
        <v>50090.589087221728</v>
      </c>
      <c r="E26" s="150">
        <f t="shared" si="0"/>
        <v>50090.589087221728</v>
      </c>
      <c r="F26" s="149">
        <f t="shared" si="1"/>
        <v>9612.8343145741146</v>
      </c>
      <c r="G26" s="149">
        <f t="shared" si="2"/>
        <v>5342.2513750244243</v>
      </c>
      <c r="H26" s="149">
        <f>C26*' ER Tanpa skenario'!$C$12*' ER Tanpa skenario'!$C$13*' ER Tanpa skenario'!$C$17*' ER Tanpa skenario'!$C$11</f>
        <v>1907.9469196515806</v>
      </c>
      <c r="I26" s="149">
        <f>(1-' ER Tanpa skenario'!$C$15)*' ER Tanpa skenario'!H26</f>
        <v>190.79469196515802</v>
      </c>
      <c r="J26" s="150">
        <f>C$14*(H26-I26-Flare!$E$23)*1000*(1-' ER Tanpa skenario'!$C$16)*(1/1000)</f>
        <v>4470.746983781647</v>
      </c>
      <c r="K26" s="149">
        <f t="shared" si="3"/>
        <v>19425.832673380184</v>
      </c>
      <c r="L26" s="149">
        <f t="shared" si="4"/>
        <v>30664.756413841544</v>
      </c>
      <c r="M26" s="151">
        <f t="shared" si="5"/>
        <v>0.61218598089245113</v>
      </c>
    </row>
    <row r="27" spans="1:13" x14ac:dyDescent="0.25">
      <c r="B27" s="91">
        <v>2020</v>
      </c>
      <c r="C27" s="200">
        <f>C$18</f>
        <v>106267.08278</v>
      </c>
      <c r="D27" s="150">
        <f t="shared" si="6"/>
        <v>44767.798498181328</v>
      </c>
      <c r="E27" s="150">
        <f t="shared" si="0"/>
        <v>44767.798498181328</v>
      </c>
      <c r="F27" s="149">
        <f t="shared" si="1"/>
        <v>8591.3429535018076</v>
      </c>
      <c r="G27" s="149">
        <f t="shared" si="2"/>
        <v>4774.5661898142098</v>
      </c>
      <c r="H27" s="149">
        <f>C27*' ER Tanpa skenario'!$C$12*' ER Tanpa skenario'!$C$13*' ER Tanpa skenario'!$C$17*' ER Tanpa skenario'!$C$11</f>
        <v>1705.2022106479326</v>
      </c>
      <c r="I27" s="149">
        <f>(1-' ER Tanpa skenario'!$C$15)*' ER Tanpa skenario'!H27</f>
        <v>170.52022106479322</v>
      </c>
      <c r="J27" s="150">
        <f>C$14*(H27-I27-Flare!$E$23)*1000*(1-' ER Tanpa skenario'!$C$16)*(1/1000)</f>
        <v>1916.1636503356817</v>
      </c>
      <c r="K27" s="149">
        <f t="shared" si="3"/>
        <v>15282.0727936517</v>
      </c>
      <c r="L27" s="149">
        <f t="shared" si="4"/>
        <v>29485.725704529628</v>
      </c>
      <c r="M27" s="151">
        <f t="shared" si="5"/>
        <v>0.65863693756858455</v>
      </c>
    </row>
    <row r="28" spans="1:13" x14ac:dyDescent="0.25">
      <c r="B28" s="156">
        <v>2021</v>
      </c>
      <c r="C28" s="200">
        <f t="shared" ref="C28:C37" si="7">C$18</f>
        <v>106267.08278</v>
      </c>
      <c r="D28" s="159">
        <f t="shared" si="6"/>
        <v>44767.798498181328</v>
      </c>
      <c r="E28" s="159">
        <f t="shared" si="0"/>
        <v>44767.798498181328</v>
      </c>
      <c r="F28" s="158">
        <f t="shared" si="1"/>
        <v>8591.3429535018076</v>
      </c>
      <c r="G28" s="158">
        <f t="shared" si="2"/>
        <v>4774.5661898142098</v>
      </c>
      <c r="H28" s="158">
        <f>C28*' ER Tanpa skenario'!$C$12*' ER Tanpa skenario'!$C$13*' ER Tanpa skenario'!$C$17*' ER Tanpa skenario'!$C$11</f>
        <v>1705.2022106479326</v>
      </c>
      <c r="I28" s="158">
        <f>(1-' ER Tanpa skenario'!$C$15)*' ER Tanpa skenario'!H28</f>
        <v>170.52022106479322</v>
      </c>
      <c r="J28" s="159">
        <f>C$14*(H28-I28-Flare!$E$23)*1000*(1-' ER Tanpa skenario'!$C$16)*(1/1000)</f>
        <v>1916.1636503356817</v>
      </c>
      <c r="K28" s="158">
        <f>F28+G28+J28</f>
        <v>15282.0727936517</v>
      </c>
      <c r="L28" s="158">
        <f t="shared" si="4"/>
        <v>29485.725704529628</v>
      </c>
      <c r="M28" s="160">
        <f>L28/E28</f>
        <v>0.65863693756858455</v>
      </c>
    </row>
    <row r="29" spans="1:13" x14ac:dyDescent="0.25">
      <c r="B29" s="91">
        <v>2022</v>
      </c>
      <c r="C29" s="200">
        <f t="shared" si="7"/>
        <v>106267.08278</v>
      </c>
      <c r="D29" s="150">
        <f t="shared" si="6"/>
        <v>44767.798498181328</v>
      </c>
      <c r="E29" s="150">
        <f t="shared" si="0"/>
        <v>44767.798498181328</v>
      </c>
      <c r="F29" s="149">
        <f t="shared" si="1"/>
        <v>8591.3429535018076</v>
      </c>
      <c r="G29" s="149">
        <f t="shared" si="2"/>
        <v>4774.5661898142098</v>
      </c>
      <c r="H29" s="149">
        <f>C29*' ER Tanpa skenario'!$C$12*' ER Tanpa skenario'!$C$13*' ER Tanpa skenario'!$C$17*' ER Tanpa skenario'!$C$11</f>
        <v>1705.2022106479326</v>
      </c>
      <c r="I29" s="149">
        <f>(1-' ER Tanpa skenario'!$C$15)*' ER Tanpa skenario'!H29</f>
        <v>170.52022106479322</v>
      </c>
      <c r="J29" s="150">
        <f>C$14*(H29-I29-Flare!$E$23)*1000*(1-' ER Tanpa skenario'!$C$16)*(1/1000)</f>
        <v>1916.1636503356817</v>
      </c>
      <c r="K29" s="111">
        <f t="shared" ref="K29:K37" si="8">F29+G29+J29</f>
        <v>15282.0727936517</v>
      </c>
      <c r="L29" s="111">
        <f t="shared" si="4"/>
        <v>29485.725704529628</v>
      </c>
      <c r="M29" s="113">
        <f>L29/E29</f>
        <v>0.65863693756858455</v>
      </c>
    </row>
    <row r="30" spans="1:13" x14ac:dyDescent="0.25">
      <c r="B30" s="91">
        <v>2023</v>
      </c>
      <c r="C30" s="200">
        <f t="shared" si="7"/>
        <v>106267.08278</v>
      </c>
      <c r="D30" s="150">
        <f t="shared" si="6"/>
        <v>44767.798498181328</v>
      </c>
      <c r="E30" s="150">
        <f t="shared" si="0"/>
        <v>44767.798498181328</v>
      </c>
      <c r="F30" s="149">
        <f t="shared" si="1"/>
        <v>8591.3429535018076</v>
      </c>
      <c r="G30" s="149">
        <f t="shared" si="2"/>
        <v>4774.5661898142098</v>
      </c>
      <c r="H30" s="149">
        <f>C30*' ER Tanpa skenario'!$C$12*' ER Tanpa skenario'!$C$13*' ER Tanpa skenario'!$C$17*' ER Tanpa skenario'!$C$11</f>
        <v>1705.2022106479326</v>
      </c>
      <c r="I30" s="149">
        <f>(1-' ER Tanpa skenario'!$C$15)*' ER Tanpa skenario'!H30</f>
        <v>170.52022106479322</v>
      </c>
      <c r="J30" s="150">
        <f>C$14*(H30-I30-Flare!$E$23)*1000*(1-' ER Tanpa skenario'!$C$16)*(1/1000)</f>
        <v>1916.1636503356817</v>
      </c>
      <c r="K30" s="111">
        <f t="shared" si="8"/>
        <v>15282.0727936517</v>
      </c>
      <c r="L30" s="111">
        <f t="shared" si="4"/>
        <v>29485.725704529628</v>
      </c>
      <c r="M30" s="113">
        <f t="shared" ref="M30:M37" si="9">L30/E30</f>
        <v>0.65863693756858455</v>
      </c>
    </row>
    <row r="31" spans="1:13" x14ac:dyDescent="0.25">
      <c r="B31" s="91">
        <v>2024</v>
      </c>
      <c r="C31" s="200">
        <f t="shared" si="7"/>
        <v>106267.08278</v>
      </c>
      <c r="D31" s="150">
        <f t="shared" si="6"/>
        <v>44767.798498181328</v>
      </c>
      <c r="E31" s="150">
        <f t="shared" si="0"/>
        <v>44767.798498181328</v>
      </c>
      <c r="F31" s="149">
        <f t="shared" si="1"/>
        <v>8591.3429535018076</v>
      </c>
      <c r="G31" s="149">
        <f t="shared" si="2"/>
        <v>4774.5661898142098</v>
      </c>
      <c r="H31" s="149">
        <f>C31*' ER Tanpa skenario'!$C$12*' ER Tanpa skenario'!$C$13*' ER Tanpa skenario'!$C$17*' ER Tanpa skenario'!$C$11</f>
        <v>1705.2022106479326</v>
      </c>
      <c r="I31" s="149">
        <f>(1-' ER Tanpa skenario'!$C$15)*' ER Tanpa skenario'!H31</f>
        <v>170.52022106479322</v>
      </c>
      <c r="J31" s="150">
        <f>C$14*(H31-I31-Flare!$E$23)*1000*(1-' ER Tanpa skenario'!$C$16)*(1/1000)</f>
        <v>1916.1636503356817</v>
      </c>
      <c r="K31" s="111">
        <f t="shared" si="8"/>
        <v>15282.0727936517</v>
      </c>
      <c r="L31" s="111">
        <f t="shared" si="4"/>
        <v>29485.725704529628</v>
      </c>
      <c r="M31" s="113">
        <f t="shared" si="9"/>
        <v>0.65863693756858455</v>
      </c>
    </row>
    <row r="32" spans="1:13" x14ac:dyDescent="0.25">
      <c r="B32" s="91">
        <v>2025</v>
      </c>
      <c r="C32" s="200">
        <f t="shared" si="7"/>
        <v>106267.08278</v>
      </c>
      <c r="D32" s="150">
        <f t="shared" si="6"/>
        <v>44767.798498181328</v>
      </c>
      <c r="E32" s="150">
        <f t="shared" si="0"/>
        <v>44767.798498181328</v>
      </c>
      <c r="F32" s="149">
        <f t="shared" si="1"/>
        <v>8591.3429535018076</v>
      </c>
      <c r="G32" s="149">
        <f t="shared" si="2"/>
        <v>4774.5661898142098</v>
      </c>
      <c r="H32" s="149">
        <f>C32*' ER Tanpa skenario'!$C$12*' ER Tanpa skenario'!$C$13*' ER Tanpa skenario'!$C$17*' ER Tanpa skenario'!$C$11</f>
        <v>1705.2022106479326</v>
      </c>
      <c r="I32" s="149">
        <f>(1-' ER Tanpa skenario'!$C$15)*' ER Tanpa skenario'!H32</f>
        <v>170.52022106479322</v>
      </c>
      <c r="J32" s="150">
        <f>C$14*(H32-I32-Flare!$E$23)*1000*(1-' ER Tanpa skenario'!$C$16)*(1/1000)</f>
        <v>1916.1636503356817</v>
      </c>
      <c r="K32" s="111">
        <f t="shared" si="8"/>
        <v>15282.0727936517</v>
      </c>
      <c r="L32" s="111">
        <f t="shared" si="4"/>
        <v>29485.725704529628</v>
      </c>
      <c r="M32" s="113">
        <f t="shared" si="9"/>
        <v>0.65863693756858455</v>
      </c>
    </row>
    <row r="33" spans="2:13" x14ac:dyDescent="0.25">
      <c r="B33" s="91">
        <v>2026</v>
      </c>
      <c r="C33" s="200">
        <f t="shared" si="7"/>
        <v>106267.08278</v>
      </c>
      <c r="D33" s="150">
        <f t="shared" si="6"/>
        <v>44767.798498181328</v>
      </c>
      <c r="E33" s="150">
        <f t="shared" si="0"/>
        <v>44767.798498181328</v>
      </c>
      <c r="F33" s="149">
        <f t="shared" si="1"/>
        <v>8591.3429535018076</v>
      </c>
      <c r="G33" s="149">
        <f t="shared" si="2"/>
        <v>4774.5661898142098</v>
      </c>
      <c r="H33" s="149">
        <f>C33*' ER Tanpa skenario'!$C$12*' ER Tanpa skenario'!$C$13*' ER Tanpa skenario'!$C$17*' ER Tanpa skenario'!$C$11</f>
        <v>1705.2022106479326</v>
      </c>
      <c r="I33" s="149">
        <f>(1-' ER Tanpa skenario'!$C$15)*' ER Tanpa skenario'!H33</f>
        <v>170.52022106479322</v>
      </c>
      <c r="J33" s="150">
        <f>C$14*(H33-I33-Flare!$E$23)*1000*(1-' ER Tanpa skenario'!$C$16)*(1/1000)</f>
        <v>1916.1636503356817</v>
      </c>
      <c r="K33" s="111">
        <f t="shared" si="8"/>
        <v>15282.0727936517</v>
      </c>
      <c r="L33" s="111">
        <f t="shared" si="4"/>
        <v>29485.725704529628</v>
      </c>
      <c r="M33" s="113">
        <f t="shared" si="9"/>
        <v>0.65863693756858455</v>
      </c>
    </row>
    <row r="34" spans="2:13" x14ac:dyDescent="0.25">
      <c r="B34" s="91">
        <v>2027</v>
      </c>
      <c r="C34" s="200">
        <f t="shared" si="7"/>
        <v>106267.08278</v>
      </c>
      <c r="D34" s="150">
        <f t="shared" si="6"/>
        <v>44767.798498181328</v>
      </c>
      <c r="E34" s="150">
        <f t="shared" si="0"/>
        <v>44767.798498181328</v>
      </c>
      <c r="F34" s="149">
        <f t="shared" si="1"/>
        <v>8591.3429535018076</v>
      </c>
      <c r="G34" s="149">
        <f t="shared" si="2"/>
        <v>4774.5661898142098</v>
      </c>
      <c r="H34" s="149">
        <f>C34*' ER Tanpa skenario'!$C$12*' ER Tanpa skenario'!$C$13*' ER Tanpa skenario'!$C$17*' ER Tanpa skenario'!$C$11</f>
        <v>1705.2022106479326</v>
      </c>
      <c r="I34" s="149">
        <f>(1-' ER Tanpa skenario'!$C$15)*' ER Tanpa skenario'!H34</f>
        <v>170.52022106479322</v>
      </c>
      <c r="J34" s="150">
        <f>C$14*(H34-I34-Flare!$E$23)*1000*(1-' ER Tanpa skenario'!$C$16)*(1/1000)</f>
        <v>1916.1636503356817</v>
      </c>
      <c r="K34" s="111">
        <f t="shared" si="8"/>
        <v>15282.0727936517</v>
      </c>
      <c r="L34" s="111">
        <f t="shared" si="4"/>
        <v>29485.725704529628</v>
      </c>
      <c r="M34" s="113">
        <f t="shared" si="9"/>
        <v>0.65863693756858455</v>
      </c>
    </row>
    <row r="35" spans="2:13" x14ac:dyDescent="0.25">
      <c r="B35" s="91">
        <v>2028</v>
      </c>
      <c r="C35" s="200">
        <f t="shared" si="7"/>
        <v>106267.08278</v>
      </c>
      <c r="D35" s="150">
        <f t="shared" si="6"/>
        <v>44767.798498181328</v>
      </c>
      <c r="E35" s="150">
        <f t="shared" si="0"/>
        <v>44767.798498181328</v>
      </c>
      <c r="F35" s="149">
        <f t="shared" si="1"/>
        <v>8591.3429535018076</v>
      </c>
      <c r="G35" s="149">
        <f t="shared" si="2"/>
        <v>4774.5661898142098</v>
      </c>
      <c r="H35" s="149">
        <f>C35*' ER Tanpa skenario'!$C$12*' ER Tanpa skenario'!$C$13*' ER Tanpa skenario'!$C$17*' ER Tanpa skenario'!$C$11</f>
        <v>1705.2022106479326</v>
      </c>
      <c r="I35" s="149">
        <f>(1-' ER Tanpa skenario'!$C$15)*' ER Tanpa skenario'!H35</f>
        <v>170.52022106479322</v>
      </c>
      <c r="J35" s="150">
        <f>C$14*(H35-I35-Flare!$E$23)*1000*(1-' ER Tanpa skenario'!$C$16)*(1/1000)</f>
        <v>1916.1636503356817</v>
      </c>
      <c r="K35" s="111">
        <f t="shared" si="8"/>
        <v>15282.0727936517</v>
      </c>
      <c r="L35" s="111">
        <f t="shared" si="4"/>
        <v>29485.725704529628</v>
      </c>
      <c r="M35" s="113">
        <f t="shared" si="9"/>
        <v>0.65863693756858455</v>
      </c>
    </row>
    <row r="36" spans="2:13" x14ac:dyDescent="0.25">
      <c r="B36" s="91">
        <v>2029</v>
      </c>
      <c r="C36" s="200">
        <f t="shared" si="7"/>
        <v>106267.08278</v>
      </c>
      <c r="D36" s="150">
        <f t="shared" si="6"/>
        <v>44767.798498181328</v>
      </c>
      <c r="E36" s="150">
        <f t="shared" si="0"/>
        <v>44767.798498181328</v>
      </c>
      <c r="F36" s="149">
        <f t="shared" si="1"/>
        <v>8591.3429535018076</v>
      </c>
      <c r="G36" s="149">
        <f t="shared" si="2"/>
        <v>4774.5661898142098</v>
      </c>
      <c r="H36" s="149">
        <f>C36*' ER Tanpa skenario'!$C$12*' ER Tanpa skenario'!$C$13*' ER Tanpa skenario'!$C$17*' ER Tanpa skenario'!$C$11</f>
        <v>1705.2022106479326</v>
      </c>
      <c r="I36" s="149">
        <f>(1-' ER Tanpa skenario'!$C$15)*' ER Tanpa skenario'!H36</f>
        <v>170.52022106479322</v>
      </c>
      <c r="J36" s="150">
        <f>C$14*(H36-I36-Flare!$E$23)*1000*(1-' ER Tanpa skenario'!$C$16)*(1/1000)</f>
        <v>1916.1636503356817</v>
      </c>
      <c r="K36" s="111">
        <f t="shared" si="8"/>
        <v>15282.0727936517</v>
      </c>
      <c r="L36" s="111">
        <f t="shared" si="4"/>
        <v>29485.725704529628</v>
      </c>
      <c r="M36" s="113">
        <f>L36/E36</f>
        <v>0.65863693756858455</v>
      </c>
    </row>
    <row r="37" spans="2:13" x14ac:dyDescent="0.25">
      <c r="B37" s="91">
        <v>2030</v>
      </c>
      <c r="C37" s="200">
        <f t="shared" si="7"/>
        <v>106267.08278</v>
      </c>
      <c r="D37" s="150">
        <f t="shared" si="6"/>
        <v>44767.798498181328</v>
      </c>
      <c r="E37" s="150">
        <f t="shared" si="0"/>
        <v>44767.798498181328</v>
      </c>
      <c r="F37" s="149">
        <f t="shared" si="1"/>
        <v>8591.3429535018076</v>
      </c>
      <c r="G37" s="149">
        <f t="shared" si="2"/>
        <v>4774.5661898142098</v>
      </c>
      <c r="H37" s="149">
        <f>C37*' ER Tanpa skenario'!$C$12*' ER Tanpa skenario'!$C$13*' ER Tanpa skenario'!$C$17*' ER Tanpa skenario'!$C$11</f>
        <v>1705.2022106479326</v>
      </c>
      <c r="I37" s="149">
        <f>(1-' ER Tanpa skenario'!$C$15)*' ER Tanpa skenario'!H37</f>
        <v>170.52022106479322</v>
      </c>
      <c r="J37" s="150">
        <f>C$14*(H37-I37-Flare!$E$23)*1000*(1-' ER Tanpa skenario'!$C$16)*(1/1000)</f>
        <v>1916.1636503356817</v>
      </c>
      <c r="K37" s="111">
        <f t="shared" si="8"/>
        <v>15282.0727936517</v>
      </c>
      <c r="L37" s="111">
        <f t="shared" si="4"/>
        <v>29485.725704529628</v>
      </c>
      <c r="M37" s="113">
        <f t="shared" si="9"/>
        <v>0.65863693756858455</v>
      </c>
    </row>
    <row r="38" spans="2:13" x14ac:dyDescent="0.25"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61"/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K59"/>
  <sheetViews>
    <sheetView showGridLines="0" topLeftCell="A46" zoomScale="85" zoomScaleNormal="85" workbookViewId="0">
      <selection activeCell="E51" sqref="E51:E54"/>
    </sheetView>
  </sheetViews>
  <sheetFormatPr defaultColWidth="8.7109375" defaultRowHeight="15" x14ac:dyDescent="0.25"/>
  <cols>
    <col min="1" max="1" width="3.28515625" style="1" customWidth="1"/>
    <col min="2" max="2" width="23.42578125" style="4" customWidth="1"/>
    <col min="3" max="3" width="60.5703125" style="4" customWidth="1"/>
    <col min="4" max="4" width="19.140625" style="4" customWidth="1"/>
    <col min="5" max="5" width="20.7109375" style="5" customWidth="1"/>
    <col min="6" max="6" width="20.85546875" style="6" customWidth="1"/>
    <col min="7" max="7" width="78.42578125" style="4" customWidth="1"/>
    <col min="8" max="16384" width="8.7109375" style="7"/>
  </cols>
  <sheetData>
    <row r="1" spans="1:11" ht="16.5" thickBot="1" x14ac:dyDescent="0.3">
      <c r="B1" s="2" t="s">
        <v>0</v>
      </c>
      <c r="C1" s="3" t="s">
        <v>1</v>
      </c>
    </row>
    <row r="2" spans="1:11" ht="17.25" thickTop="1" thickBot="1" x14ac:dyDescent="0.3">
      <c r="B2" s="8" t="s">
        <v>2</v>
      </c>
      <c r="C2" s="3" t="s">
        <v>200</v>
      </c>
    </row>
    <row r="3" spans="1:11" ht="15.75" thickTop="1" x14ac:dyDescent="0.25">
      <c r="B3" s="9"/>
    </row>
    <row r="4" spans="1:11" x14ac:dyDescent="0.25">
      <c r="A4" s="10" t="s">
        <v>111</v>
      </c>
      <c r="B4" s="23" t="s">
        <v>13</v>
      </c>
      <c r="C4" s="19"/>
      <c r="D4" s="20"/>
      <c r="E4" s="21"/>
      <c r="F4" s="22"/>
      <c r="G4" s="19"/>
      <c r="H4" s="10"/>
      <c r="I4" s="14"/>
      <c r="J4" s="14"/>
      <c r="K4" s="10"/>
    </row>
    <row r="5" spans="1:11" s="10" customFormat="1" x14ac:dyDescent="0.25">
      <c r="B5" s="239" t="s">
        <v>3</v>
      </c>
      <c r="C5" s="239" t="s">
        <v>4</v>
      </c>
      <c r="D5" s="238" t="s">
        <v>5</v>
      </c>
      <c r="E5" s="240" t="s">
        <v>6</v>
      </c>
      <c r="F5" s="238" t="s">
        <v>7</v>
      </c>
      <c r="G5" s="238" t="s">
        <v>8</v>
      </c>
      <c r="H5" s="14"/>
      <c r="I5" s="14"/>
      <c r="J5" s="14"/>
      <c r="K5" s="14"/>
    </row>
    <row r="6" spans="1:11" s="10" customFormat="1" x14ac:dyDescent="0.25">
      <c r="B6" s="239"/>
      <c r="C6" s="239"/>
      <c r="D6" s="238"/>
      <c r="E6" s="241"/>
      <c r="F6" s="238"/>
      <c r="G6" s="238"/>
      <c r="H6" s="14"/>
      <c r="I6" s="14"/>
      <c r="J6" s="14"/>
      <c r="K6" s="14"/>
    </row>
    <row r="7" spans="1:11" s="14" customFormat="1" ht="28.5" x14ac:dyDescent="0.25">
      <c r="A7" s="24"/>
      <c r="B7" s="43" t="s">
        <v>14</v>
      </c>
      <c r="C7" s="11" t="s">
        <v>15</v>
      </c>
      <c r="D7" s="25" t="s">
        <v>16</v>
      </c>
      <c r="E7" s="117">
        <f>'Volume POME'!C18+('Volume POME'!C18*'Volume POME'!G10)</f>
        <v>107140.93022604875</v>
      </c>
      <c r="F7" s="25" t="s">
        <v>9</v>
      </c>
      <c r="G7" s="26" t="s">
        <v>201</v>
      </c>
      <c r="H7" s="10"/>
      <c r="I7" s="10"/>
      <c r="J7" s="10"/>
      <c r="K7" s="10"/>
    </row>
    <row r="8" spans="1:11" s="14" customFormat="1" ht="28.5" x14ac:dyDescent="0.25">
      <c r="A8" s="24"/>
      <c r="B8" s="43" t="s">
        <v>17</v>
      </c>
      <c r="C8" s="11" t="s">
        <v>18</v>
      </c>
      <c r="D8" s="25" t="s">
        <v>19</v>
      </c>
      <c r="E8" s="116">
        <f>COD!B24/1000</f>
        <v>8.8459418034887133E-2</v>
      </c>
      <c r="F8" s="25" t="s">
        <v>9</v>
      </c>
      <c r="G8" s="26" t="s">
        <v>128</v>
      </c>
      <c r="H8" s="10"/>
      <c r="I8" s="10"/>
      <c r="J8" s="10"/>
      <c r="K8" s="10"/>
    </row>
    <row r="9" spans="1:11" s="14" customFormat="1" x14ac:dyDescent="0.25">
      <c r="A9" s="24"/>
      <c r="B9" s="43" t="s">
        <v>20</v>
      </c>
      <c r="C9" s="11" t="s">
        <v>21</v>
      </c>
      <c r="D9" s="25" t="s">
        <v>77</v>
      </c>
      <c r="E9" s="88">
        <f>COD!B27</f>
        <v>0.95553119060258107</v>
      </c>
      <c r="F9" s="25" t="s">
        <v>12</v>
      </c>
      <c r="G9" s="27" t="s">
        <v>129</v>
      </c>
      <c r="H9" s="24"/>
      <c r="I9" s="24"/>
      <c r="J9" s="24"/>
      <c r="K9" s="24"/>
    </row>
    <row r="10" spans="1:11" s="14" customFormat="1" ht="28.5" x14ac:dyDescent="0.25">
      <c r="A10" s="24"/>
      <c r="B10" s="28" t="s">
        <v>23</v>
      </c>
      <c r="C10" s="11" t="s">
        <v>24</v>
      </c>
      <c r="D10" s="29" t="s">
        <v>22</v>
      </c>
      <c r="E10" s="30">
        <v>0.8</v>
      </c>
      <c r="F10" s="154" t="s">
        <v>10</v>
      </c>
      <c r="G10" s="13" t="s">
        <v>109</v>
      </c>
      <c r="H10" s="24"/>
      <c r="I10" s="24"/>
      <c r="J10" s="24"/>
      <c r="K10" s="24"/>
    </row>
    <row r="11" spans="1:11" s="10" customFormat="1" x14ac:dyDescent="0.25">
      <c r="A11" s="24"/>
      <c r="B11" s="28" t="s">
        <v>25</v>
      </c>
      <c r="C11" s="11" t="s">
        <v>26</v>
      </c>
      <c r="D11" s="29" t="s">
        <v>27</v>
      </c>
      <c r="E11" s="30">
        <v>0.25</v>
      </c>
      <c r="F11" s="154" t="s">
        <v>10</v>
      </c>
      <c r="G11" s="13" t="s">
        <v>28</v>
      </c>
      <c r="H11" s="24"/>
      <c r="I11" s="24"/>
      <c r="J11" s="24"/>
      <c r="K11" s="24"/>
    </row>
    <row r="12" spans="1:11" s="14" customFormat="1" ht="28.5" x14ac:dyDescent="0.25">
      <c r="A12" s="24"/>
      <c r="B12" s="28" t="s">
        <v>29</v>
      </c>
      <c r="C12" s="11" t="s">
        <v>30</v>
      </c>
      <c r="D12" s="29" t="s">
        <v>22</v>
      </c>
      <c r="E12" s="30">
        <v>0.89</v>
      </c>
      <c r="F12" s="154" t="s">
        <v>10</v>
      </c>
      <c r="G12" s="13" t="s">
        <v>31</v>
      </c>
      <c r="H12" s="24"/>
      <c r="I12" s="24"/>
      <c r="J12" s="24"/>
      <c r="K12" s="24"/>
    </row>
    <row r="13" spans="1:11" s="14" customFormat="1" x14ac:dyDescent="0.25">
      <c r="A13" s="24"/>
      <c r="B13" s="32" t="s">
        <v>32</v>
      </c>
      <c r="C13" s="11" t="s">
        <v>33</v>
      </c>
      <c r="D13" s="33" t="s">
        <v>22</v>
      </c>
      <c r="E13" s="34">
        <v>28</v>
      </c>
      <c r="F13" s="12" t="s">
        <v>10</v>
      </c>
      <c r="G13" s="26" t="s">
        <v>34</v>
      </c>
      <c r="H13" s="31"/>
      <c r="I13" s="31"/>
      <c r="J13" s="31"/>
      <c r="K13" s="31"/>
    </row>
    <row r="14" spans="1:11" s="10" customFormat="1" ht="57" x14ac:dyDescent="0.25">
      <c r="A14" s="24"/>
      <c r="B14" s="35" t="s">
        <v>35</v>
      </c>
      <c r="C14" s="36" t="s">
        <v>36</v>
      </c>
      <c r="D14" s="16" t="s">
        <v>11</v>
      </c>
      <c r="E14" s="17">
        <f>E7*E8*E9*E10*E11*E12*E13</f>
        <v>45135.929676335982</v>
      </c>
      <c r="F14" s="18" t="s">
        <v>12</v>
      </c>
      <c r="G14" s="13" t="s">
        <v>37</v>
      </c>
      <c r="H14" s="7"/>
      <c r="I14" s="7"/>
      <c r="J14" s="7"/>
      <c r="K14" s="7"/>
    </row>
    <row r="15" spans="1:11" s="10" customFormat="1" x14ac:dyDescent="0.25">
      <c r="A15" s="24"/>
      <c r="B15" s="37"/>
      <c r="C15" s="37"/>
      <c r="D15" s="38"/>
      <c r="E15" s="39"/>
      <c r="F15" s="38"/>
      <c r="G15" s="38"/>
    </row>
    <row r="16" spans="1:11" s="24" customFormat="1" x14ac:dyDescent="0.25">
      <c r="A16" s="1" t="s">
        <v>112</v>
      </c>
      <c r="B16" s="40" t="s">
        <v>39</v>
      </c>
      <c r="C16" s="41"/>
      <c r="D16" s="4"/>
      <c r="E16" s="5"/>
      <c r="F16" s="6"/>
      <c r="G16" s="4"/>
      <c r="H16" s="10"/>
      <c r="I16" s="10"/>
      <c r="J16" s="10"/>
      <c r="K16" s="10"/>
    </row>
    <row r="17" spans="1:11" s="24" customFormat="1" x14ac:dyDescent="0.25">
      <c r="A17" s="10"/>
      <c r="B17" s="230" t="s">
        <v>3</v>
      </c>
      <c r="C17" s="230" t="s">
        <v>4</v>
      </c>
      <c r="D17" s="231" t="s">
        <v>5</v>
      </c>
      <c r="E17" s="232" t="s">
        <v>6</v>
      </c>
      <c r="F17" s="231" t="s">
        <v>7</v>
      </c>
      <c r="G17" s="231" t="s">
        <v>8</v>
      </c>
      <c r="H17" s="7"/>
      <c r="I17" s="7"/>
      <c r="J17" s="7"/>
      <c r="K17" s="7"/>
    </row>
    <row r="18" spans="1:11" s="24" customFormat="1" x14ac:dyDescent="0.25">
      <c r="A18" s="10"/>
      <c r="B18" s="230"/>
      <c r="C18" s="230"/>
      <c r="D18" s="231"/>
      <c r="E18" s="233"/>
      <c r="F18" s="231"/>
      <c r="G18" s="231"/>
      <c r="H18" s="7"/>
      <c r="I18" s="7"/>
      <c r="J18" s="7"/>
      <c r="K18" s="7"/>
    </row>
    <row r="19" spans="1:11" s="24" customFormat="1" ht="28.5" x14ac:dyDescent="0.25">
      <c r="A19" s="1"/>
      <c r="B19" s="43" t="s">
        <v>40</v>
      </c>
      <c r="C19" s="15" t="s">
        <v>41</v>
      </c>
      <c r="D19" s="25" t="s">
        <v>16</v>
      </c>
      <c r="E19" s="119">
        <f>E7</f>
        <v>107140.93022604875</v>
      </c>
      <c r="F19" s="25" t="s">
        <v>9</v>
      </c>
      <c r="G19" s="26" t="str">
        <f>G7</f>
        <v>Volume air limbah yang diolah untuk pemulihan metana menjadi biogas pada tahun 2020|  'Volume POME' [C18]+('Volume POME' [C18]*1%)</v>
      </c>
      <c r="H19" s="7"/>
      <c r="I19" s="7"/>
      <c r="J19" s="7"/>
      <c r="K19" s="7"/>
    </row>
    <row r="20" spans="1:11" s="31" customFormat="1" ht="28.5" x14ac:dyDescent="0.25">
      <c r="A20" s="1"/>
      <c r="B20" s="43" t="s">
        <v>42</v>
      </c>
      <c r="C20" s="15" t="s">
        <v>43</v>
      </c>
      <c r="D20" s="25" t="s">
        <v>19</v>
      </c>
      <c r="E20" s="118">
        <f>COD!B33/1000</f>
        <v>1.6823783840205955E-2</v>
      </c>
      <c r="F20" s="25" t="s">
        <v>9</v>
      </c>
      <c r="G20" s="26" t="s">
        <v>130</v>
      </c>
      <c r="H20" s="108"/>
      <c r="I20" s="10"/>
      <c r="J20" s="10"/>
      <c r="K20" s="10"/>
    </row>
    <row r="21" spans="1:11" x14ac:dyDescent="0.25">
      <c r="B21" s="43" t="s">
        <v>44</v>
      </c>
      <c r="C21" s="15" t="s">
        <v>45</v>
      </c>
      <c r="D21" s="25" t="s">
        <v>77</v>
      </c>
      <c r="E21" s="109">
        <f>COD!B36</f>
        <v>0.76618309903630788</v>
      </c>
      <c r="F21" s="25" t="s">
        <v>12</v>
      </c>
      <c r="G21" s="27" t="s">
        <v>131</v>
      </c>
      <c r="H21" s="42"/>
      <c r="I21" s="42"/>
      <c r="J21" s="42"/>
      <c r="K21" s="42"/>
    </row>
    <row r="22" spans="1:11" s="10" customFormat="1" ht="50.25" customHeight="1" x14ac:dyDescent="0.25">
      <c r="A22" s="1"/>
      <c r="B22" s="28" t="s">
        <v>46</v>
      </c>
      <c r="C22" s="15" t="s">
        <v>47</v>
      </c>
      <c r="D22" s="29" t="s">
        <v>22</v>
      </c>
      <c r="E22" s="44">
        <f>E10</f>
        <v>0.8</v>
      </c>
      <c r="F22" s="154" t="s">
        <v>10</v>
      </c>
      <c r="G22" s="13" t="str">
        <f>G10</f>
        <v>Tabel 6.3 Bab 6 Hal 13 dari Vol. 5 (Limbah) dari IPCC (2006) | Kedalaman kolam &gt; 2 meter</v>
      </c>
      <c r="H22" s="42"/>
      <c r="I22" s="42"/>
      <c r="J22" s="42"/>
      <c r="K22" s="42"/>
    </row>
    <row r="23" spans="1:11" s="10" customFormat="1" x14ac:dyDescent="0.25">
      <c r="A23" s="1"/>
      <c r="B23" s="28" t="s">
        <v>25</v>
      </c>
      <c r="C23" s="15" t="s">
        <v>26</v>
      </c>
      <c r="D23" s="29" t="s">
        <v>27</v>
      </c>
      <c r="E23" s="45">
        <f>E11</f>
        <v>0.25</v>
      </c>
      <c r="F23" s="12" t="s">
        <v>10</v>
      </c>
      <c r="G23" s="13" t="str">
        <f>G11</f>
        <v xml:space="preserve">Tabel 6.2 Bab 6 Hal 12 dari Vol. 5 (Limbah) dari IPCC (2006) </v>
      </c>
      <c r="H23" s="7"/>
      <c r="I23" s="7"/>
      <c r="J23" s="7"/>
      <c r="K23" s="7"/>
    </row>
    <row r="24" spans="1:11" ht="28.5" x14ac:dyDescent="0.25">
      <c r="B24" s="28" t="s">
        <v>48</v>
      </c>
      <c r="C24" s="15" t="s">
        <v>30</v>
      </c>
      <c r="D24" s="29" t="s">
        <v>22</v>
      </c>
      <c r="E24" s="45">
        <v>1.1200000000000001</v>
      </c>
      <c r="F24" s="12" t="s">
        <v>10</v>
      </c>
      <c r="G24" s="13" t="s">
        <v>49</v>
      </c>
      <c r="H24" s="10"/>
      <c r="I24" s="10"/>
      <c r="J24" s="10"/>
      <c r="K24" s="10"/>
    </row>
    <row r="25" spans="1:11" x14ac:dyDescent="0.25">
      <c r="B25" s="32" t="s">
        <v>32</v>
      </c>
      <c r="C25" s="15" t="s">
        <v>33</v>
      </c>
      <c r="D25" s="33" t="s">
        <v>22</v>
      </c>
      <c r="E25" s="46">
        <f>E13</f>
        <v>28</v>
      </c>
      <c r="F25" s="12" t="s">
        <v>10</v>
      </c>
      <c r="G25" s="26" t="s">
        <v>34</v>
      </c>
      <c r="H25" s="10"/>
      <c r="I25" s="10"/>
      <c r="J25" s="10"/>
      <c r="K25" s="10"/>
    </row>
    <row r="26" spans="1:11" ht="57" x14ac:dyDescent="0.25">
      <c r="B26" s="47" t="s">
        <v>50</v>
      </c>
      <c r="C26" s="48" t="s">
        <v>51</v>
      </c>
      <c r="D26" s="16" t="s">
        <v>11</v>
      </c>
      <c r="E26" s="165">
        <f>E19*E20*E21*E22*E23*E24*E25</f>
        <v>8661.9906357534128</v>
      </c>
      <c r="F26" s="12" t="s">
        <v>12</v>
      </c>
      <c r="G26" s="26" t="s">
        <v>52</v>
      </c>
    </row>
    <row r="27" spans="1:11" s="10" customFormat="1" x14ac:dyDescent="0.25">
      <c r="A27" s="50"/>
      <c r="B27" s="51"/>
      <c r="C27" s="51"/>
      <c r="D27" s="52"/>
      <c r="E27" s="53"/>
      <c r="F27" s="54"/>
      <c r="G27" s="55"/>
      <c r="H27" s="7"/>
      <c r="I27" s="7"/>
      <c r="J27" s="7"/>
      <c r="K27" s="7"/>
    </row>
    <row r="28" spans="1:11" s="42" customFormat="1" x14ac:dyDescent="0.25">
      <c r="A28" s="1" t="s">
        <v>38</v>
      </c>
      <c r="B28" s="40" t="s">
        <v>54</v>
      </c>
      <c r="C28" s="4"/>
      <c r="D28" s="4"/>
      <c r="E28" s="5"/>
      <c r="F28" s="6"/>
      <c r="G28" s="4"/>
      <c r="H28" s="7"/>
      <c r="I28" s="7"/>
      <c r="J28" s="7"/>
      <c r="K28" s="7"/>
    </row>
    <row r="29" spans="1:11" s="42" customFormat="1" x14ac:dyDescent="0.25">
      <c r="A29" s="10"/>
      <c r="B29" s="230" t="s">
        <v>3</v>
      </c>
      <c r="C29" s="230" t="s">
        <v>4</v>
      </c>
      <c r="D29" s="231" t="s">
        <v>5</v>
      </c>
      <c r="E29" s="232" t="s">
        <v>6</v>
      </c>
      <c r="F29" s="231" t="s">
        <v>7</v>
      </c>
      <c r="G29" s="231" t="s">
        <v>8</v>
      </c>
      <c r="H29" s="10"/>
      <c r="I29" s="7"/>
      <c r="J29" s="7"/>
      <c r="K29" s="7"/>
    </row>
    <row r="30" spans="1:11" x14ac:dyDescent="0.25">
      <c r="A30" s="10"/>
      <c r="B30" s="230"/>
      <c r="C30" s="230"/>
      <c r="D30" s="231"/>
      <c r="E30" s="233"/>
      <c r="F30" s="231"/>
      <c r="G30" s="231"/>
      <c r="I30" s="10"/>
      <c r="J30" s="10"/>
      <c r="K30" s="10"/>
    </row>
    <row r="31" spans="1:11" s="10" customFormat="1" ht="28.5" x14ac:dyDescent="0.25">
      <c r="A31" s="1"/>
      <c r="B31" s="32" t="s">
        <v>55</v>
      </c>
      <c r="C31" s="11" t="s">
        <v>56</v>
      </c>
      <c r="D31" s="56" t="s">
        <v>22</v>
      </c>
      <c r="E31" s="44">
        <v>0.9</v>
      </c>
      <c r="F31" s="57" t="s">
        <v>10</v>
      </c>
      <c r="G31" s="13" t="s">
        <v>57</v>
      </c>
      <c r="H31" s="7"/>
      <c r="I31" s="7"/>
      <c r="J31" s="7"/>
      <c r="K31" s="7"/>
    </row>
    <row r="32" spans="1:11" s="10" customFormat="1" ht="28.5" x14ac:dyDescent="0.25">
      <c r="A32" s="1"/>
      <c r="B32" s="32" t="s">
        <v>58</v>
      </c>
      <c r="C32" s="58" t="s">
        <v>59</v>
      </c>
      <c r="D32" s="25" t="s">
        <v>16</v>
      </c>
      <c r="E32" s="119">
        <f>E7</f>
        <v>107140.93022604875</v>
      </c>
      <c r="F32" s="25" t="s">
        <v>9</v>
      </c>
      <c r="G32" s="26" t="str">
        <f>G7</f>
        <v>Volume air limbah yang diolah untuk pemulihan metana menjadi biogas pada tahun 2020|  'Volume POME' [C18]+('Volume POME' [C18]*1%)</v>
      </c>
      <c r="H32" s="7"/>
      <c r="I32" s="7"/>
      <c r="J32" s="7"/>
      <c r="K32" s="7"/>
    </row>
    <row r="33" spans="1:11" x14ac:dyDescent="0.25">
      <c r="B33" s="32" t="s">
        <v>25</v>
      </c>
      <c r="C33" s="11" t="s">
        <v>26</v>
      </c>
      <c r="D33" s="29" t="s">
        <v>27</v>
      </c>
      <c r="E33" s="45">
        <f>E23</f>
        <v>0.25</v>
      </c>
      <c r="F33" s="12" t="s">
        <v>10</v>
      </c>
      <c r="G33" s="13" t="str">
        <f>G23</f>
        <v xml:space="preserve">Tabel 6.2 Bab 6 Hal 12 dari Vol. 5 (Limbah) dari IPCC (2006) </v>
      </c>
      <c r="H33" s="10"/>
    </row>
    <row r="34" spans="1:11" ht="46.5" customHeight="1" x14ac:dyDescent="0.25">
      <c r="B34" s="32" t="s">
        <v>48</v>
      </c>
      <c r="C34" s="11" t="s">
        <v>30</v>
      </c>
      <c r="D34" s="29" t="s">
        <v>22</v>
      </c>
      <c r="E34" s="45">
        <f>E24</f>
        <v>1.1200000000000001</v>
      </c>
      <c r="F34" s="12" t="s">
        <v>10</v>
      </c>
      <c r="G34" s="13" t="str">
        <f>G24</f>
        <v>CDM AMS III H UNFCCC (2019) Hal 21</v>
      </c>
      <c r="H34" s="10"/>
      <c r="I34" s="10"/>
      <c r="J34" s="10"/>
      <c r="K34" s="10"/>
    </row>
    <row r="35" spans="1:11" ht="42.75" x14ac:dyDescent="0.25">
      <c r="B35" s="28" t="s">
        <v>60</v>
      </c>
      <c r="C35" s="32" t="s">
        <v>61</v>
      </c>
      <c r="D35" s="59" t="s">
        <v>19</v>
      </c>
      <c r="E35" s="118">
        <f>COD!B46/1000</f>
        <v>7.1635634194681191E-2</v>
      </c>
      <c r="F35" s="57" t="s">
        <v>12</v>
      </c>
      <c r="G35" s="26" t="s">
        <v>132</v>
      </c>
      <c r="H35" s="14"/>
      <c r="I35" s="10"/>
      <c r="J35" s="10"/>
      <c r="K35" s="10"/>
    </row>
    <row r="36" spans="1:11" ht="42.75" x14ac:dyDescent="0.25">
      <c r="B36" s="28" t="s">
        <v>46</v>
      </c>
      <c r="C36" s="32" t="s">
        <v>62</v>
      </c>
      <c r="D36" s="59" t="s">
        <v>22</v>
      </c>
      <c r="E36" s="44">
        <f>E22</f>
        <v>0.8</v>
      </c>
      <c r="F36" s="12" t="s">
        <v>10</v>
      </c>
      <c r="G36" s="89" t="str">
        <f>G10</f>
        <v>Tabel 6.3 Bab 6 Hal 13 dari Vol. 5 (Limbah) dari IPCC (2006) | Kedalaman kolam &gt; 2 meter</v>
      </c>
      <c r="H36" s="14"/>
      <c r="I36" s="14"/>
      <c r="J36" s="14"/>
      <c r="K36" s="14"/>
    </row>
    <row r="37" spans="1:11" s="10" customFormat="1" x14ac:dyDescent="0.25">
      <c r="A37" s="1"/>
      <c r="B37" s="32" t="s">
        <v>32</v>
      </c>
      <c r="C37" s="11" t="s">
        <v>33</v>
      </c>
      <c r="D37" s="33" t="s">
        <v>22</v>
      </c>
      <c r="E37" s="46">
        <f>E25</f>
        <v>28</v>
      </c>
      <c r="F37" s="12" t="s">
        <v>10</v>
      </c>
      <c r="G37" s="26" t="s">
        <v>34</v>
      </c>
      <c r="H37" s="14"/>
      <c r="I37" s="14"/>
      <c r="J37" s="14"/>
      <c r="K37" s="14"/>
    </row>
    <row r="38" spans="1:11" ht="42.75" x14ac:dyDescent="0.25">
      <c r="A38" s="10"/>
      <c r="B38" s="60" t="s">
        <v>63</v>
      </c>
      <c r="C38" s="61" t="s">
        <v>64</v>
      </c>
      <c r="D38" s="16" t="s">
        <v>11</v>
      </c>
      <c r="E38" s="62">
        <f>(1-E31)*(E32*E33*E34*E35*E36)*E37</f>
        <v>4813.8280417613232</v>
      </c>
      <c r="F38" s="18" t="s">
        <v>12</v>
      </c>
      <c r="G38" s="13" t="s">
        <v>65</v>
      </c>
      <c r="H38" s="14"/>
      <c r="I38" s="14"/>
      <c r="J38" s="14"/>
      <c r="K38" s="14"/>
    </row>
    <row r="39" spans="1:11" x14ac:dyDescent="0.25">
      <c r="H39" s="10"/>
      <c r="I39" s="14"/>
      <c r="J39" s="14"/>
      <c r="K39" s="14"/>
    </row>
    <row r="40" spans="1:11" x14ac:dyDescent="0.25">
      <c r="A40" s="1" t="s">
        <v>53</v>
      </c>
      <c r="B40" s="40" t="s">
        <v>67</v>
      </c>
      <c r="I40" s="10"/>
      <c r="J40" s="10"/>
      <c r="K40" s="10"/>
    </row>
    <row r="41" spans="1:11" s="10" customFormat="1" x14ac:dyDescent="0.25">
      <c r="B41" s="230" t="s">
        <v>3</v>
      </c>
      <c r="C41" s="230" t="s">
        <v>4</v>
      </c>
      <c r="D41" s="231" t="s">
        <v>5</v>
      </c>
      <c r="E41" s="232" t="s">
        <v>6</v>
      </c>
      <c r="F41" s="231" t="s">
        <v>7</v>
      </c>
      <c r="G41" s="231" t="s">
        <v>8</v>
      </c>
      <c r="H41" s="7"/>
      <c r="I41" s="7"/>
      <c r="J41" s="7"/>
      <c r="K41" s="7"/>
    </row>
    <row r="42" spans="1:11" s="10" customFormat="1" x14ac:dyDescent="0.25">
      <c r="B42" s="230"/>
      <c r="C42" s="230"/>
      <c r="D42" s="231"/>
      <c r="E42" s="233"/>
      <c r="F42" s="231"/>
      <c r="G42" s="231"/>
      <c r="H42" s="7"/>
      <c r="I42" s="7"/>
      <c r="J42" s="7"/>
      <c r="K42" s="7"/>
    </row>
    <row r="43" spans="1:11" s="14" customFormat="1" x14ac:dyDescent="0.25">
      <c r="A43" s="1"/>
      <c r="B43" s="32" t="s">
        <v>32</v>
      </c>
      <c r="C43" s="11" t="s">
        <v>33</v>
      </c>
      <c r="D43" s="33" t="s">
        <v>22</v>
      </c>
      <c r="E43" s="46">
        <f>E37</f>
        <v>28</v>
      </c>
      <c r="F43" s="12" t="s">
        <v>10</v>
      </c>
      <c r="G43" s="26" t="s">
        <v>34</v>
      </c>
      <c r="H43" s="7"/>
      <c r="I43" s="7"/>
      <c r="J43" s="7"/>
      <c r="K43" s="7"/>
    </row>
    <row r="44" spans="1:11" s="14" customFormat="1" ht="28.5" x14ac:dyDescent="0.25">
      <c r="A44" s="1"/>
      <c r="B44" s="32" t="s">
        <v>142</v>
      </c>
      <c r="C44" s="58" t="s">
        <v>192</v>
      </c>
      <c r="D44" s="25" t="s">
        <v>170</v>
      </c>
      <c r="E44" s="44">
        <f>('Flare POME naik'!E11-'Flare POME naik'!E23-'Flare POME naik'!E30)*1000</f>
        <v>149488.71314983509</v>
      </c>
      <c r="F44" s="25" t="s">
        <v>12</v>
      </c>
      <c r="G44" s="26" t="s">
        <v>202</v>
      </c>
      <c r="H44" s="7"/>
      <c r="I44" s="7"/>
      <c r="J44" s="7"/>
      <c r="K44" s="7"/>
    </row>
    <row r="45" spans="1:11" s="14" customFormat="1" x14ac:dyDescent="0.25">
      <c r="A45" s="1"/>
      <c r="B45" s="32" t="s">
        <v>193</v>
      </c>
      <c r="C45" s="11" t="s">
        <v>191</v>
      </c>
      <c r="D45" s="29" t="s">
        <v>22</v>
      </c>
      <c r="E45" s="44">
        <v>0.5</v>
      </c>
      <c r="F45" s="12" t="s">
        <v>10</v>
      </c>
      <c r="G45" s="63" t="s">
        <v>110</v>
      </c>
      <c r="H45" s="7"/>
      <c r="I45" s="7"/>
      <c r="J45" s="7"/>
      <c r="K45" s="7"/>
    </row>
    <row r="46" spans="1:11" s="14" customFormat="1" ht="30" x14ac:dyDescent="0.25">
      <c r="A46" s="10"/>
      <c r="B46" s="64" t="s">
        <v>69</v>
      </c>
      <c r="C46" s="61" t="s">
        <v>70</v>
      </c>
      <c r="D46" s="16" t="s">
        <v>11</v>
      </c>
      <c r="E46" s="17">
        <f>E43*E44*(1-E45)*(1/1000)</f>
        <v>2092.8419840976912</v>
      </c>
      <c r="F46" s="18" t="s">
        <v>12</v>
      </c>
      <c r="G46" s="26" t="s">
        <v>171</v>
      </c>
      <c r="H46" s="7"/>
      <c r="I46" s="7"/>
      <c r="J46" s="7"/>
      <c r="K46" s="7"/>
    </row>
    <row r="47" spans="1:11" s="10" customFormat="1" x14ac:dyDescent="0.25">
      <c r="A47" s="1"/>
      <c r="B47" s="4"/>
      <c r="C47" s="4"/>
      <c r="D47" s="4"/>
      <c r="E47" s="5"/>
      <c r="F47" s="6"/>
      <c r="G47" s="4"/>
      <c r="H47" s="7"/>
      <c r="I47" s="7"/>
      <c r="J47" s="7"/>
      <c r="K47" s="7"/>
    </row>
    <row r="48" spans="1:11" x14ac:dyDescent="0.25">
      <c r="A48" s="1" t="s">
        <v>66</v>
      </c>
      <c r="B48" s="65" t="s">
        <v>71</v>
      </c>
    </row>
    <row r="49" spans="1:7" x14ac:dyDescent="0.25">
      <c r="A49" s="10"/>
      <c r="B49" s="234" t="s">
        <v>3</v>
      </c>
      <c r="C49" s="234" t="s">
        <v>4</v>
      </c>
      <c r="D49" s="236" t="s">
        <v>5</v>
      </c>
      <c r="E49" s="236" t="s">
        <v>6</v>
      </c>
      <c r="F49" s="236" t="s">
        <v>7</v>
      </c>
      <c r="G49" s="229" t="s">
        <v>8</v>
      </c>
    </row>
    <row r="50" spans="1:7" x14ac:dyDescent="0.25">
      <c r="A50" s="10"/>
      <c r="B50" s="235"/>
      <c r="C50" s="235"/>
      <c r="D50" s="237"/>
      <c r="E50" s="237"/>
      <c r="F50" s="237"/>
      <c r="G50" s="229"/>
    </row>
    <row r="51" spans="1:7" ht="57" x14ac:dyDescent="0.25">
      <c r="A51" s="10"/>
      <c r="B51" s="66" t="str">
        <f t="shared" ref="B51:G51" si="0">B14</f>
        <v>BEww,treatment,y</v>
      </c>
      <c r="C51" s="32" t="str">
        <f t="shared" si="0"/>
        <v>Emisi baseline dari sistem pengolahan air limbah yang dipengaruhi oleh aktivitas proyek pada tahun y</v>
      </c>
      <c r="D51" s="67" t="str">
        <f t="shared" si="0"/>
        <v xml:space="preserve">t CO2e </v>
      </c>
      <c r="E51" s="139">
        <f t="shared" si="0"/>
        <v>45135.929676335982</v>
      </c>
      <c r="F51" s="67" t="str">
        <f t="shared" si="0"/>
        <v>Perhitungan</v>
      </c>
      <c r="G51" s="32" t="str">
        <f t="shared" si="0"/>
        <v>CDM AMS III H UNFCCC V.19.0 P.13 (2019) | BEww,treatment,y = penjumlahan dari i untuk (Qww,i,y*CODinflow,i,y*ⴄCOD,BL,i*MCFww,treatment,BL,i)*Bo,ww*UFBL* GWPCH4</v>
      </c>
    </row>
    <row r="52" spans="1:7" ht="57" x14ac:dyDescent="0.25">
      <c r="A52" s="10"/>
      <c r="B52" s="66" t="str">
        <f t="shared" ref="B52:G52" si="1">B26</f>
        <v>PEww,treatment,y</v>
      </c>
      <c r="C52" s="68" t="str">
        <f t="shared" si="1"/>
        <v xml:space="preserve">Emisi Proyek dari  sistem pengolahan air limbah  dipengaruhi oleh aktivitas proyek tidak dilengkapi  dengan pemulihan biogas, pada tahun y </v>
      </c>
      <c r="D52" s="69" t="str">
        <f t="shared" si="1"/>
        <v xml:space="preserve">t CO2e </v>
      </c>
      <c r="E52" s="196">
        <f t="shared" si="1"/>
        <v>8661.9906357534128</v>
      </c>
      <c r="F52" s="69" t="str">
        <f t="shared" si="1"/>
        <v>Perhitungan</v>
      </c>
      <c r="G52" s="68" t="str">
        <f t="shared" si="1"/>
        <v>CDM AMS III H UNFCCC V.19.0 P.21 (2019) | PEww,treatment,y = penjumlahan dari i untuk (Qww,k,y*CODinflow,k,y*ⴄCOD,PJ,k*MCFww,treatment,PJ,k)*Bo,ww*UFPJ* GWPCH4</v>
      </c>
    </row>
    <row r="53" spans="1:7" ht="42.75" x14ac:dyDescent="0.25">
      <c r="A53" s="10"/>
      <c r="B53" s="66" t="str">
        <f t="shared" ref="B53:G53" si="2">B38</f>
        <v>PEfugitive,ww,y</v>
      </c>
      <c r="C53" s="32" t="str">
        <f t="shared" si="2"/>
        <v xml:space="preserve">Emisi fugitive melalui inefisiensi penangkapan dalam  sistem pengolahan air limbah anaerobik di tahun y </v>
      </c>
      <c r="D53" s="67" t="str">
        <f t="shared" si="2"/>
        <v xml:space="preserve">t CO2e </v>
      </c>
      <c r="E53" s="139">
        <f t="shared" si="2"/>
        <v>4813.8280417613232</v>
      </c>
      <c r="F53" s="67" t="str">
        <f t="shared" si="2"/>
        <v>Perhitungan</v>
      </c>
      <c r="G53" s="32" t="str">
        <f t="shared" si="2"/>
        <v>CDM AMS III H UNFCCC V.19.0 P.23 (2019) | PEfugitive,ww,y = (1-CFEww)*(Qww,y* Boww*UFPJ)*penjumlahan dari k untuk (CODremoval,PJ,k,y* MCFww,treatment,PJ,k)*GWPCH4</v>
      </c>
    </row>
    <row r="54" spans="1:7" ht="42" customHeight="1" x14ac:dyDescent="0.25">
      <c r="A54" s="10"/>
      <c r="B54" s="70" t="str">
        <f t="shared" ref="B54:G54" si="3">B46</f>
        <v>PEflare,y</v>
      </c>
      <c r="C54" s="68" t="str">
        <f t="shared" si="3"/>
        <v xml:space="preserve">Emisi gas metana akibat flaring yang tidak sempurna pada  tahun y </v>
      </c>
      <c r="D54" s="71" t="str">
        <f t="shared" si="3"/>
        <v xml:space="preserve">t CO2e </v>
      </c>
      <c r="E54" s="197">
        <f t="shared" si="3"/>
        <v>2092.8419840976912</v>
      </c>
      <c r="F54" s="71" t="str">
        <f t="shared" si="3"/>
        <v>Perhitungan</v>
      </c>
      <c r="G54" s="68" t="str">
        <f t="shared" si="3"/>
        <v>Tool 06 V.03.0 P.13 UNFCCC (2019) | PEflare,y = GWPCH4*penjumlahan dari H = 1 menuju 8760 untuk (TM,RG,h)*(1-ⴄflare,m)*(1/1000)</v>
      </c>
    </row>
    <row r="55" spans="1:7" ht="30" x14ac:dyDescent="0.25">
      <c r="A55" s="10"/>
      <c r="B55" s="72" t="s">
        <v>72</v>
      </c>
      <c r="C55" s="73" t="s">
        <v>73</v>
      </c>
      <c r="D55" s="74" t="s">
        <v>11</v>
      </c>
      <c r="E55" s="75">
        <f>E51-SUM(E52:E54)</f>
        <v>29567.269014723555</v>
      </c>
      <c r="F55" s="18" t="s">
        <v>12</v>
      </c>
      <c r="G55" s="73" t="s">
        <v>74</v>
      </c>
    </row>
    <row r="56" spans="1:7" ht="30" x14ac:dyDescent="0.25">
      <c r="B56" s="72" t="s">
        <v>75</v>
      </c>
      <c r="C56" s="76" t="s">
        <v>76</v>
      </c>
      <c r="D56" s="77" t="s">
        <v>77</v>
      </c>
      <c r="E56" s="78">
        <f>(E51-SUM(E52:E54))/E51</f>
        <v>0.65507167409083378</v>
      </c>
      <c r="F56" s="18" t="s">
        <v>12</v>
      </c>
      <c r="G56" s="73" t="s">
        <v>78</v>
      </c>
    </row>
    <row r="58" spans="1:7" x14ac:dyDescent="0.25">
      <c r="D58" s="65"/>
    </row>
    <row r="59" spans="1:7" x14ac:dyDescent="0.25">
      <c r="D59" s="65"/>
    </row>
  </sheetData>
  <mergeCells count="30">
    <mergeCell ref="G49:G50"/>
    <mergeCell ref="B41:B42"/>
    <mergeCell ref="C41:C42"/>
    <mergeCell ref="D41:D42"/>
    <mergeCell ref="E41:E42"/>
    <mergeCell ref="F41:F42"/>
    <mergeCell ref="G41:G42"/>
    <mergeCell ref="B49:B50"/>
    <mergeCell ref="C49:C50"/>
    <mergeCell ref="D49:D50"/>
    <mergeCell ref="E49:E50"/>
    <mergeCell ref="F49:F50"/>
    <mergeCell ref="G29:G30"/>
    <mergeCell ref="B17:B18"/>
    <mergeCell ref="C17:C18"/>
    <mergeCell ref="D17:D18"/>
    <mergeCell ref="E17:E18"/>
    <mergeCell ref="F17:F18"/>
    <mergeCell ref="G17:G18"/>
    <mergeCell ref="B29:B30"/>
    <mergeCell ref="C29:C30"/>
    <mergeCell ref="D29:D30"/>
    <mergeCell ref="E29:E30"/>
    <mergeCell ref="F29:F30"/>
    <mergeCell ref="G5:G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1"/>
  <sheetViews>
    <sheetView showGridLines="0" topLeftCell="C22" zoomScale="85" zoomScaleNormal="85" workbookViewId="0">
      <selection activeCell="E23" sqref="E23"/>
    </sheetView>
  </sheetViews>
  <sheetFormatPr defaultColWidth="8.7109375" defaultRowHeight="15" x14ac:dyDescent="0.25"/>
  <cols>
    <col min="1" max="1" width="3.28515625" style="1" customWidth="1"/>
    <col min="2" max="2" width="23.42578125" style="4" customWidth="1"/>
    <col min="3" max="3" width="60.5703125" style="4" customWidth="1"/>
    <col min="4" max="4" width="19.140625" style="4" customWidth="1"/>
    <col min="5" max="5" width="20.7109375" style="5" customWidth="1"/>
    <col min="6" max="6" width="20.85546875" style="6" customWidth="1"/>
    <col min="7" max="7" width="79" style="4" customWidth="1"/>
    <col min="8" max="9" width="8.7109375" style="7"/>
    <col min="10" max="10" width="9.42578125" style="7" bestFit="1" customWidth="1"/>
    <col min="11" max="16384" width="8.7109375" style="7"/>
  </cols>
  <sheetData>
    <row r="2" spans="1:15" x14ac:dyDescent="0.25">
      <c r="H2" s="10"/>
      <c r="I2" s="14"/>
      <c r="J2" s="14"/>
      <c r="K2" s="10"/>
    </row>
    <row r="3" spans="1:15" x14ac:dyDescent="0.25">
      <c r="B3" s="133" t="s">
        <v>167</v>
      </c>
      <c r="C3" s="132"/>
      <c r="D3" s="132"/>
      <c r="H3" s="14"/>
      <c r="I3" s="14"/>
      <c r="J3" s="14"/>
      <c r="K3" s="14"/>
      <c r="L3" s="10"/>
      <c r="M3" s="10"/>
      <c r="N3" s="10"/>
      <c r="O3" s="10"/>
    </row>
    <row r="4" spans="1:15" x14ac:dyDescent="0.25">
      <c r="B4" s="244" t="s">
        <v>3</v>
      </c>
      <c r="C4" s="244" t="s">
        <v>4</v>
      </c>
      <c r="D4" s="242" t="s">
        <v>5</v>
      </c>
      <c r="E4" s="242" t="s">
        <v>6</v>
      </c>
      <c r="F4" s="242" t="s">
        <v>7</v>
      </c>
      <c r="G4" s="242" t="s">
        <v>8</v>
      </c>
      <c r="H4" s="14"/>
      <c r="I4" s="14"/>
      <c r="J4" s="14"/>
      <c r="K4" s="14"/>
      <c r="L4" s="10"/>
      <c r="M4" s="10"/>
      <c r="N4" s="10"/>
      <c r="O4" s="10"/>
    </row>
    <row r="5" spans="1:15" s="10" customFormat="1" x14ac:dyDescent="0.25">
      <c r="A5" s="1"/>
      <c r="B5" s="245"/>
      <c r="C5" s="245"/>
      <c r="D5" s="243"/>
      <c r="E5" s="243"/>
      <c r="F5" s="243"/>
      <c r="G5" s="243"/>
      <c r="L5" s="14"/>
      <c r="M5" s="14"/>
      <c r="N5" s="14"/>
      <c r="O5" s="14"/>
    </row>
    <row r="6" spans="1:15" s="10" customFormat="1" ht="28.5" x14ac:dyDescent="0.25">
      <c r="A6" s="1"/>
      <c r="B6" s="32" t="s">
        <v>58</v>
      </c>
      <c r="C6" s="58" t="s">
        <v>59</v>
      </c>
      <c r="D6" s="25" t="s">
        <v>16</v>
      </c>
      <c r="E6" s="119">
        <f>'Em. POME naik'!E7</f>
        <v>107140.93022604875</v>
      </c>
      <c r="F6" s="25" t="s">
        <v>9</v>
      </c>
      <c r="G6" s="26" t="str">
        <f>'Em. POME naik'!G7</f>
        <v>Volume air limbah yang diolah untuk pemulihan metana menjadi biogas pada tahun 2020|  'Volume POME' [C18]+('Volume POME' [C18]*1%)</v>
      </c>
      <c r="L6" s="14"/>
      <c r="M6" s="14"/>
      <c r="N6" s="14"/>
      <c r="O6" s="14"/>
    </row>
    <row r="7" spans="1:15" s="14" customFormat="1" x14ac:dyDescent="0.25">
      <c r="A7" s="1"/>
      <c r="B7" s="32" t="s">
        <v>25</v>
      </c>
      <c r="C7" s="11" t="s">
        <v>26</v>
      </c>
      <c r="D7" s="29" t="s">
        <v>27</v>
      </c>
      <c r="E7" s="45">
        <f>Em!E33</f>
        <v>0.25</v>
      </c>
      <c r="F7" s="12" t="s">
        <v>10</v>
      </c>
      <c r="G7" s="13" t="s">
        <v>28</v>
      </c>
      <c r="H7" s="24"/>
      <c r="I7" s="24"/>
      <c r="J7" s="24"/>
      <c r="K7" s="24"/>
    </row>
    <row r="8" spans="1:15" s="14" customFormat="1" ht="28.5" x14ac:dyDescent="0.25">
      <c r="A8" s="1"/>
      <c r="B8" s="32" t="s">
        <v>48</v>
      </c>
      <c r="C8" s="11" t="s">
        <v>30</v>
      </c>
      <c r="D8" s="29" t="s">
        <v>22</v>
      </c>
      <c r="E8" s="45">
        <f>Em!E34</f>
        <v>1.1200000000000001</v>
      </c>
      <c r="F8" s="12" t="s">
        <v>10</v>
      </c>
      <c r="G8" s="13" t="s">
        <v>163</v>
      </c>
      <c r="H8" s="24"/>
      <c r="I8" s="24"/>
      <c r="J8" s="24"/>
      <c r="K8" s="24"/>
    </row>
    <row r="9" spans="1:15" s="14" customFormat="1" ht="42.75" x14ac:dyDescent="0.25">
      <c r="A9" s="1"/>
      <c r="B9" s="28" t="s">
        <v>60</v>
      </c>
      <c r="C9" s="32" t="s">
        <v>61</v>
      </c>
      <c r="D9" s="59" t="s">
        <v>19</v>
      </c>
      <c r="E9" s="118">
        <f>Em!E35</f>
        <v>7.1635634194681191E-2</v>
      </c>
      <c r="F9" s="57" t="s">
        <v>12</v>
      </c>
      <c r="G9" s="26" t="s">
        <v>132</v>
      </c>
      <c r="H9" s="24"/>
      <c r="I9" s="24"/>
      <c r="J9" s="24"/>
      <c r="K9" s="24"/>
      <c r="L9" s="10"/>
      <c r="M9" s="10"/>
      <c r="N9" s="10"/>
      <c r="O9" s="10"/>
    </row>
    <row r="10" spans="1:15" s="14" customFormat="1" ht="42.75" x14ac:dyDescent="0.25">
      <c r="A10" s="1"/>
      <c r="B10" s="28" t="s">
        <v>46</v>
      </c>
      <c r="C10" s="32" t="s">
        <v>62</v>
      </c>
      <c r="D10" s="59" t="s">
        <v>22</v>
      </c>
      <c r="E10" s="44">
        <f>Em!E36</f>
        <v>0.8</v>
      </c>
      <c r="F10" s="12" t="s">
        <v>10</v>
      </c>
      <c r="G10" s="89" t="s">
        <v>109</v>
      </c>
      <c r="H10" s="24"/>
      <c r="I10" s="24"/>
      <c r="J10" s="24"/>
      <c r="K10" s="24"/>
    </row>
    <row r="11" spans="1:15" s="10" customFormat="1" ht="42.75" x14ac:dyDescent="0.25">
      <c r="A11" s="1"/>
      <c r="B11" s="60" t="s">
        <v>162</v>
      </c>
      <c r="C11" s="61" t="s">
        <v>161</v>
      </c>
      <c r="D11" s="16" t="s">
        <v>165</v>
      </c>
      <c r="E11" s="62">
        <f>E6*E7*E8*E9*E10</f>
        <v>1719.2243006290444</v>
      </c>
      <c r="F11" s="18" t="s">
        <v>12</v>
      </c>
      <c r="G11" s="13" t="s">
        <v>164</v>
      </c>
      <c r="H11" s="31"/>
      <c r="I11" s="31"/>
      <c r="J11" s="31"/>
      <c r="K11" s="31"/>
      <c r="L11" s="14"/>
      <c r="M11" s="14"/>
      <c r="N11" s="14"/>
      <c r="O11" s="14"/>
    </row>
    <row r="12" spans="1:15" s="14" customFormat="1" x14ac:dyDescent="0.25">
      <c r="A12" s="1"/>
      <c r="B12" s="4"/>
      <c r="C12" s="4"/>
      <c r="D12" s="4"/>
      <c r="E12" s="5"/>
      <c r="F12" s="6"/>
      <c r="G12" s="4"/>
      <c r="H12" s="10"/>
      <c r="I12" s="10"/>
      <c r="J12" s="7"/>
      <c r="K12" s="7"/>
      <c r="L12" s="10"/>
      <c r="M12" s="10"/>
      <c r="N12" s="10"/>
      <c r="O12" s="10"/>
    </row>
    <row r="13" spans="1:15" s="14" customFormat="1" x14ac:dyDescent="0.25">
      <c r="A13" s="1"/>
      <c r="B13" s="40"/>
      <c r="C13" s="133" t="s">
        <v>144</v>
      </c>
      <c r="D13" s="4"/>
      <c r="E13" s="5"/>
      <c r="F13" s="6"/>
      <c r="G13" s="4"/>
      <c r="H13" s="10"/>
      <c r="I13" s="10"/>
      <c r="J13" s="10"/>
      <c r="K13" s="10"/>
      <c r="L13" s="10"/>
      <c r="M13" s="10"/>
      <c r="N13" s="10"/>
      <c r="O13" s="10"/>
    </row>
    <row r="14" spans="1:15" s="10" customFormat="1" x14ac:dyDescent="0.25">
      <c r="A14" s="1"/>
      <c r="B14" s="246"/>
      <c r="C14" s="247" t="s">
        <v>4</v>
      </c>
      <c r="D14" s="242" t="s">
        <v>5</v>
      </c>
      <c r="E14" s="242" t="s">
        <v>102</v>
      </c>
      <c r="F14" s="242" t="s">
        <v>7</v>
      </c>
      <c r="G14" s="242" t="s">
        <v>8</v>
      </c>
      <c r="H14" s="7"/>
      <c r="I14" s="7"/>
      <c r="L14" s="24"/>
      <c r="M14" s="24"/>
      <c r="N14" s="24"/>
      <c r="O14" s="24"/>
    </row>
    <row r="15" spans="1:15" s="10" customFormat="1" x14ac:dyDescent="0.25">
      <c r="A15" s="1"/>
      <c r="B15" s="246"/>
      <c r="C15" s="248"/>
      <c r="D15" s="243"/>
      <c r="E15" s="243"/>
      <c r="F15" s="243"/>
      <c r="G15" s="243"/>
      <c r="H15" s="7"/>
      <c r="I15" s="7"/>
      <c r="J15" s="7"/>
      <c r="K15" s="7"/>
      <c r="L15" s="24"/>
      <c r="M15" s="24"/>
      <c r="N15" s="24"/>
      <c r="O15" s="24"/>
    </row>
    <row r="16" spans="1:15" s="24" customFormat="1" ht="29.25" x14ac:dyDescent="0.25">
      <c r="A16" s="1"/>
      <c r="B16" s="126"/>
      <c r="C16" s="129" t="s">
        <v>145</v>
      </c>
      <c r="D16" s="134" t="s">
        <v>152</v>
      </c>
      <c r="E16" s="129">
        <v>2400</v>
      </c>
      <c r="F16" s="25" t="s">
        <v>9</v>
      </c>
      <c r="G16" s="130" t="s">
        <v>173</v>
      </c>
      <c r="H16" s="7"/>
      <c r="I16" s="7"/>
      <c r="J16" s="7"/>
      <c r="K16" s="7"/>
    </row>
    <row r="17" spans="1:17" s="24" customFormat="1" x14ac:dyDescent="0.25">
      <c r="A17" s="1"/>
      <c r="B17" s="126"/>
      <c r="C17" s="130" t="s">
        <v>147</v>
      </c>
      <c r="D17" s="134" t="s">
        <v>153</v>
      </c>
      <c r="E17" s="130">
        <v>24</v>
      </c>
      <c r="F17" s="25" t="s">
        <v>9</v>
      </c>
      <c r="G17" s="130" t="s">
        <v>157</v>
      </c>
      <c r="H17" s="10"/>
      <c r="I17" s="10"/>
      <c r="J17" s="7"/>
      <c r="K17" s="7"/>
    </row>
    <row r="18" spans="1:17" s="24" customFormat="1" x14ac:dyDescent="0.25">
      <c r="A18" s="1"/>
      <c r="B18" s="126"/>
      <c r="C18" s="130" t="s">
        <v>154</v>
      </c>
      <c r="D18" s="134" t="s">
        <v>155</v>
      </c>
      <c r="E18" s="130">
        <v>299</v>
      </c>
      <c r="F18" s="25" t="s">
        <v>9</v>
      </c>
      <c r="G18" s="130" t="s">
        <v>157</v>
      </c>
      <c r="H18" s="42"/>
      <c r="I18" s="42"/>
      <c r="J18" s="10"/>
      <c r="K18" s="10"/>
      <c r="L18" s="31"/>
      <c r="M18" s="31"/>
      <c r="N18" s="31"/>
      <c r="O18" s="31"/>
    </row>
    <row r="19" spans="1:17" s="24" customFormat="1" x14ac:dyDescent="0.25">
      <c r="A19" s="1"/>
      <c r="B19" s="126"/>
      <c r="C19" s="129" t="s">
        <v>148</v>
      </c>
      <c r="D19" s="134" t="s">
        <v>77</v>
      </c>
      <c r="E19" s="135">
        <f>E18/365</f>
        <v>0.81917808219178079</v>
      </c>
      <c r="F19" s="12" t="s">
        <v>12</v>
      </c>
      <c r="G19" s="136" t="s">
        <v>158</v>
      </c>
      <c r="H19" s="42"/>
      <c r="I19" s="42"/>
      <c r="J19" s="42"/>
      <c r="K19" s="42"/>
      <c r="L19" s="7"/>
      <c r="M19" s="7"/>
      <c r="N19" s="7"/>
      <c r="O19" s="7"/>
    </row>
    <row r="20" spans="1:17" s="31" customFormat="1" x14ac:dyDescent="0.25">
      <c r="A20" s="1"/>
      <c r="B20" s="127"/>
      <c r="C20" s="143" t="s">
        <v>149</v>
      </c>
      <c r="D20" s="134" t="s">
        <v>77</v>
      </c>
      <c r="E20" s="140">
        <f>0.8</f>
        <v>0.8</v>
      </c>
      <c r="F20" s="57" t="s">
        <v>9</v>
      </c>
      <c r="G20" s="130" t="s">
        <v>172</v>
      </c>
      <c r="H20" s="7"/>
      <c r="I20" s="7"/>
      <c r="J20" s="42"/>
      <c r="K20" s="42"/>
      <c r="L20" s="10"/>
      <c r="M20" s="10"/>
      <c r="N20" s="10"/>
      <c r="O20" s="10"/>
    </row>
    <row r="21" spans="1:17" x14ac:dyDescent="0.25">
      <c r="B21" s="127"/>
      <c r="C21" s="130" t="s">
        <v>150</v>
      </c>
      <c r="D21" s="134" t="s">
        <v>156</v>
      </c>
      <c r="E21" s="130">
        <v>0.27800000000000002</v>
      </c>
      <c r="F21" s="12" t="s">
        <v>10</v>
      </c>
      <c r="G21" s="130" t="s">
        <v>160</v>
      </c>
      <c r="H21" s="10"/>
      <c r="I21" s="10"/>
    </row>
    <row r="22" spans="1:17" s="10" customFormat="1" x14ac:dyDescent="0.25">
      <c r="A22" s="1"/>
      <c r="B22" s="126"/>
      <c r="C22" s="130" t="s">
        <v>151</v>
      </c>
      <c r="D22" s="134" t="s">
        <v>159</v>
      </c>
      <c r="E22" s="130">
        <v>55400</v>
      </c>
      <c r="F22" s="12" t="s">
        <v>10</v>
      </c>
      <c r="G22" s="130" t="s">
        <v>160</v>
      </c>
    </row>
    <row r="23" spans="1:17" s="10" customFormat="1" ht="45" x14ac:dyDescent="0.25">
      <c r="A23" s="1"/>
      <c r="B23" s="128"/>
      <c r="C23" s="131" t="s">
        <v>143</v>
      </c>
      <c r="D23" s="137" t="s">
        <v>166</v>
      </c>
      <c r="E23" s="198">
        <f>(E16*E17*365*E19)/(E20*E21*E22)</f>
        <v>1397.8131574163049</v>
      </c>
      <c r="F23" s="18" t="s">
        <v>12</v>
      </c>
      <c r="G23" s="138" t="s">
        <v>146</v>
      </c>
      <c r="H23" s="7"/>
      <c r="I23" s="7"/>
    </row>
    <row r="24" spans="1:17" x14ac:dyDescent="0.25">
      <c r="A24" s="10"/>
      <c r="J24" s="141" t="e">
        <f>C8*(' ER POME naik'!H28-' ER POME naik'!I28-'Flare POME naik'!E23)</f>
        <v>#VALUE!</v>
      </c>
    </row>
    <row r="25" spans="1:17" x14ac:dyDescent="0.25">
      <c r="A25" s="10"/>
      <c r="B25" s="133" t="s">
        <v>168</v>
      </c>
      <c r="C25" s="132"/>
      <c r="D25" s="132"/>
      <c r="H25" s="14"/>
      <c r="I25" s="14"/>
    </row>
    <row r="26" spans="1:17" x14ac:dyDescent="0.25">
      <c r="B26" s="244" t="s">
        <v>3</v>
      </c>
      <c r="C26" s="244" t="s">
        <v>4</v>
      </c>
      <c r="D26" s="242" t="s">
        <v>5</v>
      </c>
      <c r="E26" s="242" t="s">
        <v>6</v>
      </c>
      <c r="F26" s="242" t="s">
        <v>7</v>
      </c>
      <c r="G26" s="242" t="s">
        <v>8</v>
      </c>
      <c r="H26" s="14"/>
      <c r="I26" s="14"/>
    </row>
    <row r="27" spans="1:17" s="10" customFormat="1" x14ac:dyDescent="0.25">
      <c r="A27" s="1"/>
      <c r="B27" s="245"/>
      <c r="C27" s="245"/>
      <c r="D27" s="243"/>
      <c r="E27" s="243"/>
      <c r="F27" s="243"/>
      <c r="G27" s="243"/>
    </row>
    <row r="28" spans="1:17" s="42" customFormat="1" ht="28.5" x14ac:dyDescent="0.25">
      <c r="A28" s="1"/>
      <c r="B28" s="32" t="s">
        <v>55</v>
      </c>
      <c r="C28" s="11" t="s">
        <v>56</v>
      </c>
      <c r="D28" s="56" t="s">
        <v>22</v>
      </c>
      <c r="E28" s="44">
        <v>0.9</v>
      </c>
      <c r="F28" s="57" t="s">
        <v>10</v>
      </c>
      <c r="G28" s="13" t="s">
        <v>57</v>
      </c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42" customFormat="1" ht="42.75" x14ac:dyDescent="0.25">
      <c r="A29" s="1"/>
      <c r="B29" s="32" t="str">
        <f t="shared" ref="B29:G29" si="0">B11</f>
        <v>MEPfugitive,ww,y</v>
      </c>
      <c r="C29" s="32" t="str">
        <f t="shared" si="0"/>
        <v>Potensi emisi gas metana dari kolam anaerobik yang dilengkapi dengan sistem penangkapan gasbio</v>
      </c>
      <c r="D29" s="67" t="str">
        <f t="shared" si="0"/>
        <v xml:space="preserve">t CH4e </v>
      </c>
      <c r="E29" s="139">
        <f t="shared" si="0"/>
        <v>1719.2243006290444</v>
      </c>
      <c r="F29" s="67" t="str">
        <f t="shared" si="0"/>
        <v>Perhitungan</v>
      </c>
      <c r="G29" s="32" t="str">
        <f t="shared" si="0"/>
        <v>CDM AMS III H UNFCCC V.19.0 P.23 (2019) | MEPfugitive,ww,y = Qww,y* Boww*UFPJ*penjumlahan dari k untuk CODremoval,PJ,k,y* MCFww,treatment,PJ,k</v>
      </c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ht="30" x14ac:dyDescent="0.25">
      <c r="B30" s="60" t="s">
        <v>63</v>
      </c>
      <c r="C30" s="61" t="s">
        <v>64</v>
      </c>
      <c r="D30" s="16" t="s">
        <v>165</v>
      </c>
      <c r="E30" s="62">
        <f>(1-E28)*(E29)</f>
        <v>171.9224300629044</v>
      </c>
      <c r="F30" s="18" t="s">
        <v>12</v>
      </c>
      <c r="G30" s="13" t="s">
        <v>169</v>
      </c>
    </row>
    <row r="31" spans="1:17" s="10" customFormat="1" x14ac:dyDescent="0.25">
      <c r="A31" s="1"/>
      <c r="B31" s="4"/>
      <c r="C31" s="4"/>
      <c r="D31" s="4"/>
      <c r="E31" s="5"/>
      <c r="F31" s="6"/>
      <c r="G31" s="4"/>
      <c r="H31" s="7"/>
      <c r="I31" s="7"/>
    </row>
    <row r="32" spans="1:17" s="10" customFormat="1" x14ac:dyDescent="0.25">
      <c r="A32" s="1"/>
      <c r="B32" s="4"/>
      <c r="C32" s="4"/>
      <c r="D32" s="4"/>
      <c r="E32" s="5"/>
      <c r="F32" s="6"/>
      <c r="G32" s="4"/>
      <c r="H32" s="7"/>
      <c r="I32" s="7"/>
    </row>
    <row r="33" spans="1:17" x14ac:dyDescent="0.25">
      <c r="A33" s="10"/>
      <c r="J33" s="14"/>
      <c r="K33" s="14"/>
      <c r="L33" s="14"/>
      <c r="M33" s="14"/>
      <c r="N33" s="14"/>
      <c r="O33" s="14"/>
      <c r="P33" s="14"/>
      <c r="Q33" s="14"/>
    </row>
    <row r="34" spans="1:17" ht="46.5" customHeight="1" x14ac:dyDescent="0.25">
      <c r="J34" s="14"/>
      <c r="K34" s="14"/>
      <c r="L34" s="14"/>
      <c r="M34" s="14"/>
      <c r="N34" s="14"/>
      <c r="O34" s="14"/>
      <c r="P34" s="14"/>
      <c r="Q34" s="14"/>
    </row>
    <row r="35" spans="1:17" x14ac:dyDescent="0.25">
      <c r="J35" s="14"/>
      <c r="K35" s="14"/>
      <c r="L35" s="14"/>
      <c r="M35" s="14"/>
      <c r="N35" s="14"/>
      <c r="O35" s="14"/>
      <c r="P35" s="14"/>
      <c r="Q35" s="14"/>
    </row>
    <row r="36" spans="1:17" x14ac:dyDescent="0.25">
      <c r="J36" s="14"/>
      <c r="K36" s="14"/>
      <c r="L36" s="14"/>
      <c r="M36" s="14"/>
      <c r="N36" s="14"/>
      <c r="O36" s="14"/>
      <c r="P36" s="14"/>
      <c r="Q36" s="14"/>
    </row>
    <row r="37" spans="1:17" s="10" customFormat="1" x14ac:dyDescent="0.25">
      <c r="A37" s="1"/>
      <c r="B37" s="4"/>
      <c r="C37" s="4"/>
      <c r="D37" s="4"/>
      <c r="E37" s="5"/>
      <c r="F37" s="6"/>
      <c r="G37" s="4"/>
      <c r="H37" s="7"/>
      <c r="I37" s="7"/>
    </row>
    <row r="41" spans="1:17" s="10" customFormat="1" x14ac:dyDescent="0.25">
      <c r="A41" s="1"/>
      <c r="B41" s="4"/>
      <c r="C41" s="4"/>
      <c r="D41" s="4"/>
      <c r="E41" s="5"/>
      <c r="F41" s="6"/>
      <c r="G41" s="4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0" customFormat="1" x14ac:dyDescent="0.25">
      <c r="A42" s="1"/>
      <c r="B42" s="4"/>
      <c r="C42" s="4"/>
      <c r="D42" s="4"/>
      <c r="E42" s="5"/>
      <c r="F42" s="6"/>
      <c r="G42" s="4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4" customFormat="1" x14ac:dyDescent="0.25">
      <c r="A43" s="1"/>
      <c r="B43" s="4"/>
      <c r="C43" s="4"/>
      <c r="D43" s="4"/>
      <c r="E43" s="5"/>
      <c r="F43" s="6"/>
      <c r="G43" s="4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4" customFormat="1" x14ac:dyDescent="0.25">
      <c r="A44" s="1"/>
      <c r="B44" s="4"/>
      <c r="C44" s="4"/>
      <c r="D44" s="4"/>
      <c r="E44" s="5"/>
      <c r="F44" s="6"/>
      <c r="G44" s="4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4" customFormat="1" x14ac:dyDescent="0.25">
      <c r="A45" s="1"/>
      <c r="B45" s="4"/>
      <c r="C45" s="4"/>
      <c r="D45" s="4"/>
      <c r="E45" s="5"/>
      <c r="F45" s="6"/>
      <c r="G45" s="4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4" customFormat="1" x14ac:dyDescent="0.25">
      <c r="A46" s="1"/>
      <c r="B46" s="4"/>
      <c r="C46" s="4"/>
      <c r="D46" s="4"/>
      <c r="E46" s="5"/>
      <c r="F46" s="6"/>
      <c r="G46" s="4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0" customFormat="1" x14ac:dyDescent="0.25">
      <c r="A47" s="1"/>
      <c r="B47" s="4"/>
      <c r="C47" s="4"/>
      <c r="D47" s="4"/>
      <c r="E47" s="5"/>
      <c r="F47" s="6"/>
      <c r="G47" s="4"/>
      <c r="H47" s="7"/>
      <c r="I47" s="7"/>
      <c r="J47" s="7"/>
      <c r="K47" s="7"/>
      <c r="L47" s="7"/>
      <c r="M47" s="7"/>
      <c r="N47" s="7"/>
      <c r="O47" s="7"/>
      <c r="P47" s="7"/>
      <c r="Q47" s="7"/>
    </row>
    <row r="51" spans="2:7" x14ac:dyDescent="0.25">
      <c r="B51" s="7"/>
      <c r="C51" s="7"/>
      <c r="D51" s="7"/>
      <c r="E51" s="7"/>
      <c r="F51" s="7"/>
      <c r="G51" s="7"/>
    </row>
    <row r="52" spans="2:7" x14ac:dyDescent="0.25">
      <c r="B52" s="7"/>
      <c r="C52" s="7"/>
      <c r="D52" s="7"/>
      <c r="E52" s="7"/>
      <c r="F52" s="7"/>
      <c r="G52" s="7"/>
    </row>
    <row r="53" spans="2:7" x14ac:dyDescent="0.25">
      <c r="B53" s="7"/>
      <c r="C53" s="7"/>
      <c r="D53" s="7"/>
      <c r="E53" s="7"/>
      <c r="F53" s="7"/>
      <c r="G53" s="7"/>
    </row>
    <row r="54" spans="2:7" ht="33" customHeight="1" x14ac:dyDescent="0.25">
      <c r="B54" s="7"/>
      <c r="C54" s="7"/>
      <c r="D54" s="7"/>
      <c r="E54" s="7"/>
      <c r="F54" s="7"/>
      <c r="G54" s="7"/>
    </row>
    <row r="55" spans="2:7" x14ac:dyDescent="0.25">
      <c r="B55" s="7"/>
      <c r="C55" s="7"/>
      <c r="D55" s="7"/>
      <c r="E55" s="7"/>
      <c r="F55" s="7"/>
      <c r="G55" s="7"/>
    </row>
    <row r="56" spans="2:7" x14ac:dyDescent="0.25">
      <c r="B56" s="7"/>
      <c r="C56" s="7"/>
      <c r="D56" s="7"/>
      <c r="E56" s="7"/>
      <c r="F56" s="7"/>
      <c r="G56" s="7"/>
    </row>
    <row r="57" spans="2:7" x14ac:dyDescent="0.25">
      <c r="B57" s="7"/>
      <c r="C57" s="7"/>
      <c r="D57" s="7"/>
      <c r="E57" s="7"/>
      <c r="F57" s="7"/>
      <c r="G57" s="7"/>
    </row>
    <row r="58" spans="2:7" x14ac:dyDescent="0.25">
      <c r="B58" s="7"/>
      <c r="C58" s="7"/>
      <c r="D58" s="7"/>
      <c r="E58" s="7"/>
      <c r="F58" s="7"/>
      <c r="G58" s="7"/>
    </row>
    <row r="59" spans="2:7" x14ac:dyDescent="0.25">
      <c r="B59" s="7"/>
      <c r="C59" s="7"/>
      <c r="D59" s="7"/>
      <c r="E59" s="7"/>
      <c r="F59" s="7"/>
      <c r="G59" s="7"/>
    </row>
    <row r="60" spans="2:7" x14ac:dyDescent="0.25">
      <c r="B60" s="10"/>
      <c r="C60" s="14"/>
      <c r="D60" s="14"/>
      <c r="E60" s="14"/>
      <c r="F60" s="14"/>
      <c r="G60" s="14"/>
    </row>
    <row r="61" spans="2:7" x14ac:dyDescent="0.25">
      <c r="B61" s="10"/>
      <c r="C61" s="14"/>
      <c r="D61" s="14"/>
      <c r="E61" s="14"/>
      <c r="F61" s="14"/>
      <c r="G61" s="14"/>
    </row>
    <row r="62" spans="2:7" x14ac:dyDescent="0.25">
      <c r="B62" s="7"/>
      <c r="C62" s="14"/>
      <c r="D62" s="14"/>
      <c r="E62" s="14"/>
      <c r="F62" s="14"/>
      <c r="G62" s="14"/>
    </row>
    <row r="63" spans="2:7" x14ac:dyDescent="0.25">
      <c r="B63" s="7"/>
      <c r="C63" s="14"/>
      <c r="D63" s="14"/>
      <c r="E63" s="14"/>
      <c r="F63" s="14"/>
      <c r="G63" s="14"/>
    </row>
    <row r="64" spans="2:7" x14ac:dyDescent="0.25">
      <c r="B64" s="7"/>
      <c r="C64" s="10"/>
      <c r="D64" s="10"/>
      <c r="E64" s="10"/>
      <c r="F64" s="10"/>
      <c r="G64" s="10"/>
    </row>
    <row r="65" spans="1:7" x14ac:dyDescent="0.25">
      <c r="B65" s="10"/>
      <c r="C65" s="7"/>
      <c r="D65" s="7"/>
      <c r="E65" s="7"/>
      <c r="F65" s="7"/>
      <c r="G65" s="7"/>
    </row>
    <row r="66" spans="1:7" x14ac:dyDescent="0.25">
      <c r="B66" s="42"/>
      <c r="C66" s="7"/>
      <c r="D66" s="7"/>
      <c r="E66" s="7"/>
      <c r="F66" s="7"/>
      <c r="G66" s="7"/>
    </row>
    <row r="67" spans="1:7" x14ac:dyDescent="0.25">
      <c r="B67" s="42"/>
      <c r="C67" s="7"/>
      <c r="D67" s="7"/>
      <c r="E67" s="7"/>
      <c r="F67" s="7"/>
      <c r="G67" s="7"/>
    </row>
    <row r="68" spans="1:7" x14ac:dyDescent="0.25">
      <c r="B68" s="7"/>
      <c r="C68" s="7"/>
      <c r="D68" s="7"/>
      <c r="E68" s="7"/>
      <c r="F68" s="7"/>
      <c r="G68" s="7"/>
    </row>
    <row r="69" spans="1:7" x14ac:dyDescent="0.25">
      <c r="B69" s="10"/>
      <c r="C69" s="7"/>
      <c r="D69" s="7"/>
      <c r="E69" s="7"/>
      <c r="F69" s="7"/>
      <c r="G69" s="7"/>
    </row>
    <row r="70" spans="1:7" x14ac:dyDescent="0.25">
      <c r="B70" s="10"/>
      <c r="C70" s="7"/>
      <c r="D70" s="7"/>
      <c r="E70" s="7"/>
      <c r="F70" s="7"/>
      <c r="G70" s="7"/>
    </row>
    <row r="71" spans="1:7" x14ac:dyDescent="0.25">
      <c r="B71" s="7"/>
      <c r="C71" s="7"/>
      <c r="D71" s="7"/>
      <c r="E71" s="7"/>
      <c r="F71" s="7"/>
      <c r="G71" s="7"/>
    </row>
    <row r="72" spans="1:7" x14ac:dyDescent="0.25">
      <c r="B72" s="7"/>
      <c r="C72" s="7"/>
      <c r="D72" s="7"/>
      <c r="E72" s="7"/>
      <c r="F72" s="7"/>
      <c r="G72" s="7"/>
    </row>
    <row r="73" spans="1:7" x14ac:dyDescent="0.25">
      <c r="B73" s="7"/>
      <c r="C73" s="7"/>
      <c r="D73" s="7"/>
      <c r="E73" s="7"/>
      <c r="F73" s="7"/>
      <c r="G73" s="7"/>
    </row>
    <row r="74" spans="1:7" x14ac:dyDescent="0.25">
      <c r="B74" s="7"/>
      <c r="C74" s="7"/>
      <c r="D74" s="7"/>
      <c r="E74" s="7"/>
      <c r="F74" s="7"/>
      <c r="G74" s="7"/>
    </row>
    <row r="75" spans="1:7" x14ac:dyDescent="0.25">
      <c r="B75" s="10"/>
      <c r="C75" s="10"/>
      <c r="D75" s="10"/>
      <c r="E75" s="10"/>
      <c r="F75" s="10"/>
      <c r="G75" s="10"/>
    </row>
    <row r="76" spans="1:7" x14ac:dyDescent="0.25">
      <c r="A76" s="1" t="s">
        <v>53</v>
      </c>
      <c r="B76" s="7"/>
      <c r="C76" s="7"/>
      <c r="D76" s="7"/>
      <c r="E76" s="7"/>
      <c r="F76" s="7"/>
      <c r="G76" s="7"/>
    </row>
    <row r="77" spans="1:7" x14ac:dyDescent="0.25">
      <c r="A77" s="10"/>
      <c r="B77" s="7"/>
      <c r="C77" s="7"/>
      <c r="D77" s="7"/>
      <c r="E77" s="7"/>
      <c r="F77" s="7"/>
      <c r="G77" s="7"/>
    </row>
    <row r="78" spans="1:7" x14ac:dyDescent="0.25">
      <c r="A78" s="10"/>
      <c r="B78" s="7"/>
      <c r="C78" s="7"/>
      <c r="D78" s="7"/>
      <c r="E78" s="7"/>
      <c r="F78" s="7"/>
      <c r="G78" s="7"/>
    </row>
    <row r="79" spans="1:7" x14ac:dyDescent="0.25">
      <c r="B79" s="10"/>
      <c r="C79" s="10"/>
      <c r="D79" s="10"/>
      <c r="E79" s="10"/>
      <c r="F79" s="10"/>
      <c r="G79" s="10"/>
    </row>
    <row r="80" spans="1:7" x14ac:dyDescent="0.25">
      <c r="B80" s="10"/>
      <c r="C80" s="10"/>
      <c r="D80" s="10"/>
      <c r="E80" s="10"/>
      <c r="F80" s="10"/>
      <c r="G80" s="10"/>
    </row>
    <row r="81" spans="1:7" x14ac:dyDescent="0.25">
      <c r="B81" s="14"/>
      <c r="C81" s="14"/>
      <c r="D81" s="14"/>
      <c r="E81" s="14"/>
      <c r="F81" s="14"/>
      <c r="G81" s="14"/>
    </row>
    <row r="82" spans="1:7" x14ac:dyDescent="0.25">
      <c r="A82" s="10"/>
      <c r="B82" s="14"/>
      <c r="C82" s="14"/>
      <c r="D82" s="14"/>
      <c r="E82" s="14"/>
      <c r="F82" s="14"/>
      <c r="G82" s="14"/>
    </row>
    <row r="83" spans="1:7" x14ac:dyDescent="0.25">
      <c r="B83" s="14"/>
      <c r="C83" s="14"/>
      <c r="D83" s="14"/>
      <c r="E83" s="14"/>
      <c r="F83" s="14"/>
      <c r="G83" s="14"/>
    </row>
    <row r="84" spans="1:7" ht="14.25" x14ac:dyDescent="0.2">
      <c r="A84" s="7"/>
      <c r="B84" s="14"/>
      <c r="C84" s="14"/>
      <c r="D84" s="14"/>
      <c r="E84" s="14"/>
      <c r="F84" s="14"/>
      <c r="G84" s="14"/>
    </row>
    <row r="85" spans="1:7" x14ac:dyDescent="0.25">
      <c r="A85" s="10"/>
      <c r="B85" s="10"/>
      <c r="C85" s="10"/>
      <c r="D85" s="10"/>
      <c r="E85" s="10"/>
      <c r="F85" s="10"/>
      <c r="G85" s="10"/>
    </row>
    <row r="86" spans="1:7" x14ac:dyDescent="0.25">
      <c r="A86" s="10"/>
      <c r="B86" s="7"/>
      <c r="C86" s="7"/>
      <c r="D86" s="7"/>
      <c r="E86" s="7"/>
      <c r="F86" s="7"/>
      <c r="G86" s="7"/>
    </row>
    <row r="87" spans="1:7" ht="14.25" x14ac:dyDescent="0.2">
      <c r="A87" s="7"/>
    </row>
    <row r="88" spans="1:7" ht="14.25" x14ac:dyDescent="0.2">
      <c r="A88" s="7"/>
    </row>
    <row r="89" spans="1:7" ht="14.25" x14ac:dyDescent="0.2">
      <c r="A89" s="7"/>
    </row>
    <row r="90" spans="1:7" x14ac:dyDescent="0.25">
      <c r="A90" s="10"/>
    </row>
    <row r="91" spans="1:7" ht="14.25" x14ac:dyDescent="0.2">
      <c r="A91" s="42"/>
    </row>
    <row r="92" spans="1:7" ht="14.25" x14ac:dyDescent="0.2">
      <c r="A92" s="42"/>
    </row>
    <row r="93" spans="1:7" ht="14.25" x14ac:dyDescent="0.2">
      <c r="A93" s="7"/>
    </row>
    <row r="94" spans="1:7" x14ac:dyDescent="0.25">
      <c r="A94" s="10"/>
    </row>
    <row r="95" spans="1:7" x14ac:dyDescent="0.25">
      <c r="A95" s="10"/>
    </row>
    <row r="96" spans="1:7" ht="14.25" x14ac:dyDescent="0.2">
      <c r="A96" s="7"/>
    </row>
    <row r="97" spans="1:1" ht="14.25" x14ac:dyDescent="0.2">
      <c r="A97" s="7"/>
    </row>
    <row r="98" spans="1:1" ht="14.25" x14ac:dyDescent="0.2">
      <c r="A98" s="7"/>
    </row>
    <row r="99" spans="1:1" ht="14.25" x14ac:dyDescent="0.2">
      <c r="A99" s="7"/>
    </row>
    <row r="100" spans="1:1" x14ac:dyDescent="0.25">
      <c r="A100" s="10"/>
    </row>
    <row r="101" spans="1:1" ht="14.25" x14ac:dyDescent="0.2">
      <c r="A101" s="7"/>
    </row>
    <row r="102" spans="1:1" ht="14.25" x14ac:dyDescent="0.2">
      <c r="A102" s="7"/>
    </row>
    <row r="103" spans="1:1" ht="14.25" x14ac:dyDescent="0.2">
      <c r="A103" s="7"/>
    </row>
    <row r="104" spans="1:1" x14ac:dyDescent="0.25">
      <c r="A104" s="10"/>
    </row>
    <row r="105" spans="1:1" x14ac:dyDescent="0.25">
      <c r="A105" s="10"/>
    </row>
    <row r="106" spans="1:1" ht="14.25" x14ac:dyDescent="0.2">
      <c r="A106" s="14"/>
    </row>
    <row r="107" spans="1:1" ht="14.25" x14ac:dyDescent="0.2">
      <c r="A107" s="14"/>
    </row>
    <row r="108" spans="1:1" ht="14.25" x14ac:dyDescent="0.2">
      <c r="A108" s="14"/>
    </row>
    <row r="109" spans="1:1" ht="14.25" x14ac:dyDescent="0.2">
      <c r="A109" s="14"/>
    </row>
    <row r="110" spans="1:1" x14ac:dyDescent="0.25">
      <c r="A110" s="10"/>
    </row>
    <row r="111" spans="1:1" ht="14.25" x14ac:dyDescent="0.2">
      <c r="A111" s="7"/>
    </row>
  </sheetData>
  <mergeCells count="18">
    <mergeCell ref="G26:G27"/>
    <mergeCell ref="B14:B15"/>
    <mergeCell ref="C14:C15"/>
    <mergeCell ref="D14:D15"/>
    <mergeCell ref="E14:E15"/>
    <mergeCell ref="F14:F15"/>
    <mergeCell ref="G14:G15"/>
    <mergeCell ref="B26:B27"/>
    <mergeCell ref="C26:C27"/>
    <mergeCell ref="D26:D27"/>
    <mergeCell ref="E26:E27"/>
    <mergeCell ref="F26:F27"/>
    <mergeCell ref="G4:G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59"/>
  <sheetViews>
    <sheetView showGridLines="0" topLeftCell="A43" zoomScale="85" zoomScaleNormal="85" workbookViewId="0">
      <selection activeCell="F58" sqref="F58"/>
    </sheetView>
  </sheetViews>
  <sheetFormatPr defaultColWidth="8.7109375" defaultRowHeight="15" x14ac:dyDescent="0.25"/>
  <cols>
    <col min="1" max="1" width="3.28515625" style="1" customWidth="1"/>
    <col min="2" max="2" width="23.42578125" style="4" customWidth="1"/>
    <col min="3" max="3" width="60.5703125" style="4" customWidth="1"/>
    <col min="4" max="4" width="19.140625" style="4" customWidth="1"/>
    <col min="5" max="5" width="20.7109375" style="5" customWidth="1"/>
    <col min="6" max="6" width="20.85546875" style="6" customWidth="1"/>
    <col min="7" max="7" width="78.42578125" style="4" customWidth="1"/>
    <col min="8" max="16384" width="8.7109375" style="7"/>
  </cols>
  <sheetData>
    <row r="1" spans="1:11" ht="16.5" thickBot="1" x14ac:dyDescent="0.3">
      <c r="B1" s="2" t="s">
        <v>0</v>
      </c>
      <c r="C1" s="3" t="s">
        <v>1</v>
      </c>
    </row>
    <row r="2" spans="1:11" ht="17.25" thickTop="1" thickBot="1" x14ac:dyDescent="0.3">
      <c r="B2" s="8" t="s">
        <v>2</v>
      </c>
      <c r="C2" s="3"/>
    </row>
    <row r="3" spans="1:11" ht="15.75" thickTop="1" x14ac:dyDescent="0.25">
      <c r="B3" s="9"/>
    </row>
    <row r="4" spans="1:11" x14ac:dyDescent="0.25">
      <c r="A4" s="10" t="s">
        <v>111</v>
      </c>
      <c r="B4" s="23" t="s">
        <v>13</v>
      </c>
      <c r="C4" s="19"/>
      <c r="D4" s="20"/>
      <c r="E4" s="21"/>
      <c r="F4" s="22"/>
      <c r="G4" s="19"/>
      <c r="H4" s="10"/>
      <c r="I4" s="14"/>
      <c r="J4" s="14"/>
      <c r="K4" s="10"/>
    </row>
    <row r="5" spans="1:11" s="10" customFormat="1" x14ac:dyDescent="0.25">
      <c r="B5" s="239" t="s">
        <v>3</v>
      </c>
      <c r="C5" s="239" t="s">
        <v>4</v>
      </c>
      <c r="D5" s="238" t="s">
        <v>5</v>
      </c>
      <c r="E5" s="240" t="s">
        <v>6</v>
      </c>
      <c r="F5" s="238" t="s">
        <v>7</v>
      </c>
      <c r="G5" s="238" t="s">
        <v>8</v>
      </c>
      <c r="H5" s="14"/>
      <c r="I5" s="14"/>
      <c r="J5" s="14"/>
      <c r="K5" s="14"/>
    </row>
    <row r="6" spans="1:11" s="10" customFormat="1" x14ac:dyDescent="0.25">
      <c r="B6" s="239"/>
      <c r="C6" s="239"/>
      <c r="D6" s="238"/>
      <c r="E6" s="241"/>
      <c r="F6" s="238"/>
      <c r="G6" s="238"/>
      <c r="H6" s="14"/>
      <c r="I6" s="14"/>
      <c r="J6" s="14"/>
      <c r="K6" s="14"/>
    </row>
    <row r="7" spans="1:11" s="14" customFormat="1" ht="28.5" x14ac:dyDescent="0.25">
      <c r="A7" s="24"/>
      <c r="B7" s="43" t="s">
        <v>14</v>
      </c>
      <c r="C7" s="11" t="s">
        <v>15</v>
      </c>
      <c r="D7" s="25" t="s">
        <v>16</v>
      </c>
      <c r="E7" s="117">
        <f>'Volume POME'!C18+('Volume POME'!C18*'Volume POME'!G18)</f>
        <v>104416.1719118371</v>
      </c>
      <c r="F7" s="25" t="s">
        <v>9</v>
      </c>
      <c r="G7" s="26" t="s">
        <v>203</v>
      </c>
      <c r="H7" s="10"/>
      <c r="I7" s="10"/>
      <c r="J7" s="10"/>
      <c r="K7" s="10"/>
    </row>
    <row r="8" spans="1:11" s="14" customFormat="1" ht="28.5" x14ac:dyDescent="0.25">
      <c r="A8" s="24"/>
      <c r="B8" s="43" t="s">
        <v>17</v>
      </c>
      <c r="C8" s="11" t="s">
        <v>18</v>
      </c>
      <c r="D8" s="25" t="s">
        <v>19</v>
      </c>
      <c r="E8" s="116">
        <f>COD!B24/1000</f>
        <v>8.8459418034887133E-2</v>
      </c>
      <c r="F8" s="25" t="s">
        <v>9</v>
      </c>
      <c r="G8" s="26" t="s">
        <v>128</v>
      </c>
      <c r="H8" s="10"/>
      <c r="I8" s="10"/>
      <c r="J8" s="10"/>
      <c r="K8" s="10"/>
    </row>
    <row r="9" spans="1:11" s="14" customFormat="1" x14ac:dyDescent="0.25">
      <c r="A9" s="24"/>
      <c r="B9" s="43" t="s">
        <v>20</v>
      </c>
      <c r="C9" s="11" t="s">
        <v>21</v>
      </c>
      <c r="D9" s="25" t="s">
        <v>77</v>
      </c>
      <c r="E9" s="88">
        <f>COD!B27</f>
        <v>0.95553119060258107</v>
      </c>
      <c r="F9" s="25" t="s">
        <v>12</v>
      </c>
      <c r="G9" s="27" t="s">
        <v>129</v>
      </c>
      <c r="H9" s="24"/>
      <c r="I9" s="24"/>
      <c r="J9" s="24"/>
      <c r="K9" s="24"/>
    </row>
    <row r="10" spans="1:11" s="14" customFormat="1" ht="28.5" x14ac:dyDescent="0.25">
      <c r="A10" s="24"/>
      <c r="B10" s="28" t="s">
        <v>23</v>
      </c>
      <c r="C10" s="11" t="s">
        <v>24</v>
      </c>
      <c r="D10" s="29" t="s">
        <v>22</v>
      </c>
      <c r="E10" s="30">
        <v>0.8</v>
      </c>
      <c r="F10" s="154" t="s">
        <v>10</v>
      </c>
      <c r="G10" s="13" t="s">
        <v>109</v>
      </c>
      <c r="H10" s="24"/>
      <c r="I10" s="24"/>
      <c r="J10" s="24"/>
      <c r="K10" s="24"/>
    </row>
    <row r="11" spans="1:11" s="10" customFormat="1" x14ac:dyDescent="0.25">
      <c r="A11" s="24"/>
      <c r="B11" s="28" t="s">
        <v>25</v>
      </c>
      <c r="C11" s="11" t="s">
        <v>26</v>
      </c>
      <c r="D11" s="29" t="s">
        <v>27</v>
      </c>
      <c r="E11" s="30">
        <v>0.25</v>
      </c>
      <c r="F11" s="154" t="s">
        <v>10</v>
      </c>
      <c r="G11" s="13" t="s">
        <v>28</v>
      </c>
      <c r="H11" s="24"/>
      <c r="I11" s="24"/>
      <c r="J11" s="24"/>
      <c r="K11" s="24"/>
    </row>
    <row r="12" spans="1:11" s="14" customFormat="1" ht="28.5" x14ac:dyDescent="0.25">
      <c r="A12" s="24"/>
      <c r="B12" s="28" t="s">
        <v>29</v>
      </c>
      <c r="C12" s="11" t="s">
        <v>30</v>
      </c>
      <c r="D12" s="29" t="s">
        <v>22</v>
      </c>
      <c r="E12" s="30">
        <v>0.89</v>
      </c>
      <c r="F12" s="154" t="s">
        <v>10</v>
      </c>
      <c r="G12" s="13" t="s">
        <v>31</v>
      </c>
      <c r="H12" s="24"/>
      <c r="I12" s="24"/>
      <c r="J12" s="24"/>
      <c r="K12" s="24"/>
    </row>
    <row r="13" spans="1:11" s="14" customFormat="1" x14ac:dyDescent="0.25">
      <c r="A13" s="24"/>
      <c r="B13" s="32" t="s">
        <v>32</v>
      </c>
      <c r="C13" s="11" t="s">
        <v>33</v>
      </c>
      <c r="D13" s="33" t="s">
        <v>22</v>
      </c>
      <c r="E13" s="34">
        <v>28</v>
      </c>
      <c r="F13" s="12" t="s">
        <v>10</v>
      </c>
      <c r="G13" s="26" t="s">
        <v>34</v>
      </c>
      <c r="H13" s="31"/>
      <c r="I13" s="31"/>
      <c r="J13" s="31"/>
      <c r="K13" s="31"/>
    </row>
    <row r="14" spans="1:11" s="10" customFormat="1" ht="57" x14ac:dyDescent="0.25">
      <c r="A14" s="24"/>
      <c r="B14" s="35" t="s">
        <v>35</v>
      </c>
      <c r="C14" s="36" t="s">
        <v>36</v>
      </c>
      <c r="D14" s="16" t="s">
        <v>11</v>
      </c>
      <c r="E14" s="17">
        <f>E7*E8*E9*E10*E11*E12*E13</f>
        <v>43988.053702179408</v>
      </c>
      <c r="F14" s="18" t="s">
        <v>12</v>
      </c>
      <c r="G14" s="13" t="s">
        <v>37</v>
      </c>
      <c r="H14" s="7"/>
      <c r="I14" s="7"/>
      <c r="J14" s="7"/>
      <c r="K14" s="7"/>
    </row>
    <row r="15" spans="1:11" s="10" customFormat="1" x14ac:dyDescent="0.25">
      <c r="A15" s="24"/>
      <c r="B15" s="37"/>
      <c r="C15" s="37"/>
      <c r="D15" s="38"/>
      <c r="E15" s="39"/>
      <c r="F15" s="38"/>
      <c r="G15" s="38"/>
    </row>
    <row r="16" spans="1:11" s="24" customFormat="1" x14ac:dyDescent="0.25">
      <c r="A16" s="1" t="s">
        <v>112</v>
      </c>
      <c r="B16" s="40" t="s">
        <v>39</v>
      </c>
      <c r="C16" s="41"/>
      <c r="D16" s="4"/>
      <c r="E16" s="5"/>
      <c r="F16" s="6"/>
      <c r="G16" s="4"/>
      <c r="H16" s="10"/>
      <c r="I16" s="10"/>
      <c r="J16" s="10"/>
      <c r="K16" s="10"/>
    </row>
    <row r="17" spans="1:11" s="24" customFormat="1" x14ac:dyDescent="0.25">
      <c r="A17" s="10"/>
      <c r="B17" s="230" t="s">
        <v>3</v>
      </c>
      <c r="C17" s="230" t="s">
        <v>4</v>
      </c>
      <c r="D17" s="231" t="s">
        <v>5</v>
      </c>
      <c r="E17" s="232" t="s">
        <v>6</v>
      </c>
      <c r="F17" s="231" t="s">
        <v>7</v>
      </c>
      <c r="G17" s="231" t="s">
        <v>8</v>
      </c>
      <c r="H17" s="7"/>
      <c r="I17" s="7"/>
      <c r="J17" s="7"/>
      <c r="K17" s="7"/>
    </row>
    <row r="18" spans="1:11" s="24" customFormat="1" x14ac:dyDescent="0.25">
      <c r="A18" s="10"/>
      <c r="B18" s="230"/>
      <c r="C18" s="230"/>
      <c r="D18" s="231"/>
      <c r="E18" s="233"/>
      <c r="F18" s="231"/>
      <c r="G18" s="231"/>
      <c r="H18" s="7"/>
      <c r="I18" s="7"/>
      <c r="J18" s="7"/>
      <c r="K18" s="7"/>
    </row>
    <row r="19" spans="1:11" s="24" customFormat="1" ht="28.5" x14ac:dyDescent="0.25">
      <c r="A19" s="1"/>
      <c r="B19" s="43" t="s">
        <v>40</v>
      </c>
      <c r="C19" s="15" t="s">
        <v>41</v>
      </c>
      <c r="D19" s="25" t="s">
        <v>16</v>
      </c>
      <c r="E19" s="119">
        <f>E7</f>
        <v>104416.1719118371</v>
      </c>
      <c r="F19" s="25" t="s">
        <v>9</v>
      </c>
      <c r="G19" s="26" t="str">
        <f>G7</f>
        <v>Volume air limbah yang diolah untuk pemulihan metana menjadi biogas pada tahun 2020| 'Volume POME' [C18]+('Volume POME' [C18]*1%)</v>
      </c>
      <c r="H19" s="7"/>
      <c r="I19" s="7"/>
      <c r="J19" s="7"/>
      <c r="K19" s="7"/>
    </row>
    <row r="20" spans="1:11" s="31" customFormat="1" ht="28.5" x14ac:dyDescent="0.25">
      <c r="A20" s="1"/>
      <c r="B20" s="43" t="s">
        <v>42</v>
      </c>
      <c r="C20" s="15" t="s">
        <v>43</v>
      </c>
      <c r="D20" s="25" t="s">
        <v>19</v>
      </c>
      <c r="E20" s="118">
        <f>COD!B33/1000</f>
        <v>1.6823783840205955E-2</v>
      </c>
      <c r="F20" s="25" t="s">
        <v>9</v>
      </c>
      <c r="G20" s="26" t="s">
        <v>130</v>
      </c>
      <c r="H20" s="108"/>
      <c r="I20" s="10"/>
      <c r="J20" s="10"/>
      <c r="K20" s="10"/>
    </row>
    <row r="21" spans="1:11" x14ac:dyDescent="0.25">
      <c r="B21" s="43" t="s">
        <v>44</v>
      </c>
      <c r="C21" s="15" t="s">
        <v>45</v>
      </c>
      <c r="D21" s="25" t="s">
        <v>77</v>
      </c>
      <c r="E21" s="109">
        <f>COD!B36</f>
        <v>0.76618309903630788</v>
      </c>
      <c r="F21" s="25" t="s">
        <v>12</v>
      </c>
      <c r="G21" s="27" t="s">
        <v>131</v>
      </c>
      <c r="H21" s="42"/>
      <c r="I21" s="42"/>
      <c r="J21" s="42"/>
      <c r="K21" s="42"/>
    </row>
    <row r="22" spans="1:11" s="10" customFormat="1" ht="50.25" customHeight="1" x14ac:dyDescent="0.25">
      <c r="A22" s="1"/>
      <c r="B22" s="28" t="s">
        <v>46</v>
      </c>
      <c r="C22" s="15" t="s">
        <v>47</v>
      </c>
      <c r="D22" s="29" t="s">
        <v>22</v>
      </c>
      <c r="E22" s="44">
        <f>E10</f>
        <v>0.8</v>
      </c>
      <c r="F22" s="154" t="s">
        <v>10</v>
      </c>
      <c r="G22" s="13" t="str">
        <f>G10</f>
        <v>Tabel 6.3 Bab 6 Hal 13 dari Vol. 5 (Limbah) dari IPCC (2006) | Kedalaman kolam &gt; 2 meter</v>
      </c>
      <c r="H22" s="42"/>
      <c r="I22" s="42"/>
      <c r="J22" s="42"/>
      <c r="K22" s="42"/>
    </row>
    <row r="23" spans="1:11" s="10" customFormat="1" x14ac:dyDescent="0.25">
      <c r="A23" s="1"/>
      <c r="B23" s="28" t="s">
        <v>25</v>
      </c>
      <c r="C23" s="15" t="s">
        <v>26</v>
      </c>
      <c r="D23" s="29" t="s">
        <v>27</v>
      </c>
      <c r="E23" s="45">
        <f>E11</f>
        <v>0.25</v>
      </c>
      <c r="F23" s="12" t="s">
        <v>10</v>
      </c>
      <c r="G23" s="13" t="str">
        <f>G11</f>
        <v xml:space="preserve">Tabel 6.2 Bab 6 Hal 12 dari Vol. 5 (Limbah) dari IPCC (2006) </v>
      </c>
      <c r="H23" s="7"/>
      <c r="I23" s="7"/>
      <c r="J23" s="7"/>
      <c r="K23" s="7"/>
    </row>
    <row r="24" spans="1:11" ht="28.5" x14ac:dyDescent="0.25">
      <c r="B24" s="28" t="s">
        <v>48</v>
      </c>
      <c r="C24" s="15" t="s">
        <v>30</v>
      </c>
      <c r="D24" s="29" t="s">
        <v>22</v>
      </c>
      <c r="E24" s="45">
        <v>1.1200000000000001</v>
      </c>
      <c r="F24" s="12" t="s">
        <v>10</v>
      </c>
      <c r="G24" s="13" t="s">
        <v>49</v>
      </c>
      <c r="H24" s="10"/>
      <c r="I24" s="10"/>
      <c r="J24" s="10"/>
      <c r="K24" s="10"/>
    </row>
    <row r="25" spans="1:11" x14ac:dyDescent="0.25">
      <c r="B25" s="32" t="s">
        <v>32</v>
      </c>
      <c r="C25" s="15" t="s">
        <v>33</v>
      </c>
      <c r="D25" s="33" t="s">
        <v>22</v>
      </c>
      <c r="E25" s="46">
        <f>E13</f>
        <v>28</v>
      </c>
      <c r="F25" s="12" t="s">
        <v>10</v>
      </c>
      <c r="G25" s="26" t="s">
        <v>34</v>
      </c>
      <c r="H25" s="10"/>
      <c r="I25" s="10"/>
      <c r="J25" s="10"/>
      <c r="K25" s="10"/>
    </row>
    <row r="26" spans="1:11" ht="57" x14ac:dyDescent="0.25">
      <c r="B26" s="47" t="s">
        <v>50</v>
      </c>
      <c r="C26" s="48" t="s">
        <v>51</v>
      </c>
      <c r="D26" s="16" t="s">
        <v>11</v>
      </c>
      <c r="E26" s="165">
        <f>E19*E20*E21*E22*E23*E24*E25</f>
        <v>8441.7029179540914</v>
      </c>
      <c r="F26" s="12" t="s">
        <v>12</v>
      </c>
      <c r="G26" s="26" t="s">
        <v>52</v>
      </c>
    </row>
    <row r="27" spans="1:11" s="10" customFormat="1" x14ac:dyDescent="0.25">
      <c r="A27" s="50"/>
      <c r="B27" s="51"/>
      <c r="C27" s="51"/>
      <c r="D27" s="52"/>
      <c r="E27" s="53"/>
      <c r="F27" s="54"/>
      <c r="G27" s="55"/>
      <c r="H27" s="7"/>
      <c r="I27" s="7"/>
      <c r="J27" s="7"/>
      <c r="K27" s="7"/>
    </row>
    <row r="28" spans="1:11" s="42" customFormat="1" x14ac:dyDescent="0.25">
      <c r="A28" s="1" t="s">
        <v>38</v>
      </c>
      <c r="B28" s="40" t="s">
        <v>54</v>
      </c>
      <c r="C28" s="4"/>
      <c r="D28" s="4"/>
      <c r="E28" s="5"/>
      <c r="F28" s="6"/>
      <c r="G28" s="4"/>
      <c r="H28" s="7"/>
      <c r="I28" s="7"/>
      <c r="J28" s="7"/>
      <c r="K28" s="7"/>
    </row>
    <row r="29" spans="1:11" s="42" customFormat="1" x14ac:dyDescent="0.25">
      <c r="A29" s="10"/>
      <c r="B29" s="230" t="s">
        <v>3</v>
      </c>
      <c r="C29" s="230" t="s">
        <v>4</v>
      </c>
      <c r="D29" s="231" t="s">
        <v>5</v>
      </c>
      <c r="E29" s="232" t="s">
        <v>6</v>
      </c>
      <c r="F29" s="231" t="s">
        <v>7</v>
      </c>
      <c r="G29" s="231" t="s">
        <v>8</v>
      </c>
      <c r="H29" s="10"/>
      <c r="I29" s="7"/>
      <c r="J29" s="7"/>
      <c r="K29" s="7"/>
    </row>
    <row r="30" spans="1:11" x14ac:dyDescent="0.25">
      <c r="A30" s="10"/>
      <c r="B30" s="230"/>
      <c r="C30" s="230"/>
      <c r="D30" s="231"/>
      <c r="E30" s="233"/>
      <c r="F30" s="231"/>
      <c r="G30" s="231"/>
      <c r="I30" s="10"/>
      <c r="J30" s="10"/>
      <c r="K30" s="10"/>
    </row>
    <row r="31" spans="1:11" s="10" customFormat="1" ht="28.5" x14ac:dyDescent="0.25">
      <c r="A31" s="1"/>
      <c r="B31" s="32" t="s">
        <v>55</v>
      </c>
      <c r="C31" s="11" t="s">
        <v>56</v>
      </c>
      <c r="D31" s="56" t="s">
        <v>22</v>
      </c>
      <c r="E31" s="44">
        <v>0.9</v>
      </c>
      <c r="F31" s="57" t="s">
        <v>10</v>
      </c>
      <c r="G31" s="13" t="s">
        <v>57</v>
      </c>
      <c r="H31" s="7"/>
      <c r="I31" s="7"/>
      <c r="J31" s="7"/>
      <c r="K31" s="7"/>
    </row>
    <row r="32" spans="1:11" s="10" customFormat="1" ht="28.5" x14ac:dyDescent="0.25">
      <c r="A32" s="1"/>
      <c r="B32" s="32" t="s">
        <v>58</v>
      </c>
      <c r="C32" s="58" t="s">
        <v>59</v>
      </c>
      <c r="D32" s="25" t="s">
        <v>16</v>
      </c>
      <c r="E32" s="119">
        <f>E7</f>
        <v>104416.1719118371</v>
      </c>
      <c r="F32" s="25" t="s">
        <v>9</v>
      </c>
      <c r="G32" s="26" t="str">
        <f>G7</f>
        <v>Volume air limbah yang diolah untuk pemulihan metana menjadi biogas pada tahun 2020| 'Volume POME' [C18]+('Volume POME' [C18]*1%)</v>
      </c>
      <c r="H32" s="7"/>
      <c r="I32" s="7"/>
      <c r="J32" s="7"/>
      <c r="K32" s="7"/>
    </row>
    <row r="33" spans="1:11" x14ac:dyDescent="0.25">
      <c r="B33" s="32" t="s">
        <v>25</v>
      </c>
      <c r="C33" s="11" t="s">
        <v>26</v>
      </c>
      <c r="D33" s="29" t="s">
        <v>27</v>
      </c>
      <c r="E33" s="45">
        <f>E23</f>
        <v>0.25</v>
      </c>
      <c r="F33" s="12" t="s">
        <v>10</v>
      </c>
      <c r="G33" s="13" t="str">
        <f>G23</f>
        <v xml:space="preserve">Tabel 6.2 Bab 6 Hal 12 dari Vol. 5 (Limbah) dari IPCC (2006) </v>
      </c>
      <c r="H33" s="10"/>
    </row>
    <row r="34" spans="1:11" ht="46.5" customHeight="1" x14ac:dyDescent="0.25">
      <c r="B34" s="32" t="s">
        <v>48</v>
      </c>
      <c r="C34" s="11" t="s">
        <v>30</v>
      </c>
      <c r="D34" s="29" t="s">
        <v>22</v>
      </c>
      <c r="E34" s="45">
        <f>E24</f>
        <v>1.1200000000000001</v>
      </c>
      <c r="F34" s="12" t="s">
        <v>10</v>
      </c>
      <c r="G34" s="13" t="str">
        <f>G24</f>
        <v>CDM AMS III H UNFCCC (2019) Hal 21</v>
      </c>
      <c r="H34" s="10"/>
      <c r="I34" s="10"/>
      <c r="J34" s="10"/>
      <c r="K34" s="10"/>
    </row>
    <row r="35" spans="1:11" ht="42.75" x14ac:dyDescent="0.25">
      <c r="B35" s="28" t="s">
        <v>60</v>
      </c>
      <c r="C35" s="32" t="s">
        <v>61</v>
      </c>
      <c r="D35" s="59" t="s">
        <v>19</v>
      </c>
      <c r="E35" s="118">
        <f>COD!B46/1000</f>
        <v>7.1635634194681191E-2</v>
      </c>
      <c r="F35" s="57" t="s">
        <v>12</v>
      </c>
      <c r="G35" s="26" t="s">
        <v>132</v>
      </c>
      <c r="H35" s="14"/>
      <c r="I35" s="10"/>
      <c r="J35" s="10"/>
      <c r="K35" s="10"/>
    </row>
    <row r="36" spans="1:11" ht="42.75" x14ac:dyDescent="0.25">
      <c r="B36" s="28" t="s">
        <v>46</v>
      </c>
      <c r="C36" s="32" t="s">
        <v>62</v>
      </c>
      <c r="D36" s="59" t="s">
        <v>22</v>
      </c>
      <c r="E36" s="44">
        <f>E22</f>
        <v>0.8</v>
      </c>
      <c r="F36" s="12" t="s">
        <v>10</v>
      </c>
      <c r="G36" s="89" t="str">
        <f>G10</f>
        <v>Tabel 6.3 Bab 6 Hal 13 dari Vol. 5 (Limbah) dari IPCC (2006) | Kedalaman kolam &gt; 2 meter</v>
      </c>
      <c r="H36" s="14"/>
      <c r="I36" s="14"/>
      <c r="J36" s="14"/>
      <c r="K36" s="14"/>
    </row>
    <row r="37" spans="1:11" s="10" customFormat="1" x14ac:dyDescent="0.25">
      <c r="A37" s="1"/>
      <c r="B37" s="32" t="s">
        <v>32</v>
      </c>
      <c r="C37" s="11" t="s">
        <v>33</v>
      </c>
      <c r="D37" s="33" t="s">
        <v>22</v>
      </c>
      <c r="E37" s="46">
        <f>E25</f>
        <v>28</v>
      </c>
      <c r="F37" s="12" t="s">
        <v>10</v>
      </c>
      <c r="G37" s="26" t="s">
        <v>34</v>
      </c>
      <c r="H37" s="14"/>
      <c r="I37" s="14"/>
      <c r="J37" s="14"/>
      <c r="K37" s="14"/>
    </row>
    <row r="38" spans="1:11" ht="42.75" x14ac:dyDescent="0.25">
      <c r="A38" s="10"/>
      <c r="B38" s="60" t="s">
        <v>63</v>
      </c>
      <c r="C38" s="61" t="s">
        <v>64</v>
      </c>
      <c r="D38" s="16" t="s">
        <v>11</v>
      </c>
      <c r="E38" s="62">
        <f>(1-E31)*(E32*E33*E34*E35*E36)*E37</f>
        <v>4691.4050055575035</v>
      </c>
      <c r="F38" s="18" t="s">
        <v>12</v>
      </c>
      <c r="G38" s="13" t="s">
        <v>65</v>
      </c>
      <c r="H38" s="14"/>
      <c r="I38" s="14"/>
      <c r="J38" s="14"/>
      <c r="K38" s="14"/>
    </row>
    <row r="39" spans="1:11" x14ac:dyDescent="0.25">
      <c r="H39" s="10"/>
      <c r="I39" s="14"/>
      <c r="J39" s="14"/>
      <c r="K39" s="14"/>
    </row>
    <row r="40" spans="1:11" x14ac:dyDescent="0.25">
      <c r="A40" s="1" t="s">
        <v>53</v>
      </c>
      <c r="B40" s="40" t="s">
        <v>67</v>
      </c>
      <c r="I40" s="10"/>
      <c r="J40" s="10"/>
      <c r="K40" s="10"/>
    </row>
    <row r="41" spans="1:11" s="10" customFormat="1" x14ac:dyDescent="0.25">
      <c r="B41" s="230" t="s">
        <v>3</v>
      </c>
      <c r="C41" s="230" t="s">
        <v>4</v>
      </c>
      <c r="D41" s="231" t="s">
        <v>5</v>
      </c>
      <c r="E41" s="232" t="s">
        <v>6</v>
      </c>
      <c r="F41" s="231" t="s">
        <v>7</v>
      </c>
      <c r="G41" s="231" t="s">
        <v>8</v>
      </c>
      <c r="H41" s="7"/>
      <c r="I41" s="7"/>
      <c r="J41" s="7"/>
      <c r="K41" s="7"/>
    </row>
    <row r="42" spans="1:11" s="10" customFormat="1" x14ac:dyDescent="0.25">
      <c r="B42" s="230"/>
      <c r="C42" s="230"/>
      <c r="D42" s="231"/>
      <c r="E42" s="233"/>
      <c r="F42" s="231"/>
      <c r="G42" s="231"/>
      <c r="H42" s="7"/>
      <c r="I42" s="7"/>
      <c r="J42" s="7"/>
      <c r="K42" s="7"/>
    </row>
    <row r="43" spans="1:11" s="14" customFormat="1" x14ac:dyDescent="0.25">
      <c r="A43" s="1"/>
      <c r="B43" s="32" t="s">
        <v>32</v>
      </c>
      <c r="C43" s="11" t="s">
        <v>33</v>
      </c>
      <c r="D43" s="33" t="s">
        <v>22</v>
      </c>
      <c r="E43" s="46">
        <f>E37</f>
        <v>28</v>
      </c>
      <c r="F43" s="12" t="s">
        <v>10</v>
      </c>
      <c r="G43" s="26" t="s">
        <v>34</v>
      </c>
      <c r="H43" s="7"/>
      <c r="I43" s="7"/>
      <c r="J43" s="7"/>
      <c r="K43" s="7"/>
    </row>
    <row r="44" spans="1:11" s="14" customFormat="1" ht="28.5" x14ac:dyDescent="0.25">
      <c r="A44" s="1"/>
      <c r="B44" s="32" t="s">
        <v>142</v>
      </c>
      <c r="C44" s="58" t="s">
        <v>192</v>
      </c>
      <c r="D44" s="25" t="s">
        <v>170</v>
      </c>
      <c r="E44" s="44">
        <f>('Flare POME turun'!E11-'Flare POME turun'!E23-'Flare POME turun'!E30)*1000</f>
        <v>110138.45151289323</v>
      </c>
      <c r="F44" s="25" t="s">
        <v>12</v>
      </c>
      <c r="G44" s="26" t="s">
        <v>174</v>
      </c>
      <c r="H44" s="7"/>
      <c r="I44" s="7"/>
      <c r="J44" s="7"/>
      <c r="K44" s="7"/>
    </row>
    <row r="45" spans="1:11" s="14" customFormat="1" x14ac:dyDescent="0.25">
      <c r="A45" s="1"/>
      <c r="B45" s="32" t="s">
        <v>193</v>
      </c>
      <c r="C45" s="11" t="s">
        <v>191</v>
      </c>
      <c r="D45" s="29" t="s">
        <v>22</v>
      </c>
      <c r="E45" s="44">
        <v>0.5</v>
      </c>
      <c r="F45" s="12" t="s">
        <v>10</v>
      </c>
      <c r="G45" s="63" t="s">
        <v>110</v>
      </c>
      <c r="H45" s="7"/>
      <c r="I45" s="7"/>
      <c r="J45" s="7"/>
      <c r="K45" s="7"/>
    </row>
    <row r="46" spans="1:11" s="14" customFormat="1" ht="30" x14ac:dyDescent="0.25">
      <c r="A46" s="10"/>
      <c r="B46" s="64" t="s">
        <v>69</v>
      </c>
      <c r="C46" s="61" t="s">
        <v>70</v>
      </c>
      <c r="D46" s="16" t="s">
        <v>11</v>
      </c>
      <c r="E46" s="17">
        <f>E43*E44*(1-E45)*(1/1000)</f>
        <v>1541.9383211805052</v>
      </c>
      <c r="F46" s="18" t="s">
        <v>12</v>
      </c>
      <c r="G46" s="26" t="s">
        <v>171</v>
      </c>
      <c r="H46" s="7"/>
      <c r="I46" s="7"/>
      <c r="J46" s="7"/>
      <c r="K46" s="7"/>
    </row>
    <row r="47" spans="1:11" s="10" customFormat="1" x14ac:dyDescent="0.25">
      <c r="A47" s="1"/>
      <c r="B47" s="4"/>
      <c r="C47" s="4"/>
      <c r="D47" s="4"/>
      <c r="E47" s="5"/>
      <c r="F47" s="6"/>
      <c r="G47" s="4"/>
      <c r="H47" s="7"/>
      <c r="I47" s="7"/>
      <c r="J47" s="7"/>
      <c r="K47" s="7"/>
    </row>
    <row r="48" spans="1:11" x14ac:dyDescent="0.25">
      <c r="A48" s="1" t="s">
        <v>66</v>
      </c>
      <c r="B48" s="65" t="s">
        <v>71</v>
      </c>
    </row>
    <row r="49" spans="1:7" x14ac:dyDescent="0.25">
      <c r="A49" s="10"/>
      <c r="B49" s="234" t="s">
        <v>3</v>
      </c>
      <c r="C49" s="234" t="s">
        <v>4</v>
      </c>
      <c r="D49" s="236" t="s">
        <v>5</v>
      </c>
      <c r="E49" s="236" t="s">
        <v>6</v>
      </c>
      <c r="F49" s="236" t="s">
        <v>7</v>
      </c>
      <c r="G49" s="229" t="s">
        <v>8</v>
      </c>
    </row>
    <row r="50" spans="1:7" x14ac:dyDescent="0.25">
      <c r="A50" s="10"/>
      <c r="B50" s="235"/>
      <c r="C50" s="235"/>
      <c r="D50" s="237"/>
      <c r="E50" s="237"/>
      <c r="F50" s="237"/>
      <c r="G50" s="229"/>
    </row>
    <row r="51" spans="1:7" ht="57" x14ac:dyDescent="0.25">
      <c r="A51" s="10"/>
      <c r="B51" s="66" t="str">
        <f t="shared" ref="B51:G51" si="0">B14</f>
        <v>BEww,treatment,y</v>
      </c>
      <c r="C51" s="32" t="str">
        <f t="shared" si="0"/>
        <v>Emisi baseline dari sistem pengolahan air limbah yang dipengaruhi oleh aktivitas proyek pada tahun y</v>
      </c>
      <c r="D51" s="67" t="str">
        <f t="shared" si="0"/>
        <v xml:space="preserve">t CO2e </v>
      </c>
      <c r="E51" s="139">
        <f t="shared" si="0"/>
        <v>43988.053702179408</v>
      </c>
      <c r="F51" s="67" t="str">
        <f t="shared" si="0"/>
        <v>Perhitungan</v>
      </c>
      <c r="G51" s="32" t="str">
        <f t="shared" si="0"/>
        <v>CDM AMS III H UNFCCC V.19.0 P.13 (2019) | BEww,treatment,y = penjumlahan dari i untuk (Qww,i,y*CODinflow,i,y*ⴄCOD,BL,i*MCFww,treatment,BL,i)*Bo,ww*UFBL* GWPCH4</v>
      </c>
    </row>
    <row r="52" spans="1:7" ht="57" x14ac:dyDescent="0.25">
      <c r="A52" s="10"/>
      <c r="B52" s="66" t="str">
        <f t="shared" ref="B52:G52" si="1">B26</f>
        <v>PEww,treatment,y</v>
      </c>
      <c r="C52" s="68" t="str">
        <f t="shared" si="1"/>
        <v xml:space="preserve">Emisi Proyek dari  sistem pengolahan air limbah  dipengaruhi oleh aktivitas proyek tidak dilengkapi  dengan pemulihan biogas, pada tahun y </v>
      </c>
      <c r="D52" s="69" t="str">
        <f t="shared" si="1"/>
        <v xml:space="preserve">t CO2e </v>
      </c>
      <c r="E52" s="196">
        <f t="shared" si="1"/>
        <v>8441.7029179540914</v>
      </c>
      <c r="F52" s="69" t="str">
        <f t="shared" si="1"/>
        <v>Perhitungan</v>
      </c>
      <c r="G52" s="68" t="str">
        <f t="shared" si="1"/>
        <v>CDM AMS III H UNFCCC V.19.0 P.21 (2019) | PEww,treatment,y = penjumlahan dari i untuk (Qww,k,y*CODinflow,k,y*ⴄCOD,PJ,k*MCFww,treatment,PJ,k)*Bo,ww*UFPJ* GWPCH4</v>
      </c>
    </row>
    <row r="53" spans="1:7" ht="42.75" x14ac:dyDescent="0.25">
      <c r="A53" s="10"/>
      <c r="B53" s="66" t="str">
        <f t="shared" ref="B53:G53" si="2">B38</f>
        <v>PEfugitive,ww,y</v>
      </c>
      <c r="C53" s="32" t="str">
        <f t="shared" si="2"/>
        <v xml:space="preserve">Emisi fugitive melalui inefisiensi penangkapan dalam  sistem pengolahan air limbah anaerobik di tahun y </v>
      </c>
      <c r="D53" s="67" t="str">
        <f t="shared" si="2"/>
        <v xml:space="preserve">t CO2e </v>
      </c>
      <c r="E53" s="139">
        <f t="shared" si="2"/>
        <v>4691.4050055575035</v>
      </c>
      <c r="F53" s="67" t="str">
        <f t="shared" si="2"/>
        <v>Perhitungan</v>
      </c>
      <c r="G53" s="32" t="str">
        <f t="shared" si="2"/>
        <v>CDM AMS III H UNFCCC V.19.0 P.23 (2019) | PEfugitive,ww,y = (1-CFEww)*(Qww,y* Boww*UFPJ)*penjumlahan dari k untuk (CODremoval,PJ,k,y* MCFww,treatment,PJ,k)*GWPCH4</v>
      </c>
    </row>
    <row r="54" spans="1:7" ht="42" customHeight="1" x14ac:dyDescent="0.25">
      <c r="A54" s="10"/>
      <c r="B54" s="70" t="str">
        <f t="shared" ref="B54:G54" si="3">B46</f>
        <v>PEflare,y</v>
      </c>
      <c r="C54" s="68" t="str">
        <f t="shared" si="3"/>
        <v xml:space="preserve">Emisi gas metana akibat flaring yang tidak sempurna pada  tahun y </v>
      </c>
      <c r="D54" s="71" t="str">
        <f t="shared" si="3"/>
        <v xml:space="preserve">t CO2e </v>
      </c>
      <c r="E54" s="197">
        <f t="shared" si="3"/>
        <v>1541.9383211805052</v>
      </c>
      <c r="F54" s="71" t="str">
        <f t="shared" si="3"/>
        <v>Perhitungan</v>
      </c>
      <c r="G54" s="68" t="str">
        <f t="shared" si="3"/>
        <v>Tool 06 V.03.0 P.13 UNFCCC (2019) | PEflare,y = GWPCH4*penjumlahan dari H = 1 menuju 8760 untuk (TM,RG,h)*(1-ⴄflare,m)*(1/1000)</v>
      </c>
    </row>
    <row r="55" spans="1:7" ht="30" x14ac:dyDescent="0.25">
      <c r="A55" s="10"/>
      <c r="B55" s="72" t="s">
        <v>72</v>
      </c>
      <c r="C55" s="73" t="s">
        <v>73</v>
      </c>
      <c r="D55" s="74" t="s">
        <v>11</v>
      </c>
      <c r="E55" s="75">
        <f>E51-SUM(E52:E54)</f>
        <v>29313.007457487307</v>
      </c>
      <c r="F55" s="18" t="s">
        <v>12</v>
      </c>
      <c r="G55" s="73" t="s">
        <v>74</v>
      </c>
    </row>
    <row r="56" spans="1:7" ht="30" x14ac:dyDescent="0.25">
      <c r="B56" s="72" t="s">
        <v>75</v>
      </c>
      <c r="C56" s="76" t="s">
        <v>76</v>
      </c>
      <c r="D56" s="77" t="s">
        <v>77</v>
      </c>
      <c r="E56" s="78">
        <f>(E51-SUM(E52:E54))/E51</f>
        <v>0.66638564315554116</v>
      </c>
      <c r="F56" s="18" t="s">
        <v>12</v>
      </c>
      <c r="G56" s="73" t="s">
        <v>78</v>
      </c>
    </row>
    <row r="58" spans="1:7" x14ac:dyDescent="0.25">
      <c r="D58" s="65"/>
    </row>
    <row r="59" spans="1:7" x14ac:dyDescent="0.25">
      <c r="D59" s="65"/>
    </row>
  </sheetData>
  <mergeCells count="30">
    <mergeCell ref="G49:G50"/>
    <mergeCell ref="B41:B42"/>
    <mergeCell ref="C41:C42"/>
    <mergeCell ref="D41:D42"/>
    <mergeCell ref="E41:E42"/>
    <mergeCell ref="F41:F42"/>
    <mergeCell ref="G41:G42"/>
    <mergeCell ref="B49:B50"/>
    <mergeCell ref="C49:C50"/>
    <mergeCell ref="D49:D50"/>
    <mergeCell ref="E49:E50"/>
    <mergeCell ref="F49:F50"/>
    <mergeCell ref="G29:G30"/>
    <mergeCell ref="B17:B18"/>
    <mergeCell ref="C17:C18"/>
    <mergeCell ref="D17:D18"/>
    <mergeCell ref="E17:E18"/>
    <mergeCell ref="F17:F18"/>
    <mergeCell ref="G17:G18"/>
    <mergeCell ref="B29:B30"/>
    <mergeCell ref="C29:C30"/>
    <mergeCell ref="D29:D30"/>
    <mergeCell ref="E29:E30"/>
    <mergeCell ref="F29:F30"/>
    <mergeCell ref="G5:G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Ringkasan</vt:lpstr>
      <vt:lpstr>Volume POME</vt:lpstr>
      <vt:lpstr>COD</vt:lpstr>
      <vt:lpstr>Em</vt:lpstr>
      <vt:lpstr>Flare</vt:lpstr>
      <vt:lpstr> ER Tanpa skenario</vt:lpstr>
      <vt:lpstr>Em. POME naik</vt:lpstr>
      <vt:lpstr>Flare POME naik</vt:lpstr>
      <vt:lpstr>Em. POME turun</vt:lpstr>
      <vt:lpstr>Flare POME turun</vt:lpstr>
      <vt:lpstr> ER POME naik</vt:lpstr>
      <vt:lpstr> ER POME turun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</dc:creator>
  <cp:lastModifiedBy>Jasmine</cp:lastModifiedBy>
  <dcterms:created xsi:type="dcterms:W3CDTF">2021-02-26T04:27:08Z</dcterms:created>
  <dcterms:modified xsi:type="dcterms:W3CDTF">2021-05-31T03:08:51Z</dcterms:modified>
</cp:coreProperties>
</file>