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ugas Akhir\DRAFTING PUBLIKASI JURNAL\File Supplementary\"/>
    </mc:Choice>
  </mc:AlternateContent>
  <xr:revisionPtr revIDLastSave="0" documentId="13_ncr:1_{739F4202-5723-4FCA-93B4-23A299D0779F}" xr6:coauthVersionLast="45" xr6:coauthVersionMax="45" xr10:uidLastSave="{00000000-0000-0000-0000-000000000000}"/>
  <bookViews>
    <workbookView xWindow="-110" yWindow="-110" windowWidth="19420" windowHeight="10300" xr2:uid="{A7176C0C-99EA-4E4E-BC62-362EC6092103}"/>
  </bookViews>
  <sheets>
    <sheet name="EtOH + EtOAc+DCM" sheetId="2" r:id="rId1"/>
    <sheet name="EtOH+EtOAc" sheetId="1" r:id="rId2"/>
    <sheet name="Resum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2" l="1"/>
  <c r="D46" i="2"/>
  <c r="G42" i="2" s="1"/>
  <c r="D45" i="2"/>
  <c r="N21" i="2"/>
  <c r="N19" i="2"/>
  <c r="D19" i="2"/>
  <c r="D21" i="2"/>
  <c r="AD9" i="2"/>
  <c r="AD6" i="2"/>
  <c r="Z7" i="2"/>
  <c r="AD7" i="2" s="1"/>
  <c r="V11" i="2"/>
  <c r="V10" i="2"/>
  <c r="V9" i="2"/>
  <c r="V8" i="2"/>
  <c r="V7" i="2"/>
  <c r="V6" i="2"/>
  <c r="R34" i="2"/>
  <c r="R35" i="2"/>
  <c r="R36" i="2"/>
  <c r="R37" i="2"/>
  <c r="R33" i="2"/>
  <c r="N39" i="2"/>
  <c r="Q34" i="2"/>
  <c r="Q35" i="2"/>
  <c r="Q36" i="2"/>
  <c r="Q37" i="2"/>
  <c r="Q33" i="2"/>
  <c r="N37" i="2"/>
  <c r="S36" i="2"/>
  <c r="N36" i="2"/>
  <c r="N35" i="2"/>
  <c r="S35" i="2" s="1"/>
  <c r="N34" i="2"/>
  <c r="S34" i="2" s="1"/>
  <c r="N33" i="2"/>
  <c r="N50" i="2"/>
  <c r="N45" i="2"/>
  <c r="Q43" i="2"/>
  <c r="G34" i="2"/>
  <c r="G35" i="2"/>
  <c r="G36" i="2"/>
  <c r="G37" i="2"/>
  <c r="H37" i="2" s="1"/>
  <c r="G38" i="2"/>
  <c r="H38" i="2" s="1"/>
  <c r="G33" i="2"/>
  <c r="H33" i="2" s="1"/>
  <c r="D50" i="2"/>
  <c r="G43" i="2"/>
  <c r="D38" i="2"/>
  <c r="D37" i="2"/>
  <c r="D36" i="2"/>
  <c r="D35" i="2"/>
  <c r="D34" i="2"/>
  <c r="D33" i="2"/>
  <c r="Q10" i="2"/>
  <c r="N10" i="2"/>
  <c r="Q9" i="2"/>
  <c r="R9" i="2" s="1"/>
  <c r="S9" i="2" s="1"/>
  <c r="N9" i="2"/>
  <c r="N22" i="2"/>
  <c r="N18" i="2"/>
  <c r="Q16" i="2"/>
  <c r="N8" i="2"/>
  <c r="S8" i="2" s="1"/>
  <c r="S7" i="2"/>
  <c r="N7" i="2"/>
  <c r="N6" i="2"/>
  <c r="D18" i="2"/>
  <c r="G16" i="2"/>
  <c r="I7" i="2"/>
  <c r="D7" i="2"/>
  <c r="D22" i="2"/>
  <c r="G11" i="2"/>
  <c r="D11" i="2"/>
  <c r="G10" i="2"/>
  <c r="D10" i="2"/>
  <c r="G9" i="2"/>
  <c r="D9" i="2"/>
  <c r="D8" i="2"/>
  <c r="I8" i="2" s="1"/>
  <c r="D6" i="2"/>
  <c r="I6" i="2" s="1"/>
  <c r="AH8" i="1"/>
  <c r="AH7" i="1"/>
  <c r="AD7" i="1"/>
  <c r="AD12" i="1" s="1"/>
  <c r="Z11" i="1"/>
  <c r="Z10" i="1"/>
  <c r="Z7" i="1"/>
  <c r="P51" i="1"/>
  <c r="P49" i="1"/>
  <c r="P47" i="1"/>
  <c r="S44" i="1"/>
  <c r="S38" i="1"/>
  <c r="P38" i="1"/>
  <c r="S37" i="1"/>
  <c r="P37" i="1"/>
  <c r="S36" i="1"/>
  <c r="P36" i="1"/>
  <c r="S35" i="1"/>
  <c r="P35" i="1"/>
  <c r="D51" i="1"/>
  <c r="D47" i="1"/>
  <c r="G44" i="1"/>
  <c r="G39" i="1"/>
  <c r="D39" i="1"/>
  <c r="G38" i="1"/>
  <c r="D38" i="1"/>
  <c r="G37" i="1"/>
  <c r="D37" i="1"/>
  <c r="G36" i="1"/>
  <c r="D36" i="1"/>
  <c r="G35" i="1"/>
  <c r="D35" i="1"/>
  <c r="D40" i="1" s="1"/>
  <c r="B44" i="1" s="1"/>
  <c r="B52" i="1" s="1"/>
  <c r="D55" i="1" s="1"/>
  <c r="S15" i="1"/>
  <c r="P21" i="1"/>
  <c r="P18" i="1"/>
  <c r="S9" i="1"/>
  <c r="P9" i="1"/>
  <c r="S8" i="1"/>
  <c r="P8" i="1"/>
  <c r="S7" i="1"/>
  <c r="T7" i="1" s="1"/>
  <c r="U7" i="1" s="1"/>
  <c r="P7" i="1"/>
  <c r="S6" i="1"/>
  <c r="P6" i="1"/>
  <c r="D21" i="1"/>
  <c r="D18" i="1"/>
  <c r="AD12" i="2" l="1"/>
  <c r="Z12" i="2"/>
  <c r="V12" i="2"/>
  <c r="S37" i="2"/>
  <c r="L43" i="2"/>
  <c r="L51" i="2" s="1"/>
  <c r="N54" i="2" s="1"/>
  <c r="Q12" i="2"/>
  <c r="N20" i="2" s="1"/>
  <c r="S33" i="2"/>
  <c r="Q39" i="2"/>
  <c r="N47" i="2" s="1"/>
  <c r="H10" i="2"/>
  <c r="I10" i="2" s="1"/>
  <c r="H36" i="2"/>
  <c r="I36" i="2" s="1"/>
  <c r="R10" i="2"/>
  <c r="S10" i="2" s="1"/>
  <c r="D39" i="2"/>
  <c r="B43" i="2" s="1"/>
  <c r="B51" i="2" s="1"/>
  <c r="D54" i="2" s="1"/>
  <c r="G39" i="2"/>
  <c r="D47" i="2" s="1"/>
  <c r="H34" i="2"/>
  <c r="I34" i="2" s="1"/>
  <c r="H35" i="2"/>
  <c r="I35" i="2" s="1"/>
  <c r="I38" i="2"/>
  <c r="I37" i="2"/>
  <c r="I33" i="2"/>
  <c r="N12" i="2"/>
  <c r="L16" i="2" s="1"/>
  <c r="L23" i="2" s="1"/>
  <c r="N26" i="2" s="1"/>
  <c r="S6" i="2"/>
  <c r="H11" i="2"/>
  <c r="I11" i="2" s="1"/>
  <c r="D12" i="2"/>
  <c r="B16" i="2" s="1"/>
  <c r="B23" i="2" s="1"/>
  <c r="D26" i="2" s="1"/>
  <c r="G12" i="2"/>
  <c r="D20" i="2" s="1"/>
  <c r="H9" i="2"/>
  <c r="I9" i="2" s="1"/>
  <c r="I12" i="2" s="1"/>
  <c r="D16" i="2" s="1"/>
  <c r="T8" i="1"/>
  <c r="U8" i="1" s="1"/>
  <c r="T37" i="1"/>
  <c r="U37" i="1" s="1"/>
  <c r="T38" i="1"/>
  <c r="U38" i="1" s="1"/>
  <c r="H37" i="1"/>
  <c r="I37" i="1" s="1"/>
  <c r="P40" i="1"/>
  <c r="N44" i="1" s="1"/>
  <c r="N52" i="1" s="1"/>
  <c r="P55" i="1" s="1"/>
  <c r="S40" i="1"/>
  <c r="P48" i="1" s="1"/>
  <c r="H38" i="1"/>
  <c r="I38" i="1" s="1"/>
  <c r="T9" i="1"/>
  <c r="U9" i="1" s="1"/>
  <c r="H35" i="1"/>
  <c r="I35" i="1" s="1"/>
  <c r="T6" i="1"/>
  <c r="U6" i="1" s="1"/>
  <c r="H36" i="1"/>
  <c r="I36" i="1" s="1"/>
  <c r="T36" i="1"/>
  <c r="U36" i="1" s="1"/>
  <c r="P11" i="1"/>
  <c r="N15" i="1" s="1"/>
  <c r="N22" i="1" s="1"/>
  <c r="P25" i="1" s="1"/>
  <c r="H39" i="1"/>
  <c r="I39" i="1" s="1"/>
  <c r="U11" i="1"/>
  <c r="P15" i="1" s="1"/>
  <c r="S11" i="1"/>
  <c r="P19" i="1" s="1"/>
  <c r="T35" i="1"/>
  <c r="U35" i="1" s="1"/>
  <c r="G40" i="1"/>
  <c r="W11" i="2" l="1"/>
  <c r="W7" i="2"/>
  <c r="W10" i="2"/>
  <c r="W6" i="2"/>
  <c r="W9" i="2"/>
  <c r="W8" i="2"/>
  <c r="S39" i="2"/>
  <c r="T39" i="2" s="1"/>
  <c r="S12" i="2"/>
  <c r="N16" i="2" s="1"/>
  <c r="I39" i="2"/>
  <c r="D43" i="2" s="1"/>
  <c r="N23" i="2"/>
  <c r="Q15" i="2"/>
  <c r="D23" i="2"/>
  <c r="G15" i="2"/>
  <c r="S14" i="1"/>
  <c r="P24" i="1" s="1"/>
  <c r="I40" i="1"/>
  <c r="U40" i="1"/>
  <c r="P44" i="1" s="1"/>
  <c r="S43" i="1" s="1"/>
  <c r="P23" i="1"/>
  <c r="P22" i="1"/>
  <c r="U12" i="1"/>
  <c r="U41" i="1"/>
  <c r="D48" i="1"/>
  <c r="G15" i="1"/>
  <c r="G8" i="1"/>
  <c r="G9" i="1"/>
  <c r="G10" i="1"/>
  <c r="D9" i="1"/>
  <c r="D10" i="1"/>
  <c r="D7" i="1"/>
  <c r="D8" i="1"/>
  <c r="Z9" i="1" s="1"/>
  <c r="D6" i="1"/>
  <c r="I6" i="1" s="1"/>
  <c r="W12" i="2" l="1"/>
  <c r="N43" i="2"/>
  <c r="D51" i="2"/>
  <c r="N25" i="2"/>
  <c r="N24" i="2"/>
  <c r="D25" i="2"/>
  <c r="D24" i="2"/>
  <c r="I7" i="1"/>
  <c r="Z8" i="1"/>
  <c r="D44" i="1"/>
  <c r="AH6" i="1"/>
  <c r="AH12" i="1" s="1"/>
  <c r="K40" i="1"/>
  <c r="H9" i="1"/>
  <c r="I9" i="1" s="1"/>
  <c r="Z6" i="1"/>
  <c r="Z12" i="1" s="1"/>
  <c r="AA9" i="1" s="1"/>
  <c r="H10" i="1"/>
  <c r="I10" i="1" s="1"/>
  <c r="P52" i="1"/>
  <c r="D11" i="1"/>
  <c r="H8" i="1"/>
  <c r="I8" i="1" s="1"/>
  <c r="G11" i="1"/>
  <c r="D19" i="1" s="1"/>
  <c r="AA7" i="1" l="1"/>
  <c r="AA6" i="1"/>
  <c r="AA11" i="1"/>
  <c r="AA10" i="1"/>
  <c r="AA8" i="1"/>
  <c r="N51" i="2"/>
  <c r="Q42" i="2"/>
  <c r="D53" i="2"/>
  <c r="D52" i="2"/>
  <c r="I11" i="1"/>
  <c r="D15" i="1" s="1"/>
  <c r="G43" i="1"/>
  <c r="D52" i="1"/>
  <c r="P54" i="1"/>
  <c r="P53" i="1"/>
  <c r="B15" i="1"/>
  <c r="B22" i="1" s="1"/>
  <c r="D25" i="1" s="1"/>
  <c r="K11" i="1" l="1"/>
  <c r="AA12" i="1"/>
  <c r="N53" i="2"/>
  <c r="N52" i="2"/>
  <c r="G14" i="1"/>
  <c r="D23" i="1" s="1"/>
  <c r="D54" i="1"/>
  <c r="D53" i="1"/>
  <c r="D22" i="1"/>
  <c r="D24" i="1" l="1"/>
</calcChain>
</file>

<file path=xl/sharedStrings.xml><?xml version="1.0" encoding="utf-8"?>
<sst xmlns="http://schemas.openxmlformats.org/spreadsheetml/2006/main" count="428" uniqueCount="76">
  <si>
    <t xml:space="preserve">Perhitungan E-Factor </t>
  </si>
  <si>
    <t>Metode I: ABBLE (EtOH-EtOH)</t>
  </si>
  <si>
    <t xml:space="preserve">Jenis Pelarut </t>
  </si>
  <si>
    <t xml:space="preserve">Limbah </t>
  </si>
  <si>
    <t xml:space="preserve">Etanol </t>
  </si>
  <si>
    <t>Volume Awal (mL)</t>
  </si>
  <si>
    <t>Densitas (g/mL)</t>
  </si>
  <si>
    <t>Massa Awal (g)</t>
  </si>
  <si>
    <t>Volume Tersisa (mL)</t>
  </si>
  <si>
    <t>Massa Akhir (g)</t>
  </si>
  <si>
    <t>Recovered (%)</t>
  </si>
  <si>
    <t xml:space="preserve">Etil Asetat </t>
  </si>
  <si>
    <t xml:space="preserve">Air </t>
  </si>
  <si>
    <t>HCl</t>
  </si>
  <si>
    <t xml:space="preserve">Ammonia </t>
  </si>
  <si>
    <t xml:space="preserve">Pelarut/Cairan yang digunakan </t>
  </si>
  <si>
    <t xml:space="preserve">TOTAL </t>
  </si>
  <si>
    <t>Bahan Baku yang Digunakan</t>
  </si>
  <si>
    <t xml:space="preserve">Simplisia Daun Kratom </t>
  </si>
  <si>
    <t xml:space="preserve">Pelarut/Cairan yang Digunakan </t>
  </si>
  <si>
    <t xml:space="preserve">Kertas Saring </t>
  </si>
  <si>
    <t>Massa (g)</t>
  </si>
  <si>
    <t xml:space="preserve">Produk dan Limbah </t>
  </si>
  <si>
    <t>Total Massa</t>
  </si>
  <si>
    <t>Fraksi non Alkaloid (dapat dianalisis lebih lanjut)</t>
  </si>
  <si>
    <t xml:space="preserve">Gummy </t>
  </si>
  <si>
    <t xml:space="preserve">Massa Pelarut recover </t>
  </si>
  <si>
    <t>Senyawa dalam fraksi Air (dapat dianalisis lebih lanjut)</t>
  </si>
  <si>
    <t>E-Factor ( E ) Crude Extract =</t>
  </si>
  <si>
    <t xml:space="preserve">Mitraginin Murni </t>
  </si>
  <si>
    <t xml:space="preserve">Ekstrak Kental Fraksi </t>
  </si>
  <si>
    <t>E Factor Mitraginin Murni =</t>
  </si>
  <si>
    <t>Limbah Total (Limbah Pelarut + Kertas Saring + gummy + fraksi air)</t>
  </si>
  <si>
    <t>Limbah (pelarut)</t>
  </si>
  <si>
    <t>Limbah padat (simplisia residu +kertas saring)</t>
  </si>
  <si>
    <t>Na2SO4</t>
  </si>
  <si>
    <t xml:space="preserve">Na2SO4 Recovery </t>
  </si>
  <si>
    <t xml:space="preserve">PMI </t>
  </si>
  <si>
    <t>Dengan perhitungan air sebagai bagian dari solvent (unrecovery)</t>
  </si>
  <si>
    <t>Dengan perhitungan air sebagai bagian dari solvent (recovery)</t>
  </si>
  <si>
    <t>Produk (Fraksi alklaoid)</t>
  </si>
  <si>
    <t>Produk (Fraksi Alkaloid)</t>
  </si>
  <si>
    <t>Tanpa perhitungan air sebagai bagian dari solvent (unrecovery)</t>
  </si>
  <si>
    <t>kg waste per kg product</t>
  </si>
  <si>
    <t>Residu simplisia Hasil Maserasi (dapat digunakan sebagai pupuk organik)</t>
  </si>
  <si>
    <t xml:space="preserve">Input Material Summary / Bahan yang digunakan </t>
  </si>
  <si>
    <t>Bahan Baku yang digunakan</t>
  </si>
  <si>
    <t>Reaktan</t>
  </si>
  <si>
    <t>Dryng Agents (Na2SO4)</t>
  </si>
  <si>
    <t>Organic Solvents</t>
  </si>
  <si>
    <t>Aqueous solvent</t>
  </si>
  <si>
    <t>Simplisia</t>
  </si>
  <si>
    <t>Lainnya (Kertas saring)</t>
  </si>
  <si>
    <t xml:space="preserve">Summary of Waste Produced during 1 cycle process of isolation and purification </t>
  </si>
  <si>
    <t>Lainnya (Kertas Saring)</t>
  </si>
  <si>
    <t>Drying Agent (Na2SO4)</t>
  </si>
  <si>
    <t>TOTAL</t>
  </si>
  <si>
    <t>Unrecovery</t>
  </si>
  <si>
    <t>Recovery</t>
  </si>
  <si>
    <t>Persentase (%)</t>
  </si>
  <si>
    <t>DCM</t>
  </si>
  <si>
    <t>RESUME E-FACTOR</t>
  </si>
  <si>
    <t xml:space="preserve">Jenis Metode </t>
  </si>
  <si>
    <t xml:space="preserve">E Factor </t>
  </si>
  <si>
    <t xml:space="preserve">Recovery </t>
  </si>
  <si>
    <t xml:space="preserve">Unrecovery </t>
  </si>
  <si>
    <t xml:space="preserve">Crude Extract </t>
  </si>
  <si>
    <t xml:space="preserve">Mitragynine Murni </t>
  </si>
  <si>
    <t>EtOH+EtOAc (Dengan Air)</t>
  </si>
  <si>
    <t>EtOH+EtOAc (Tanpa Air)</t>
  </si>
  <si>
    <t>EtOH + EtOAc + DCM (dengan Air)</t>
  </si>
  <si>
    <t>EtOH + EtOAc + DCM (tanpa Air)</t>
  </si>
  <si>
    <t>tanpa perhitungan air sebagai bagian dari solvent (unrecovery)</t>
  </si>
  <si>
    <t>Residu Simplisia pasca maserasi (dapat dijadikan pupuk organik)</t>
  </si>
  <si>
    <t>tanpa perhitungan air sebagai bagian dari solvent (recovery)</t>
  </si>
  <si>
    <t>Metode II: ABBLE (EtOH-EtOAc-DCM)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</si>
</sst>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4" xfId="0" applyBorder="1"/>
    <xf numFmtId="0" fontId="0" fillId="0" borderId="4" xfId="0" applyBorder="1" applyAlignment="1">
      <alignment horizontal="left" vertical="center" wrapText="1"/>
    </xf>
    <xf numFmtId="0" fontId="0" fillId="0" borderId="7" xfId="0" applyBorder="1"/>
    <xf numFmtId="0" fontId="0" fillId="4" borderId="3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/>
    <xf numFmtId="0" fontId="0" fillId="5" borderId="3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3" fontId="0" fillId="5" borderId="0" xfId="0" applyNumberFormat="1" applyFill="1" applyBorder="1" applyAlignment="1">
      <alignment horizontal="left" vertical="center" wrapText="1"/>
    </xf>
    <xf numFmtId="0" fontId="0" fillId="5" borderId="0" xfId="0" applyFill="1"/>
    <xf numFmtId="0" fontId="0" fillId="0" borderId="10" xfId="0" applyBorder="1"/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0" xfId="0" applyFill="1" applyBorder="1"/>
    <xf numFmtId="0" fontId="1" fillId="3" borderId="2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7" borderId="0" xfId="0" applyFont="1" applyFill="1"/>
    <xf numFmtId="0" fontId="2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10" borderId="2" xfId="0" applyFill="1" applyBorder="1"/>
    <xf numFmtId="0" fontId="0" fillId="10" borderId="0" xfId="0" applyFill="1"/>
    <xf numFmtId="0" fontId="0" fillId="10" borderId="4" xfId="0" applyFill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Bahan yang Digunakan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7-4163-9C68-771AA12C17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F7-4163-9C68-771AA12C17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F7-4163-9C68-771AA12C17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F7-4163-9C68-771AA12C17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F7-4163-9C68-771AA12C17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F7-4163-9C68-771AA12C17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'EtOH + EtOAc+DCM'!$U$6:$U$11</c:f>
              <c:strCache>
                <c:ptCount val="6"/>
                <c:pt idx="0">
                  <c:v>Reaktan</c:v>
                </c:pt>
                <c:pt idx="1">
                  <c:v>Dryng Agents (Na2SO4)</c:v>
                </c:pt>
                <c:pt idx="2">
                  <c:v>Organic Solvents</c:v>
                </c:pt>
                <c:pt idx="3">
                  <c:v>Aqueous solvent</c:v>
                </c:pt>
                <c:pt idx="4">
                  <c:v>Simplisia</c:v>
                </c:pt>
                <c:pt idx="5">
                  <c:v>Lainnya (Kertas saring)</c:v>
                </c:pt>
              </c:strCache>
            </c:strRef>
          </c:cat>
          <c:val>
            <c:numRef>
              <c:f>'EtOH + EtOAc+DCM'!$V$6:$V$11</c:f>
              <c:numCache>
                <c:formatCode>General</c:formatCode>
                <c:ptCount val="6"/>
                <c:pt idx="0">
                  <c:v>4.2300000000000004</c:v>
                </c:pt>
                <c:pt idx="1">
                  <c:v>3</c:v>
                </c:pt>
                <c:pt idx="2">
                  <c:v>1064.0999999999999</c:v>
                </c:pt>
                <c:pt idx="3">
                  <c:v>2000</c:v>
                </c:pt>
                <c:pt idx="4">
                  <c:v>100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6-4D90-BCF9-A4872D047F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Limbah yang dihasilkan (Unrecovery)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C5-4C71-8784-F4C467B44D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C5-4C71-8784-F4C467B44D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C5-4C71-8784-F4C467B44D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C5-4C71-8784-F4C467B44D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C5-4C71-8784-F4C467B44D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C5-4C71-8784-F4C467B44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'EtOH + EtOAc+DCM'!$Y$6:$Y$11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D-418C-94DC-61AB8AE20AE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C5-4C71-8784-F4C467B44D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C5-4C71-8784-F4C467B44D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C5-4C71-8784-F4C467B44D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C5-4C71-8784-F4C467B44D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CC5-4C71-8784-F4C467B44D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CC5-4C71-8784-F4C467B44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'EtOH + EtOAc+DCM'!$Z$6:$Z$11</c:f>
              <c:numCache>
                <c:formatCode>General</c:formatCode>
                <c:ptCount val="6"/>
                <c:pt idx="0">
                  <c:v>3068.33</c:v>
                </c:pt>
                <c:pt idx="1">
                  <c:v>13.530799999999999</c:v>
                </c:pt>
                <c:pt idx="2">
                  <c:v>3</c:v>
                </c:pt>
                <c:pt idx="3">
                  <c:v>70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D-418C-94DC-61AB8AE20A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Limbah yang dihasilkan (Recovery)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8-4D89-B98F-3C1114E678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8-4D89-B98F-3C1114E678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8-4D89-B98F-3C1114E678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38-4D89-B98F-3C1114E678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38-4D89-B98F-3C1114E678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38-4D89-B98F-3C1114E67830}"/>
              </c:ext>
            </c:extLst>
          </c:dPt>
          <c:val>
            <c:numRef>
              <c:f>'EtOH + EtOAc+DCM'!$AC$6:$AC$11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C-416F-8417-C06237F408F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38-4D89-B98F-3C1114E678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38-4D89-B98F-3C1114E678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38-4D89-B98F-3C1114E678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38-4D89-B98F-3C1114E678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038-4D89-B98F-3C1114E678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038-4D89-B98F-3C1114E67830}"/>
              </c:ext>
            </c:extLst>
          </c:dPt>
          <c:val>
            <c:numRef>
              <c:f>'EtOH + EtOAc+DCM'!$AD$6:$AD$11</c:f>
              <c:numCache>
                <c:formatCode>General</c:formatCode>
                <c:ptCount val="6"/>
                <c:pt idx="0">
                  <c:v>2146.9780000000001</c:v>
                </c:pt>
                <c:pt idx="1">
                  <c:v>13.530799999999999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C-416F-8417-C06237F4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Bahan-Bahan yang Digunakan dalam 1 siklus proses isolasi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177381584627671"/>
          <c:y val="0.20690678669452739"/>
          <c:w val="0.39837417942880687"/>
          <c:h val="0.618638240030802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CE-448D-8542-367861BC42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CE-448D-8542-367861BC42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CE-448D-8542-367861BC42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CE-448D-8542-367861BC42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CE-448D-8542-367861BC42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CE-448D-8542-367861BC4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'EtOH+EtOAc'!$Y$6:$Y$11</c:f>
              <c:strCache>
                <c:ptCount val="6"/>
                <c:pt idx="0">
                  <c:v>Reaktan</c:v>
                </c:pt>
                <c:pt idx="1">
                  <c:v>Dryng Agents (Na2SO4)</c:v>
                </c:pt>
                <c:pt idx="2">
                  <c:v>Organic Solvents</c:v>
                </c:pt>
                <c:pt idx="3">
                  <c:v>Aqueous solvent</c:v>
                </c:pt>
                <c:pt idx="4">
                  <c:v>Simplisia</c:v>
                </c:pt>
                <c:pt idx="5">
                  <c:v>Lainnya (Kertas saring)</c:v>
                </c:pt>
              </c:strCache>
            </c:strRef>
          </c:cat>
          <c:val>
            <c:numRef>
              <c:f>'EtOH+EtOAc'!$Z$6:$Z$11</c:f>
              <c:numCache>
                <c:formatCode>General</c:formatCode>
                <c:ptCount val="6"/>
                <c:pt idx="0">
                  <c:v>4.2300000000000004</c:v>
                </c:pt>
                <c:pt idx="1">
                  <c:v>3</c:v>
                </c:pt>
                <c:pt idx="2">
                  <c:v>935.7</c:v>
                </c:pt>
                <c:pt idx="3">
                  <c:v>2000</c:v>
                </c:pt>
                <c:pt idx="4">
                  <c:v>100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6-4CC4-865C-EE52F483F1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Limbah yang dihasilkan (Unrecovery)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663519728617765"/>
          <c:y val="0.21864864678849869"/>
          <c:w val="0.42672960542764465"/>
          <c:h val="0.639867482478837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81-49ED-9C86-CDF0A812C1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81-49ED-9C86-CDF0A812C1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81-49ED-9C86-CDF0A812C1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81-49ED-9C86-CDF0A812C1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81-49ED-9C86-CDF0A812C19A}"/>
              </c:ext>
            </c:extLst>
          </c:dPt>
          <c:dLbls>
            <c:dLbl>
              <c:idx val="0"/>
              <c:layout>
                <c:manualLayout>
                  <c:x val="0.18893874839807365"/>
                  <c:y val="-0.149891756630348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81-49ED-9C86-CDF0A812C19A}"/>
                </c:ext>
              </c:extLst>
            </c:dLbl>
            <c:dLbl>
              <c:idx val="1"/>
              <c:layout>
                <c:manualLayout>
                  <c:x val="-0.14706860488697357"/>
                  <c:y val="2.69925961184914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1-49ED-9C86-CDF0A812C19A}"/>
                </c:ext>
              </c:extLst>
            </c:dLbl>
            <c:dLbl>
              <c:idx val="2"/>
              <c:layout>
                <c:manualLayout>
                  <c:x val="-3.5571294854543363E-2"/>
                  <c:y val="-7.25736017261005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81-49ED-9C86-CDF0A812C19A}"/>
                </c:ext>
              </c:extLst>
            </c:dLbl>
            <c:dLbl>
              <c:idx val="3"/>
              <c:layout>
                <c:manualLayout>
                  <c:x val="5.7058526436873376E-2"/>
                  <c:y val="-2.05472413497466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1-49ED-9C86-CDF0A812C19A}"/>
                </c:ext>
              </c:extLst>
            </c:dLbl>
            <c:dLbl>
              <c:idx val="4"/>
              <c:layout>
                <c:manualLayout>
                  <c:x val="0.12809010500198992"/>
                  <c:y val="-9.341131172434029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1-49ED-9C86-CDF0A812C1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'EtOH+EtOAc'!$AC$6:$AC$10</c:f>
              <c:strCache>
                <c:ptCount val="5"/>
                <c:pt idx="0">
                  <c:v>Limbah (pelarut)</c:v>
                </c:pt>
                <c:pt idx="1">
                  <c:v>Gummy </c:v>
                </c:pt>
                <c:pt idx="2">
                  <c:v>Drying Agent (Na2SO4)</c:v>
                </c:pt>
                <c:pt idx="3">
                  <c:v>Simplisia</c:v>
                </c:pt>
                <c:pt idx="4">
                  <c:v>Lainnya (Kertas Saring)</c:v>
                </c:pt>
              </c:strCache>
            </c:strRef>
          </c:cat>
          <c:val>
            <c:numRef>
              <c:f>'EtOH+EtOAc'!$AD$6:$AD$10</c:f>
              <c:numCache>
                <c:formatCode>General</c:formatCode>
                <c:ptCount val="5"/>
                <c:pt idx="0">
                  <c:v>2939.93</c:v>
                </c:pt>
                <c:pt idx="1">
                  <c:v>13.5108</c:v>
                </c:pt>
                <c:pt idx="2">
                  <c:v>3</c:v>
                </c:pt>
                <c:pt idx="3">
                  <c:v>70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1-49ED-9C86-CDF0A812C1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Limbah yang dihasilkan (Recovery)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377624590504732"/>
          <c:y val="0.19279168494464405"/>
          <c:w val="0.38893820989296674"/>
          <c:h val="0.630497601620642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A00-46AF-B9C0-71A10DE29D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00-46AF-B9C0-71A10DE29D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00-46AF-B9C0-71A10DE29D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00-46AF-B9C0-71A10DE29D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00-46AF-B9C0-71A10DE29D11}"/>
              </c:ext>
            </c:extLst>
          </c:dPt>
          <c:dLbls>
            <c:dLbl>
              <c:idx val="0"/>
              <c:layout>
                <c:manualLayout>
                  <c:x val="0.17745900697406355"/>
                  <c:y val="-0.13336833162551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00-46AF-B9C0-71A10DE29D11}"/>
                </c:ext>
              </c:extLst>
            </c:dLbl>
            <c:dLbl>
              <c:idx val="1"/>
              <c:layout>
                <c:manualLayout>
                  <c:x val="3.0512907711463425E-2"/>
                  <c:y val="-1.86492202846396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0-46AF-B9C0-71A10DE29D11}"/>
                </c:ext>
              </c:extLst>
            </c:dLbl>
            <c:dLbl>
              <c:idx val="2"/>
              <c:layout>
                <c:manualLayout>
                  <c:x val="-9.2093957746334387E-2"/>
                  <c:y val="1.89418082525804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0-46AF-B9C0-71A10DE29D11}"/>
                </c:ext>
              </c:extLst>
            </c:dLbl>
            <c:dLbl>
              <c:idx val="3"/>
              <c:layout>
                <c:manualLayout>
                  <c:x val="0.11198008271125891"/>
                  <c:y val="8.916986689141925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0-46AF-B9C0-71A10DE29D11}"/>
                </c:ext>
              </c:extLst>
            </c:dLbl>
            <c:dLbl>
              <c:idx val="4"/>
              <c:layout>
                <c:manualLayout>
                  <c:x val="-0.18937220443073585"/>
                  <c:y val="4.77069944100963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0-46AF-B9C0-71A10DE29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'EtOH+EtOAc'!$AG$6:$AG$10</c:f>
              <c:strCache>
                <c:ptCount val="5"/>
                <c:pt idx="0">
                  <c:v>Limbah (pelarut)</c:v>
                </c:pt>
                <c:pt idx="1">
                  <c:v>Gummy </c:v>
                </c:pt>
                <c:pt idx="2">
                  <c:v>Drying Agent (Na2SO4)</c:v>
                </c:pt>
                <c:pt idx="3">
                  <c:v>Simplisia</c:v>
                </c:pt>
                <c:pt idx="4">
                  <c:v>Lainnya (Kertas Saring)</c:v>
                </c:pt>
              </c:strCache>
            </c:strRef>
          </c:cat>
          <c:val>
            <c:numRef>
              <c:f>'EtOH+EtOAc'!$AH$6:$AH$10</c:f>
              <c:numCache>
                <c:formatCode>General</c:formatCode>
                <c:ptCount val="5"/>
                <c:pt idx="0">
                  <c:v>2088.7800000000002</c:v>
                </c:pt>
                <c:pt idx="1">
                  <c:v>13.5108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0-46AF-B9C0-71A10DE29D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139044</xdr:colOff>
      <xdr:row>13</xdr:row>
      <xdr:rowOff>341806</xdr:rowOff>
    </xdr:from>
    <xdr:to>
      <xdr:col>23</xdr:col>
      <xdr:colOff>342682</xdr:colOff>
      <xdr:row>15</xdr:row>
      <xdr:rowOff>687333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F2DBB7-973F-4610-AA25-B582741E5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609819</xdr:colOff>
      <xdr:row>13</xdr:row>
      <xdr:rowOff>319909</xdr:rowOff>
    </xdr:from>
    <xdr:to>
      <xdr:col>28</xdr:col>
      <xdr:colOff>474060</xdr:colOff>
      <xdr:row>15</xdr:row>
      <xdr:rowOff>665436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B8C3A7-F0E5-4718-85C4-DCD3E53B0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95250</xdr:colOff>
      <xdr:row>12</xdr:row>
      <xdr:rowOff>133788</xdr:rowOff>
    </xdr:from>
    <xdr:to>
      <xdr:col>34</xdr:col>
      <xdr:colOff>112767</xdr:colOff>
      <xdr:row>15</xdr:row>
      <xdr:rowOff>293194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3001E1-855C-4ADF-B36D-1C0EDDD93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33127</xdr:colOff>
      <xdr:row>13</xdr:row>
      <xdr:rowOff>222801</xdr:rowOff>
    </xdr:from>
    <xdr:to>
      <xdr:col>28</xdr:col>
      <xdr:colOff>2015433</xdr:colOff>
      <xdr:row>19</xdr:row>
      <xdr:rowOff>496956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7ACA22-AF3A-4D87-A190-80FE0D8D6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2462696</xdr:colOff>
      <xdr:row>13</xdr:row>
      <xdr:rowOff>222800</xdr:rowOff>
    </xdr:from>
    <xdr:to>
      <xdr:col>37</xdr:col>
      <xdr:colOff>207065</xdr:colOff>
      <xdr:row>19</xdr:row>
      <xdr:rowOff>469348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DD963C-D086-4223-B01F-0A651095C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39703</xdr:colOff>
      <xdr:row>13</xdr:row>
      <xdr:rowOff>253696</xdr:rowOff>
    </xdr:from>
    <xdr:to>
      <xdr:col>50</xdr:col>
      <xdr:colOff>483809</xdr:colOff>
      <xdr:row>19</xdr:row>
      <xdr:rowOff>302381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E7B8693-1A0B-43DB-95FC-C6809A8E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7917-5E80-4823-B298-5034BA3F7BCF}">
  <dimension ref="A1:AD54"/>
  <sheetViews>
    <sheetView tabSelected="1" topLeftCell="M1" zoomScale="58" workbookViewId="0">
      <selection activeCell="C43" sqref="C43"/>
    </sheetView>
  </sheetViews>
  <sheetFormatPr defaultRowHeight="14.5" x14ac:dyDescent="0.35"/>
  <cols>
    <col min="6" max="6" width="11.08984375" customWidth="1"/>
    <col min="21" max="21" width="44.90625" bestFit="1" customWidth="1"/>
    <col min="25" max="25" width="32.36328125" customWidth="1"/>
    <col min="29" max="29" width="21.26953125" bestFit="1" customWidth="1"/>
  </cols>
  <sheetData>
    <row r="1" spans="1:30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30" x14ac:dyDescent="0.35">
      <c r="A2" s="40" t="s">
        <v>75</v>
      </c>
      <c r="B2" s="40"/>
      <c r="C2" s="40"/>
      <c r="K2" s="40" t="s">
        <v>75</v>
      </c>
      <c r="L2" s="40"/>
      <c r="M2" s="40"/>
    </row>
    <row r="3" spans="1:30" x14ac:dyDescent="0.35">
      <c r="A3" s="30" t="s">
        <v>38</v>
      </c>
      <c r="B3" s="30"/>
      <c r="C3" s="30"/>
      <c r="K3" s="30" t="s">
        <v>72</v>
      </c>
      <c r="L3" s="30"/>
      <c r="M3" s="30"/>
      <c r="U3" t="s">
        <v>45</v>
      </c>
      <c r="Y3" t="s">
        <v>53</v>
      </c>
    </row>
    <row r="4" spans="1:30" x14ac:dyDescent="0.35">
      <c r="A4" s="2" t="s">
        <v>15</v>
      </c>
      <c r="K4" s="2" t="s">
        <v>15</v>
      </c>
      <c r="Y4" s="30" t="s">
        <v>57</v>
      </c>
      <c r="AC4" s="30" t="s">
        <v>58</v>
      </c>
    </row>
    <row r="5" spans="1:30" ht="72.5" x14ac:dyDescent="0.35">
      <c r="A5" s="21" t="s">
        <v>2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6</v>
      </c>
      <c r="G5" s="22" t="s">
        <v>9</v>
      </c>
      <c r="H5" s="22" t="s">
        <v>10</v>
      </c>
      <c r="I5" s="22" t="s">
        <v>3</v>
      </c>
      <c r="K5" s="21" t="s">
        <v>2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6</v>
      </c>
      <c r="Q5" s="22" t="s">
        <v>9</v>
      </c>
      <c r="R5" s="22" t="s">
        <v>10</v>
      </c>
      <c r="S5" s="22" t="s">
        <v>3</v>
      </c>
      <c r="U5" s="31" t="s">
        <v>46</v>
      </c>
      <c r="V5" s="31" t="s">
        <v>21</v>
      </c>
      <c r="W5" s="33" t="s">
        <v>59</v>
      </c>
      <c r="X5" s="1"/>
      <c r="Y5" s="19" t="s">
        <v>22</v>
      </c>
      <c r="Z5" s="19" t="s">
        <v>21</v>
      </c>
      <c r="AA5" s="1"/>
      <c r="AB5" s="1"/>
      <c r="AC5" s="19" t="s">
        <v>22</v>
      </c>
      <c r="AD5" s="19" t="s">
        <v>21</v>
      </c>
    </row>
    <row r="6" spans="1:30" ht="21" customHeight="1" x14ac:dyDescent="0.35">
      <c r="A6" s="23" t="s">
        <v>4</v>
      </c>
      <c r="B6" s="23">
        <v>500</v>
      </c>
      <c r="C6" s="23">
        <v>0.78900000000000003</v>
      </c>
      <c r="D6" s="24">
        <f>B6*C6</f>
        <v>394.5</v>
      </c>
      <c r="E6" s="24">
        <v>0</v>
      </c>
      <c r="F6" s="23">
        <v>0.78900000000000003</v>
      </c>
      <c r="G6" s="24">
        <v>0</v>
      </c>
      <c r="H6" s="24">
        <v>0</v>
      </c>
      <c r="I6" s="24">
        <f>(100-H6)%*D6</f>
        <v>394.5</v>
      </c>
      <c r="K6" s="23" t="s">
        <v>4</v>
      </c>
      <c r="L6" s="23">
        <v>500</v>
      </c>
      <c r="M6" s="23">
        <v>0.78900000000000003</v>
      </c>
      <c r="N6" s="24">
        <f>L6*M6</f>
        <v>394.5</v>
      </c>
      <c r="O6" s="24">
        <v>0</v>
      </c>
      <c r="P6" s="23">
        <v>0.78900000000000003</v>
      </c>
      <c r="Q6" s="24">
        <v>0</v>
      </c>
      <c r="R6" s="24">
        <v>0</v>
      </c>
      <c r="S6" s="24">
        <f>(100-R6)%*N6</f>
        <v>394.5</v>
      </c>
      <c r="U6" s="8" t="s">
        <v>47</v>
      </c>
      <c r="V6" s="8">
        <f>D10+D11</f>
        <v>4.2300000000000004</v>
      </c>
      <c r="W6" s="8">
        <f>V6/V12*100</f>
        <v>0.13317256078556072</v>
      </c>
      <c r="Y6" s="10" t="s">
        <v>33</v>
      </c>
      <c r="Z6" s="10">
        <v>3068.33</v>
      </c>
      <c r="AC6" s="10" t="s">
        <v>33</v>
      </c>
      <c r="AD6" s="10">
        <f>I39</f>
        <v>2146.9780000000001</v>
      </c>
    </row>
    <row r="7" spans="1:30" x14ac:dyDescent="0.35">
      <c r="A7" s="24" t="s">
        <v>60</v>
      </c>
      <c r="B7" s="24">
        <v>300</v>
      </c>
      <c r="C7" s="24">
        <v>1.33</v>
      </c>
      <c r="D7" s="24">
        <f>B7*C7</f>
        <v>399</v>
      </c>
      <c r="E7" s="24">
        <v>0</v>
      </c>
      <c r="F7" s="24">
        <v>1.33</v>
      </c>
      <c r="G7" s="24">
        <v>0</v>
      </c>
      <c r="H7" s="24">
        <v>0</v>
      </c>
      <c r="I7" s="24">
        <f>(100-H7)%*D7</f>
        <v>399</v>
      </c>
      <c r="K7" s="24" t="s">
        <v>60</v>
      </c>
      <c r="L7" s="24">
        <v>300</v>
      </c>
      <c r="M7" s="24">
        <v>1.33</v>
      </c>
      <c r="N7" s="24">
        <f>L7*M7</f>
        <v>399</v>
      </c>
      <c r="O7" s="24">
        <v>0</v>
      </c>
      <c r="P7" s="24">
        <v>1.33</v>
      </c>
      <c r="Q7" s="24">
        <v>0</v>
      </c>
      <c r="R7" s="24">
        <v>0</v>
      </c>
      <c r="S7" s="24">
        <f>(100-R7)%*N7</f>
        <v>399</v>
      </c>
      <c r="U7" s="8" t="s">
        <v>48</v>
      </c>
      <c r="V7" s="8">
        <f>B18</f>
        <v>3</v>
      </c>
      <c r="W7" s="8">
        <f>V7/V12*100</f>
        <v>9.4448624670610423E-2</v>
      </c>
      <c r="Y7" s="10" t="s">
        <v>25</v>
      </c>
      <c r="Z7" s="10">
        <f>D19</f>
        <v>13.530799999999999</v>
      </c>
      <c r="AC7" s="10" t="s">
        <v>25</v>
      </c>
      <c r="AD7" s="10">
        <f>Z7</f>
        <v>13.530799999999999</v>
      </c>
    </row>
    <row r="8" spans="1:30" ht="23.5" customHeight="1" x14ac:dyDescent="0.35">
      <c r="A8" s="24" t="s">
        <v>11</v>
      </c>
      <c r="B8" s="24">
        <v>300</v>
      </c>
      <c r="C8" s="24">
        <v>0.90200000000000002</v>
      </c>
      <c r="D8" s="24">
        <f t="shared" ref="D8:D11" si="0">B8*C8</f>
        <v>270.60000000000002</v>
      </c>
      <c r="E8" s="24">
        <v>0</v>
      </c>
      <c r="F8" s="24">
        <v>0.90200000000000002</v>
      </c>
      <c r="G8" s="24">
        <v>0</v>
      </c>
      <c r="H8" s="24">
        <v>0</v>
      </c>
      <c r="I8" s="24">
        <f t="shared" ref="I8:I11" si="1">(100-H8)%*D8</f>
        <v>270.60000000000002</v>
      </c>
      <c r="K8" s="24" t="s">
        <v>11</v>
      </c>
      <c r="L8" s="24">
        <v>300</v>
      </c>
      <c r="M8" s="24">
        <v>0.90200000000000002</v>
      </c>
      <c r="N8" s="24">
        <f t="shared" ref="N8" si="2">L8*M8</f>
        <v>270.60000000000002</v>
      </c>
      <c r="O8" s="24">
        <v>0</v>
      </c>
      <c r="P8" s="24">
        <v>0.90200000000000002</v>
      </c>
      <c r="Q8" s="24">
        <v>0</v>
      </c>
      <c r="R8" s="24">
        <v>0</v>
      </c>
      <c r="S8" s="24">
        <f t="shared" ref="S8" si="3">(100-R8)%*N8</f>
        <v>270.60000000000002</v>
      </c>
      <c r="U8" s="8" t="s">
        <v>49</v>
      </c>
      <c r="V8" s="8">
        <f>D6+D8+D7</f>
        <v>1064.0999999999999</v>
      </c>
      <c r="W8" s="8">
        <f>V8/V12*100</f>
        <v>33.500927170665513</v>
      </c>
      <c r="Y8" s="20" t="s">
        <v>55</v>
      </c>
      <c r="Z8" s="12">
        <v>3</v>
      </c>
      <c r="AC8" s="20" t="s">
        <v>55</v>
      </c>
      <c r="AD8" s="12">
        <v>0</v>
      </c>
    </row>
    <row r="9" spans="1:30" x14ac:dyDescent="0.35">
      <c r="A9" s="24" t="s">
        <v>12</v>
      </c>
      <c r="B9" s="24">
        <v>2000</v>
      </c>
      <c r="C9" s="24">
        <v>1</v>
      </c>
      <c r="D9" s="24">
        <f t="shared" si="0"/>
        <v>2000</v>
      </c>
      <c r="E9" s="24">
        <v>0</v>
      </c>
      <c r="F9" s="24">
        <v>1</v>
      </c>
      <c r="G9" s="24">
        <f t="shared" ref="G9:G11" si="4">E9*F9</f>
        <v>0</v>
      </c>
      <c r="H9" s="24">
        <f t="shared" ref="H9:H11" si="5">(G9/D9)*100</f>
        <v>0</v>
      </c>
      <c r="I9" s="24">
        <f t="shared" si="1"/>
        <v>2000</v>
      </c>
      <c r="K9" s="24" t="s">
        <v>13</v>
      </c>
      <c r="L9" s="24">
        <v>1.5</v>
      </c>
      <c r="M9" s="24">
        <v>1.02</v>
      </c>
      <c r="N9" s="24">
        <f t="shared" ref="N9:N10" si="6">L9*M9</f>
        <v>1.53</v>
      </c>
      <c r="O9" s="24">
        <v>0</v>
      </c>
      <c r="P9" s="24">
        <v>1.02</v>
      </c>
      <c r="Q9" s="24">
        <f t="shared" ref="Q9:Q10" si="7">O9*P9</f>
        <v>0</v>
      </c>
      <c r="R9" s="24">
        <f t="shared" ref="R9:R10" si="8">(Q9/N9)*100</f>
        <v>0</v>
      </c>
      <c r="S9" s="24">
        <f t="shared" ref="S9:S10" si="9">(100-R9)%*N9</f>
        <v>1.53</v>
      </c>
      <c r="U9" s="8" t="s">
        <v>50</v>
      </c>
      <c r="V9" s="8">
        <f>D9</f>
        <v>2000</v>
      </c>
      <c r="W9" s="8">
        <f>V9/V12*100</f>
        <v>62.965749780406952</v>
      </c>
      <c r="Y9" s="12" t="s">
        <v>51</v>
      </c>
      <c r="Z9" s="12">
        <v>70</v>
      </c>
      <c r="AC9" s="12" t="s">
        <v>51</v>
      </c>
      <c r="AD9" s="12">
        <f>0</f>
        <v>0</v>
      </c>
    </row>
    <row r="10" spans="1:30" x14ac:dyDescent="0.35">
      <c r="A10" s="24" t="s">
        <v>13</v>
      </c>
      <c r="B10" s="24">
        <v>1.5</v>
      </c>
      <c r="C10" s="24">
        <v>1.02</v>
      </c>
      <c r="D10" s="24">
        <f t="shared" si="0"/>
        <v>1.53</v>
      </c>
      <c r="E10" s="24">
        <v>0</v>
      </c>
      <c r="F10" s="24">
        <v>1.02</v>
      </c>
      <c r="G10" s="24">
        <f t="shared" si="4"/>
        <v>0</v>
      </c>
      <c r="H10" s="24">
        <f t="shared" si="5"/>
        <v>0</v>
      </c>
      <c r="I10" s="24">
        <f t="shared" si="1"/>
        <v>1.53</v>
      </c>
      <c r="K10" s="24" t="s">
        <v>14</v>
      </c>
      <c r="L10" s="24">
        <v>3</v>
      </c>
      <c r="M10" s="24">
        <v>0.9</v>
      </c>
      <c r="N10" s="24">
        <f t="shared" si="6"/>
        <v>2.7</v>
      </c>
      <c r="O10" s="24">
        <v>0</v>
      </c>
      <c r="P10" s="24">
        <v>0.9</v>
      </c>
      <c r="Q10" s="24">
        <f t="shared" si="7"/>
        <v>0</v>
      </c>
      <c r="R10" s="24">
        <f t="shared" si="8"/>
        <v>0</v>
      </c>
      <c r="S10" s="24">
        <f t="shared" si="9"/>
        <v>2.7</v>
      </c>
      <c r="U10" s="8" t="s">
        <v>51</v>
      </c>
      <c r="V10" s="8">
        <f>B15</f>
        <v>100</v>
      </c>
      <c r="W10" s="8">
        <f>V10/V12*100</f>
        <v>3.1482874890203476</v>
      </c>
      <c r="Y10" s="12" t="s">
        <v>54</v>
      </c>
      <c r="Z10" s="12">
        <v>5</v>
      </c>
      <c r="AC10" s="12" t="s">
        <v>54</v>
      </c>
      <c r="AD10" s="12">
        <v>5</v>
      </c>
    </row>
    <row r="11" spans="1:30" x14ac:dyDescent="0.35">
      <c r="A11" s="24" t="s">
        <v>14</v>
      </c>
      <c r="B11" s="24">
        <v>3</v>
      </c>
      <c r="C11" s="24">
        <v>0.9</v>
      </c>
      <c r="D11" s="24">
        <f t="shared" si="0"/>
        <v>2.7</v>
      </c>
      <c r="E11" s="24">
        <v>0</v>
      </c>
      <c r="F11" s="24">
        <v>0.9</v>
      </c>
      <c r="G11" s="24">
        <f t="shared" si="4"/>
        <v>0</v>
      </c>
      <c r="H11" s="24">
        <f t="shared" si="5"/>
        <v>0</v>
      </c>
      <c r="I11" s="24">
        <f t="shared" si="1"/>
        <v>2.7</v>
      </c>
      <c r="K11" s="24"/>
      <c r="L11" s="24"/>
      <c r="M11" s="24"/>
      <c r="N11" s="24"/>
      <c r="O11" s="24"/>
      <c r="P11" s="24"/>
      <c r="Q11" s="24"/>
      <c r="R11" s="24"/>
      <c r="S11" s="24"/>
      <c r="U11" s="8" t="s">
        <v>52</v>
      </c>
      <c r="V11" s="8">
        <f>B17</f>
        <v>5</v>
      </c>
      <c r="W11" s="8">
        <f>V11/V12*100</f>
        <v>0.15741437445101736</v>
      </c>
      <c r="Y11" s="12"/>
      <c r="Z11" s="12"/>
      <c r="AC11" s="12"/>
      <c r="AD11" s="12"/>
    </row>
    <row r="12" spans="1:30" x14ac:dyDescent="0.35">
      <c r="A12" s="25" t="s">
        <v>16</v>
      </c>
      <c r="B12" s="25"/>
      <c r="C12" s="25"/>
      <c r="D12" s="25">
        <f>SUM(D6:D11)</f>
        <v>3068.33</v>
      </c>
      <c r="E12" s="25"/>
      <c r="F12" s="25"/>
      <c r="G12" s="25">
        <f>SUM(G6:G11)</f>
        <v>0</v>
      </c>
      <c r="H12" s="25"/>
      <c r="I12" s="25">
        <f>SUM(I6:I11)</f>
        <v>3068.33</v>
      </c>
      <c r="K12" s="25" t="s">
        <v>16</v>
      </c>
      <c r="L12" s="25"/>
      <c r="M12" s="25"/>
      <c r="N12" s="25">
        <f>SUM(N6:N11)</f>
        <v>1068.33</v>
      </c>
      <c r="O12" s="25"/>
      <c r="P12" s="25"/>
      <c r="Q12" s="25">
        <f>SUM(Q6:Q11)</f>
        <v>0</v>
      </c>
      <c r="R12" s="25"/>
      <c r="S12" s="25">
        <f>SUM(S6:S11)</f>
        <v>1068.33</v>
      </c>
      <c r="U12" s="32" t="s">
        <v>16</v>
      </c>
      <c r="V12" s="32">
        <f>SUM(V6:V11)</f>
        <v>3176.33</v>
      </c>
      <c r="W12" s="32">
        <f>SUM(W6:W11)</f>
        <v>100</v>
      </c>
      <c r="Y12" s="25" t="s">
        <v>56</v>
      </c>
      <c r="Z12" s="25">
        <f>SUM(Z6:Z11)</f>
        <v>3159.8607999999999</v>
      </c>
      <c r="AC12" s="25" t="s">
        <v>56</v>
      </c>
      <c r="AD12" s="25">
        <f>SUM(AD6:AD11)</f>
        <v>2165.5088000000001</v>
      </c>
    </row>
    <row r="14" spans="1:30" ht="72.5" x14ac:dyDescent="0.35">
      <c r="A14" s="17" t="s">
        <v>17</v>
      </c>
      <c r="B14" s="18" t="s">
        <v>21</v>
      </c>
      <c r="C14" s="19" t="s">
        <v>22</v>
      </c>
      <c r="D14" s="19" t="s">
        <v>21</v>
      </c>
      <c r="K14" s="17" t="s">
        <v>17</v>
      </c>
      <c r="L14" s="18" t="s">
        <v>21</v>
      </c>
      <c r="M14" s="19" t="s">
        <v>22</v>
      </c>
      <c r="N14" s="19" t="s">
        <v>21</v>
      </c>
    </row>
    <row r="15" spans="1:30" ht="116" x14ac:dyDescent="0.35">
      <c r="A15" s="6" t="s">
        <v>18</v>
      </c>
      <c r="B15" s="6">
        <v>100</v>
      </c>
      <c r="C15" s="9" t="s">
        <v>41</v>
      </c>
      <c r="D15" s="9">
        <v>0.48599999999999999</v>
      </c>
      <c r="F15" s="15" t="s">
        <v>32</v>
      </c>
      <c r="G15" s="16">
        <f>D16+D21+D19+D22</f>
        <v>3159.8407999999999</v>
      </c>
      <c r="K15" s="6" t="s">
        <v>18</v>
      </c>
      <c r="L15" s="6">
        <v>100</v>
      </c>
      <c r="M15" s="9" t="s">
        <v>41</v>
      </c>
      <c r="N15" s="9">
        <v>0.48599999999999999</v>
      </c>
      <c r="P15" s="15" t="s">
        <v>32</v>
      </c>
      <c r="Q15" s="16">
        <f>N16+N21+N19+N22</f>
        <v>1159.8407999999999</v>
      </c>
    </row>
    <row r="16" spans="1:30" ht="72.5" x14ac:dyDescent="0.35">
      <c r="A16" s="7" t="s">
        <v>19</v>
      </c>
      <c r="B16" s="7">
        <f>D12</f>
        <v>3068.33</v>
      </c>
      <c r="C16" s="10" t="s">
        <v>33</v>
      </c>
      <c r="D16" s="10">
        <f>(I12)</f>
        <v>3068.33</v>
      </c>
      <c r="F16" s="15" t="s">
        <v>29</v>
      </c>
      <c r="G16" s="16">
        <f>39.03%*D15</f>
        <v>0.18968580000000002</v>
      </c>
      <c r="K16" s="7" t="s">
        <v>19</v>
      </c>
      <c r="L16" s="7">
        <f>N12</f>
        <v>1068.33</v>
      </c>
      <c r="M16" s="10" t="s">
        <v>33</v>
      </c>
      <c r="N16" s="10">
        <f>(S12)</f>
        <v>1068.33</v>
      </c>
      <c r="P16" s="15" t="s">
        <v>29</v>
      </c>
      <c r="Q16" s="16">
        <f>39.03%*N15</f>
        <v>0.18968580000000002</v>
      </c>
    </row>
    <row r="17" spans="1:19" ht="101.5" x14ac:dyDescent="0.35">
      <c r="A17" s="7" t="s">
        <v>20</v>
      </c>
      <c r="B17" s="7">
        <v>5</v>
      </c>
      <c r="C17" s="11" t="s">
        <v>24</v>
      </c>
      <c r="D17" s="10">
        <v>0.3962</v>
      </c>
      <c r="F17" s="14" t="s">
        <v>30</v>
      </c>
      <c r="G17" s="4">
        <v>0.48599999999999999</v>
      </c>
      <c r="K17" s="7" t="s">
        <v>20</v>
      </c>
      <c r="L17" s="7">
        <v>5</v>
      </c>
      <c r="M17" s="11" t="s">
        <v>24</v>
      </c>
      <c r="N17" s="10">
        <v>0.3962</v>
      </c>
      <c r="P17" s="14" t="s">
        <v>30</v>
      </c>
      <c r="Q17" s="4">
        <v>0.48599999999999999</v>
      </c>
    </row>
    <row r="18" spans="1:19" ht="101.5" x14ac:dyDescent="0.35">
      <c r="A18" s="7" t="s">
        <v>35</v>
      </c>
      <c r="B18" s="7">
        <v>3</v>
      </c>
      <c r="C18" s="10" t="s">
        <v>27</v>
      </c>
      <c r="D18" s="10">
        <f>15.387+0.22</f>
        <v>15.607000000000001</v>
      </c>
      <c r="K18" s="7" t="s">
        <v>35</v>
      </c>
      <c r="L18" s="7">
        <v>3</v>
      </c>
      <c r="M18" s="10" t="s">
        <v>27</v>
      </c>
      <c r="N18" s="10">
        <f>15.387+0.22</f>
        <v>15.607000000000001</v>
      </c>
    </row>
    <row r="19" spans="1:19" x14ac:dyDescent="0.35">
      <c r="A19" s="7"/>
      <c r="B19" s="7"/>
      <c r="C19" s="10" t="s">
        <v>25</v>
      </c>
      <c r="D19" s="10">
        <f>12.6108+0.9+0.02</f>
        <v>13.530799999999999</v>
      </c>
      <c r="K19" s="7"/>
      <c r="L19" s="7"/>
      <c r="M19" s="10" t="s">
        <v>25</v>
      </c>
      <c r="N19" s="10">
        <f>12.6108+0.9+0.02</f>
        <v>13.530799999999999</v>
      </c>
    </row>
    <row r="20" spans="1:19" ht="43.5" x14ac:dyDescent="0.35">
      <c r="A20" s="7"/>
      <c r="B20" s="7"/>
      <c r="C20" s="10" t="s">
        <v>26</v>
      </c>
      <c r="D20" s="10">
        <f>G12</f>
        <v>0</v>
      </c>
      <c r="K20" s="7"/>
      <c r="L20" s="7"/>
      <c r="M20" s="10" t="s">
        <v>26</v>
      </c>
      <c r="N20" s="10">
        <f>Q12</f>
        <v>0</v>
      </c>
    </row>
    <row r="21" spans="1:19" ht="87" x14ac:dyDescent="0.35">
      <c r="A21" s="8"/>
      <c r="B21" s="8"/>
      <c r="C21" s="20" t="s">
        <v>34</v>
      </c>
      <c r="D21" s="12">
        <f>69.98 +5</f>
        <v>74.98</v>
      </c>
      <c r="K21" s="8"/>
      <c r="L21" s="8"/>
      <c r="M21" s="20" t="s">
        <v>34</v>
      </c>
      <c r="N21" s="12">
        <f>69.98 +5</f>
        <v>74.98</v>
      </c>
    </row>
    <row r="22" spans="1:19" ht="15" thickBot="1" x14ac:dyDescent="0.4">
      <c r="A22" s="8"/>
      <c r="B22" s="8"/>
      <c r="C22" s="12" t="s">
        <v>36</v>
      </c>
      <c r="D22" s="12">
        <f>B18</f>
        <v>3</v>
      </c>
      <c r="K22" s="8"/>
      <c r="L22" s="8"/>
      <c r="M22" s="12" t="s">
        <v>36</v>
      </c>
      <c r="N22" s="12">
        <f>L18</f>
        <v>3</v>
      </c>
    </row>
    <row r="23" spans="1:19" ht="15" thickBot="1" x14ac:dyDescent="0.4">
      <c r="A23" s="26" t="s">
        <v>23</v>
      </c>
      <c r="B23" s="27">
        <f>SUM(B15:B22)</f>
        <v>3176.33</v>
      </c>
      <c r="C23" s="28"/>
      <c r="D23" s="29">
        <f>SUM(D15:D22)</f>
        <v>3176.33</v>
      </c>
      <c r="K23" s="26" t="s">
        <v>23</v>
      </c>
      <c r="L23" s="27">
        <f>SUM(L15:L22)</f>
        <v>1176.33</v>
      </c>
      <c r="M23" s="28"/>
      <c r="N23" s="29">
        <f>SUM(N15:N22)</f>
        <v>1176.33</v>
      </c>
    </row>
    <row r="24" spans="1:19" ht="15" thickBot="1" x14ac:dyDescent="0.4">
      <c r="A24" s="41" t="s">
        <v>28</v>
      </c>
      <c r="B24" s="42"/>
      <c r="C24" s="42"/>
      <c r="D24" s="5">
        <f>G15/G17</f>
        <v>6501.7300411522638</v>
      </c>
      <c r="E24" t="s">
        <v>43</v>
      </c>
      <c r="K24" s="41" t="s">
        <v>28</v>
      </c>
      <c r="L24" s="42"/>
      <c r="M24" s="42"/>
      <c r="N24" s="5">
        <f>Q15/Q17</f>
        <v>2386.5037037037036</v>
      </c>
      <c r="O24" t="s">
        <v>43</v>
      </c>
    </row>
    <row r="25" spans="1:19" ht="15" thickBot="1" x14ac:dyDescent="0.4">
      <c r="A25" s="38" t="s">
        <v>31</v>
      </c>
      <c r="B25" s="39"/>
      <c r="C25" s="39"/>
      <c r="D25" s="13">
        <f>G15/G16</f>
        <v>16658.288601466211</v>
      </c>
      <c r="E25" t="s">
        <v>43</v>
      </c>
      <c r="K25" s="38" t="s">
        <v>31</v>
      </c>
      <c r="L25" s="39"/>
      <c r="M25" s="39"/>
      <c r="N25" s="13">
        <f>Q15/Q16</f>
        <v>6114.5367760791787</v>
      </c>
      <c r="O25" t="s">
        <v>43</v>
      </c>
    </row>
    <row r="26" spans="1:19" x14ac:dyDescent="0.35">
      <c r="A26" t="s">
        <v>37</v>
      </c>
      <c r="D26">
        <f>B23/D15</f>
        <v>6535.658436213992</v>
      </c>
      <c r="K26" t="s">
        <v>37</v>
      </c>
      <c r="N26">
        <f>L23/N15</f>
        <v>2420.4320987654319</v>
      </c>
    </row>
    <row r="29" spans="1:19" x14ac:dyDescent="0.35">
      <c r="A29" s="40" t="s">
        <v>75</v>
      </c>
      <c r="B29" s="40"/>
      <c r="C29" s="40"/>
      <c r="K29" s="40" t="s">
        <v>75</v>
      </c>
      <c r="L29" s="40"/>
      <c r="M29" s="40"/>
    </row>
    <row r="30" spans="1:19" x14ac:dyDescent="0.35">
      <c r="A30" s="30" t="s">
        <v>39</v>
      </c>
      <c r="B30" s="30"/>
      <c r="C30" s="30"/>
      <c r="K30" s="30" t="s">
        <v>74</v>
      </c>
      <c r="L30" s="30"/>
      <c r="M30" s="30"/>
    </row>
    <row r="31" spans="1:19" x14ac:dyDescent="0.35">
      <c r="A31" s="2" t="s">
        <v>15</v>
      </c>
      <c r="K31" s="2" t="s">
        <v>15</v>
      </c>
    </row>
    <row r="32" spans="1:19" ht="43.5" x14ac:dyDescent="0.35">
      <c r="A32" s="21" t="s">
        <v>2</v>
      </c>
      <c r="B32" s="22" t="s">
        <v>5</v>
      </c>
      <c r="C32" s="22" t="s">
        <v>6</v>
      </c>
      <c r="D32" s="22" t="s">
        <v>7</v>
      </c>
      <c r="E32" s="22" t="s">
        <v>8</v>
      </c>
      <c r="F32" s="22" t="s">
        <v>6</v>
      </c>
      <c r="G32" s="22" t="s">
        <v>9</v>
      </c>
      <c r="H32" s="22" t="s">
        <v>10</v>
      </c>
      <c r="I32" s="22" t="s">
        <v>3</v>
      </c>
      <c r="K32" s="21" t="s">
        <v>2</v>
      </c>
      <c r="L32" s="22" t="s">
        <v>5</v>
      </c>
      <c r="M32" s="22" t="s">
        <v>6</v>
      </c>
      <c r="N32" s="22" t="s">
        <v>7</v>
      </c>
      <c r="O32" s="22" t="s">
        <v>8</v>
      </c>
      <c r="P32" s="22" t="s">
        <v>6</v>
      </c>
      <c r="Q32" s="22" t="s">
        <v>9</v>
      </c>
      <c r="R32" s="22" t="s">
        <v>10</v>
      </c>
      <c r="S32" s="22" t="s">
        <v>3</v>
      </c>
    </row>
    <row r="33" spans="1:20" x14ac:dyDescent="0.35">
      <c r="A33" s="23" t="s">
        <v>4</v>
      </c>
      <c r="B33" s="23">
        <v>500</v>
      </c>
      <c r="C33" s="23">
        <v>0.78900000000000003</v>
      </c>
      <c r="D33" s="24">
        <f>B33*C33</f>
        <v>394.5</v>
      </c>
      <c r="E33" s="24">
        <v>450</v>
      </c>
      <c r="F33" s="23">
        <v>0.78900000000000003</v>
      </c>
      <c r="G33" s="24">
        <f>E33*F33</f>
        <v>355.05</v>
      </c>
      <c r="H33" s="24">
        <f>G33/D33*100</f>
        <v>90</v>
      </c>
      <c r="I33" s="24">
        <f>(100-H33)%*D33</f>
        <v>39.450000000000003</v>
      </c>
      <c r="K33" s="23" t="s">
        <v>4</v>
      </c>
      <c r="L33" s="23">
        <v>500</v>
      </c>
      <c r="M33" s="23">
        <v>0.78900000000000003</v>
      </c>
      <c r="N33" s="24">
        <f>L33*M33</f>
        <v>394.5</v>
      </c>
      <c r="O33" s="24">
        <v>450</v>
      </c>
      <c r="P33" s="23">
        <v>0.78900000000000003</v>
      </c>
      <c r="Q33" s="24">
        <f>O33*P33</f>
        <v>355.05</v>
      </c>
      <c r="R33" s="24">
        <f>Q33/N33*100</f>
        <v>90</v>
      </c>
      <c r="S33" s="24">
        <f>(100-R33)%*N33</f>
        <v>39.450000000000003</v>
      </c>
    </row>
    <row r="34" spans="1:20" x14ac:dyDescent="0.35">
      <c r="A34" s="24" t="s">
        <v>60</v>
      </c>
      <c r="B34" s="24">
        <v>300</v>
      </c>
      <c r="C34" s="24">
        <v>1.33</v>
      </c>
      <c r="D34" s="24">
        <f>B34*C34</f>
        <v>399</v>
      </c>
      <c r="E34" s="24">
        <v>242</v>
      </c>
      <c r="F34" s="24">
        <v>1.33</v>
      </c>
      <c r="G34" s="24">
        <f t="shared" ref="G34:G38" si="10">E34*F34</f>
        <v>321.86</v>
      </c>
      <c r="H34" s="24">
        <f>G34/D34*100</f>
        <v>80.666666666666671</v>
      </c>
      <c r="I34" s="24">
        <f>(100-H34)%*D34</f>
        <v>77.139999999999972</v>
      </c>
      <c r="K34" s="24" t="s">
        <v>60</v>
      </c>
      <c r="L34" s="24">
        <v>300</v>
      </c>
      <c r="M34" s="24">
        <v>1.33</v>
      </c>
      <c r="N34" s="24">
        <f>L34*M34</f>
        <v>399</v>
      </c>
      <c r="O34" s="24">
        <v>242</v>
      </c>
      <c r="P34" s="24">
        <v>1.33</v>
      </c>
      <c r="Q34" s="24">
        <f t="shared" ref="Q34:Q37" si="11">O34*P34</f>
        <v>321.86</v>
      </c>
      <c r="R34" s="24">
        <f t="shared" ref="R34:R37" si="12">Q34/N34*100</f>
        <v>80.666666666666671</v>
      </c>
      <c r="S34" s="24">
        <f>(100-R34)%*N34</f>
        <v>77.139999999999972</v>
      </c>
    </row>
    <row r="35" spans="1:20" x14ac:dyDescent="0.35">
      <c r="A35" s="24" t="s">
        <v>11</v>
      </c>
      <c r="B35" s="24">
        <v>300</v>
      </c>
      <c r="C35" s="24">
        <v>0.90200000000000002</v>
      </c>
      <c r="D35" s="24">
        <f t="shared" ref="D35:D38" si="13">B35*C35</f>
        <v>270.60000000000002</v>
      </c>
      <c r="E35" s="24">
        <v>271</v>
      </c>
      <c r="F35" s="24">
        <v>0.90200000000000002</v>
      </c>
      <c r="G35" s="24">
        <f t="shared" si="10"/>
        <v>244.44200000000001</v>
      </c>
      <c r="H35" s="24">
        <f t="shared" ref="H35:H38" si="14">G35/D35*100</f>
        <v>90.333333333333329</v>
      </c>
      <c r="I35" s="24">
        <f t="shared" ref="I35:I38" si="15">(100-H35)%*D35</f>
        <v>26.158000000000015</v>
      </c>
      <c r="K35" s="24" t="s">
        <v>11</v>
      </c>
      <c r="L35" s="24">
        <v>300</v>
      </c>
      <c r="M35" s="24">
        <v>0.90200000000000002</v>
      </c>
      <c r="N35" s="24">
        <f t="shared" ref="N35:N37" si="16">L35*M35</f>
        <v>270.60000000000002</v>
      </c>
      <c r="O35" s="24">
        <v>271</v>
      </c>
      <c r="P35" s="24">
        <v>0.90200000000000002</v>
      </c>
      <c r="Q35" s="24">
        <f t="shared" si="11"/>
        <v>244.44200000000001</v>
      </c>
      <c r="R35" s="24">
        <f t="shared" si="12"/>
        <v>90.333333333333329</v>
      </c>
      <c r="S35" s="24">
        <f t="shared" ref="S35:S37" si="17">(100-R35)%*N35</f>
        <v>26.158000000000015</v>
      </c>
    </row>
    <row r="36" spans="1:20" x14ac:dyDescent="0.35">
      <c r="A36" s="24" t="s">
        <v>12</v>
      </c>
      <c r="B36" s="24">
        <v>2000</v>
      </c>
      <c r="C36" s="24">
        <v>1</v>
      </c>
      <c r="D36" s="24">
        <f t="shared" si="13"/>
        <v>2000</v>
      </c>
      <c r="E36" s="24">
        <v>0</v>
      </c>
      <c r="F36" s="24">
        <v>1</v>
      </c>
      <c r="G36" s="24">
        <f t="shared" si="10"/>
        <v>0</v>
      </c>
      <c r="H36" s="24">
        <f t="shared" si="14"/>
        <v>0</v>
      </c>
      <c r="I36" s="24">
        <f t="shared" si="15"/>
        <v>2000</v>
      </c>
      <c r="K36" s="24" t="s">
        <v>13</v>
      </c>
      <c r="L36" s="24">
        <v>1.5</v>
      </c>
      <c r="M36" s="24">
        <v>1.02</v>
      </c>
      <c r="N36" s="24">
        <f t="shared" si="16"/>
        <v>1.53</v>
      </c>
      <c r="O36" s="24">
        <v>0</v>
      </c>
      <c r="P36" s="24">
        <v>1.02</v>
      </c>
      <c r="Q36" s="24">
        <f t="shared" si="11"/>
        <v>0</v>
      </c>
      <c r="R36" s="24">
        <f t="shared" si="12"/>
        <v>0</v>
      </c>
      <c r="S36" s="24">
        <f t="shared" si="17"/>
        <v>1.53</v>
      </c>
    </row>
    <row r="37" spans="1:20" x14ac:dyDescent="0.35">
      <c r="A37" s="24" t="s">
        <v>13</v>
      </c>
      <c r="B37" s="24">
        <v>1.5</v>
      </c>
      <c r="C37" s="24">
        <v>1.02</v>
      </c>
      <c r="D37" s="24">
        <f t="shared" si="13"/>
        <v>1.53</v>
      </c>
      <c r="E37" s="24">
        <v>0</v>
      </c>
      <c r="F37" s="24">
        <v>1.02</v>
      </c>
      <c r="G37" s="24">
        <f t="shared" si="10"/>
        <v>0</v>
      </c>
      <c r="H37" s="24">
        <f t="shared" si="14"/>
        <v>0</v>
      </c>
      <c r="I37" s="24">
        <f t="shared" si="15"/>
        <v>1.53</v>
      </c>
      <c r="K37" s="24" t="s">
        <v>14</v>
      </c>
      <c r="L37" s="24">
        <v>3</v>
      </c>
      <c r="M37" s="24">
        <v>0.9</v>
      </c>
      <c r="N37" s="24">
        <f t="shared" si="16"/>
        <v>2.7</v>
      </c>
      <c r="O37" s="24">
        <v>0</v>
      </c>
      <c r="P37" s="24">
        <v>0.9</v>
      </c>
      <c r="Q37" s="24">
        <f t="shared" si="11"/>
        <v>0</v>
      </c>
      <c r="R37" s="24">
        <f t="shared" si="12"/>
        <v>0</v>
      </c>
      <c r="S37" s="24">
        <f t="shared" si="17"/>
        <v>2.7</v>
      </c>
    </row>
    <row r="38" spans="1:20" x14ac:dyDescent="0.35">
      <c r="A38" s="24" t="s">
        <v>14</v>
      </c>
      <c r="B38" s="24">
        <v>3</v>
      </c>
      <c r="C38" s="24">
        <v>0.9</v>
      </c>
      <c r="D38" s="24">
        <f t="shared" si="13"/>
        <v>2.7</v>
      </c>
      <c r="E38" s="24">
        <v>0</v>
      </c>
      <c r="F38" s="24">
        <v>0.9</v>
      </c>
      <c r="G38" s="24">
        <f t="shared" si="10"/>
        <v>0</v>
      </c>
      <c r="H38" s="24">
        <f t="shared" si="14"/>
        <v>0</v>
      </c>
      <c r="I38" s="24">
        <f t="shared" si="15"/>
        <v>2.7</v>
      </c>
      <c r="K38" s="24"/>
      <c r="L38" s="24"/>
      <c r="M38" s="24"/>
      <c r="N38" s="24"/>
      <c r="O38" s="24"/>
      <c r="P38" s="24"/>
      <c r="Q38" s="24"/>
      <c r="R38" s="24"/>
      <c r="S38" s="24"/>
    </row>
    <row r="39" spans="1:20" x14ac:dyDescent="0.35">
      <c r="A39" s="25" t="s">
        <v>16</v>
      </c>
      <c r="B39" s="25"/>
      <c r="C39" s="25"/>
      <c r="D39" s="25">
        <f>SUM(D33:D38)</f>
        <v>3068.33</v>
      </c>
      <c r="E39" s="25"/>
      <c r="F39" s="25"/>
      <c r="G39" s="25">
        <f>SUM(G33:G38)</f>
        <v>921.35200000000009</v>
      </c>
      <c r="H39" s="25"/>
      <c r="I39" s="25">
        <f>SUM(I33:I38)</f>
        <v>2146.9780000000001</v>
      </c>
      <c r="K39" s="25" t="s">
        <v>16</v>
      </c>
      <c r="L39" s="25"/>
      <c r="M39" s="25"/>
      <c r="N39" s="25">
        <f>SUM(N33:N38)</f>
        <v>1068.33</v>
      </c>
      <c r="O39" s="25"/>
      <c r="P39" s="25"/>
      <c r="Q39" s="25">
        <f>SUM(Q33:Q38)</f>
        <v>921.35200000000009</v>
      </c>
      <c r="R39" s="25"/>
      <c r="S39" s="25">
        <f>SUM(S33:S38)</f>
        <v>146.97799999999998</v>
      </c>
      <c r="T39">
        <f>Q39+S39</f>
        <v>1068.3300000000002</v>
      </c>
    </row>
    <row r="41" spans="1:20" ht="72.5" x14ac:dyDescent="0.35">
      <c r="A41" s="17" t="s">
        <v>17</v>
      </c>
      <c r="B41" s="18" t="s">
        <v>21</v>
      </c>
      <c r="C41" s="19" t="s">
        <v>22</v>
      </c>
      <c r="D41" s="19" t="s">
        <v>21</v>
      </c>
      <c r="K41" s="17" t="s">
        <v>17</v>
      </c>
      <c r="L41" s="18" t="s">
        <v>21</v>
      </c>
      <c r="M41" s="19" t="s">
        <v>22</v>
      </c>
      <c r="N41" s="19" t="s">
        <v>21</v>
      </c>
    </row>
    <row r="42" spans="1:20" ht="116" x14ac:dyDescent="0.35">
      <c r="A42" s="6" t="s">
        <v>18</v>
      </c>
      <c r="B42" s="6">
        <v>100</v>
      </c>
      <c r="C42" s="9" t="s">
        <v>41</v>
      </c>
      <c r="D42" s="9">
        <v>0.48599999999999999</v>
      </c>
      <c r="F42" s="15" t="s">
        <v>32</v>
      </c>
      <c r="G42" s="16">
        <f>D43+D49+D46+D50</f>
        <v>2168.5088000000001</v>
      </c>
      <c r="K42" s="6" t="s">
        <v>18</v>
      </c>
      <c r="L42" s="6">
        <v>100</v>
      </c>
      <c r="M42" s="9" t="s">
        <v>41</v>
      </c>
      <c r="N42" s="9">
        <v>0.48599999999999999</v>
      </c>
      <c r="P42" s="15" t="s">
        <v>32</v>
      </c>
      <c r="Q42" s="16">
        <f>N43+N49+N46+N50</f>
        <v>168.50879999999998</v>
      </c>
    </row>
    <row r="43" spans="1:20" ht="72.5" x14ac:dyDescent="0.35">
      <c r="A43" s="7" t="s">
        <v>19</v>
      </c>
      <c r="B43" s="7">
        <f>D39</f>
        <v>3068.33</v>
      </c>
      <c r="C43" s="10" t="s">
        <v>33</v>
      </c>
      <c r="D43" s="10">
        <f>(I39)</f>
        <v>2146.9780000000001</v>
      </c>
      <c r="F43" s="15" t="s">
        <v>29</v>
      </c>
      <c r="G43" s="16">
        <f>39.03%*D42</f>
        <v>0.18968580000000002</v>
      </c>
      <c r="K43" s="7" t="s">
        <v>19</v>
      </c>
      <c r="L43" s="7">
        <f>N39</f>
        <v>1068.33</v>
      </c>
      <c r="M43" s="10" t="s">
        <v>33</v>
      </c>
      <c r="N43" s="10">
        <f>(S39)</f>
        <v>146.97799999999998</v>
      </c>
      <c r="P43" s="15" t="s">
        <v>29</v>
      </c>
      <c r="Q43" s="16">
        <f>39.03%*N42</f>
        <v>0.18968580000000002</v>
      </c>
    </row>
    <row r="44" spans="1:20" ht="101.5" x14ac:dyDescent="0.35">
      <c r="A44" s="7" t="s">
        <v>20</v>
      </c>
      <c r="B44" s="7">
        <v>5</v>
      </c>
      <c r="C44" s="11" t="s">
        <v>24</v>
      </c>
      <c r="D44" s="10">
        <v>0.3962</v>
      </c>
      <c r="F44" s="14" t="s">
        <v>30</v>
      </c>
      <c r="G44" s="4">
        <v>0.48599999999999999</v>
      </c>
      <c r="K44" s="7" t="s">
        <v>20</v>
      </c>
      <c r="L44" s="7">
        <v>5</v>
      </c>
      <c r="M44" s="11" t="s">
        <v>24</v>
      </c>
      <c r="N44" s="10">
        <v>0.3962</v>
      </c>
      <c r="P44" s="14" t="s">
        <v>30</v>
      </c>
      <c r="Q44" s="4">
        <v>0.48599999999999999</v>
      </c>
    </row>
    <row r="45" spans="1:20" ht="101.5" x14ac:dyDescent="0.35">
      <c r="A45" s="7" t="s">
        <v>35</v>
      </c>
      <c r="B45" s="7">
        <v>3</v>
      </c>
      <c r="C45" s="10" t="s">
        <v>27</v>
      </c>
      <c r="D45" s="10">
        <f>15.387+0.22</f>
        <v>15.607000000000001</v>
      </c>
      <c r="K45" s="7" t="s">
        <v>35</v>
      </c>
      <c r="L45" s="7">
        <v>3</v>
      </c>
      <c r="M45" s="10" t="s">
        <v>27</v>
      </c>
      <c r="N45" s="10">
        <f>15.387+0.22</f>
        <v>15.607000000000001</v>
      </c>
    </row>
    <row r="46" spans="1:20" x14ac:dyDescent="0.35">
      <c r="A46" s="7"/>
      <c r="B46" s="7"/>
      <c r="C46" s="10" t="s">
        <v>25</v>
      </c>
      <c r="D46" s="10">
        <f>12.6108+0.9+0.02</f>
        <v>13.530799999999999</v>
      </c>
      <c r="K46" s="7"/>
      <c r="L46" s="7"/>
      <c r="M46" s="10" t="s">
        <v>25</v>
      </c>
      <c r="N46" s="10">
        <f>12.6108+0.9+0.02</f>
        <v>13.530799999999999</v>
      </c>
    </row>
    <row r="47" spans="1:20" ht="43.5" x14ac:dyDescent="0.35">
      <c r="A47" s="7"/>
      <c r="B47" s="7"/>
      <c r="C47" s="10" t="s">
        <v>26</v>
      </c>
      <c r="D47" s="10">
        <f>G39</f>
        <v>921.35200000000009</v>
      </c>
      <c r="K47" s="7"/>
      <c r="L47" s="7"/>
      <c r="M47" s="10" t="s">
        <v>26</v>
      </c>
      <c r="N47" s="10">
        <f>Q39</f>
        <v>921.35200000000009</v>
      </c>
    </row>
    <row r="48" spans="1:20" ht="116" x14ac:dyDescent="0.35">
      <c r="A48" s="7"/>
      <c r="B48" s="7"/>
      <c r="C48" s="10" t="s">
        <v>73</v>
      </c>
      <c r="D48" s="10">
        <v>69.98</v>
      </c>
      <c r="K48" s="7"/>
      <c r="L48" s="7"/>
      <c r="M48" s="10" t="s">
        <v>73</v>
      </c>
      <c r="N48" s="10">
        <v>69.98</v>
      </c>
    </row>
    <row r="49" spans="1:15" ht="87" x14ac:dyDescent="0.35">
      <c r="A49" s="8"/>
      <c r="B49" s="8"/>
      <c r="C49" s="20" t="s">
        <v>34</v>
      </c>
      <c r="D49" s="12">
        <v>5</v>
      </c>
      <c r="K49" s="8"/>
      <c r="L49" s="8"/>
      <c r="M49" s="20" t="s">
        <v>34</v>
      </c>
      <c r="N49" s="12">
        <v>5</v>
      </c>
    </row>
    <row r="50" spans="1:15" ht="15" thickBot="1" x14ac:dyDescent="0.4">
      <c r="A50" s="8"/>
      <c r="B50" s="8"/>
      <c r="C50" s="12" t="s">
        <v>36</v>
      </c>
      <c r="D50" s="12">
        <f>B45</f>
        <v>3</v>
      </c>
      <c r="K50" s="8"/>
      <c r="L50" s="8"/>
      <c r="M50" s="12" t="s">
        <v>36</v>
      </c>
      <c r="N50" s="12">
        <f>L45</f>
        <v>3</v>
      </c>
    </row>
    <row r="51" spans="1:15" ht="15" thickBot="1" x14ac:dyDescent="0.4">
      <c r="A51" s="26" t="s">
        <v>23</v>
      </c>
      <c r="B51" s="27">
        <f>SUM(B42:B50)</f>
        <v>3176.33</v>
      </c>
      <c r="C51" s="28"/>
      <c r="D51" s="29">
        <f>SUM(D42:D50)</f>
        <v>3176.3300000000004</v>
      </c>
      <c r="K51" s="26" t="s">
        <v>23</v>
      </c>
      <c r="L51" s="27">
        <f>SUM(L42:L50)</f>
        <v>1176.33</v>
      </c>
      <c r="M51" s="28"/>
      <c r="N51" s="29">
        <f>SUM(N42:N50)</f>
        <v>1176.3300000000002</v>
      </c>
    </row>
    <row r="52" spans="1:15" ht="15" thickBot="1" x14ac:dyDescent="0.4">
      <c r="A52" s="41" t="s">
        <v>28</v>
      </c>
      <c r="B52" s="42"/>
      <c r="C52" s="42"/>
      <c r="D52" s="5">
        <f>G42/G44</f>
        <v>4461.9522633744855</v>
      </c>
      <c r="E52" t="s">
        <v>43</v>
      </c>
      <c r="K52" s="41" t="s">
        <v>28</v>
      </c>
      <c r="L52" s="42"/>
      <c r="M52" s="42"/>
      <c r="N52" s="5">
        <f>Q42/Q44</f>
        <v>346.72592592592588</v>
      </c>
      <c r="O52" t="s">
        <v>43</v>
      </c>
    </row>
    <row r="53" spans="1:15" ht="15" thickBot="1" x14ac:dyDescent="0.4">
      <c r="A53" s="38" t="s">
        <v>31</v>
      </c>
      <c r="B53" s="39"/>
      <c r="C53" s="39"/>
      <c r="D53" s="13">
        <f>G42/G43</f>
        <v>11432.109309183923</v>
      </c>
      <c r="E53" t="s">
        <v>43</v>
      </c>
      <c r="K53" s="38" t="s">
        <v>31</v>
      </c>
      <c r="L53" s="39"/>
      <c r="M53" s="39"/>
      <c r="N53" s="13">
        <f>Q42/Q43</f>
        <v>888.35748379688926</v>
      </c>
      <c r="O53" t="s">
        <v>43</v>
      </c>
    </row>
    <row r="54" spans="1:15" x14ac:dyDescent="0.35">
      <c r="A54" t="s">
        <v>37</v>
      </c>
      <c r="D54">
        <f>B51/D42</f>
        <v>6535.658436213992</v>
      </c>
      <c r="K54" t="s">
        <v>37</v>
      </c>
      <c r="N54">
        <f>L51/N42</f>
        <v>2420.4320987654319</v>
      </c>
    </row>
  </sheetData>
  <mergeCells count="13">
    <mergeCell ref="A1:I1"/>
    <mergeCell ref="A2:C2"/>
    <mergeCell ref="A24:C24"/>
    <mergeCell ref="A25:C25"/>
    <mergeCell ref="A53:C53"/>
    <mergeCell ref="K29:M29"/>
    <mergeCell ref="K52:M52"/>
    <mergeCell ref="K53:M53"/>
    <mergeCell ref="K2:M2"/>
    <mergeCell ref="K24:M24"/>
    <mergeCell ref="K25:M25"/>
    <mergeCell ref="A29:C29"/>
    <mergeCell ref="A52:C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B37B-6161-491D-8CAE-C9E15F869910}">
  <dimension ref="A1:AH55"/>
  <sheetViews>
    <sheetView zoomScale="42" workbookViewId="0">
      <selection activeCell="F52" sqref="F52"/>
    </sheetView>
  </sheetViews>
  <sheetFormatPr defaultRowHeight="14.5" x14ac:dyDescent="0.35"/>
  <cols>
    <col min="1" max="1" width="13.81640625" customWidth="1"/>
    <col min="2" max="2" width="12.36328125" customWidth="1"/>
    <col min="3" max="3" width="13.81640625" customWidth="1"/>
    <col min="4" max="4" width="14.26953125" customWidth="1"/>
    <col min="5" max="5" width="11.54296875" customWidth="1"/>
    <col min="6" max="6" width="10.90625" customWidth="1"/>
    <col min="8" max="8" width="13.54296875" customWidth="1"/>
    <col min="9" max="9" width="10.36328125" customWidth="1"/>
    <col min="11" max="11" width="17.26953125" customWidth="1"/>
    <col min="13" max="13" width="13.08984375" customWidth="1"/>
    <col min="14" max="14" width="12.6328125" customWidth="1"/>
    <col min="15" max="15" width="13.81640625" customWidth="1"/>
    <col min="16" max="16" width="12.81640625" customWidth="1"/>
    <col min="17" max="17" width="11.36328125" customWidth="1"/>
    <col min="18" max="18" width="10.90625" customWidth="1"/>
    <col min="19" max="19" width="11.90625" customWidth="1"/>
    <col min="20" max="20" width="10.1796875" customWidth="1"/>
    <col min="25" max="25" width="46.54296875" bestFit="1" customWidth="1"/>
    <col min="26" max="26" width="10.54296875" customWidth="1"/>
    <col min="27" max="27" width="16.453125" customWidth="1"/>
    <col min="29" max="29" width="44.90625" customWidth="1"/>
    <col min="30" max="30" width="13.26953125" customWidth="1"/>
    <col min="31" max="32" width="8.7265625" customWidth="1"/>
    <col min="33" max="33" width="22.81640625" bestFit="1" customWidth="1"/>
    <col min="34" max="34" width="14.08984375" bestFit="1" customWidth="1"/>
  </cols>
  <sheetData>
    <row r="1" spans="1:34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M1" s="43" t="s">
        <v>0</v>
      </c>
      <c r="N1" s="43"/>
      <c r="O1" s="43"/>
      <c r="P1" s="43"/>
      <c r="Q1" s="43"/>
      <c r="R1" s="43"/>
      <c r="S1" s="43"/>
      <c r="T1" s="43"/>
      <c r="U1" s="43"/>
    </row>
    <row r="2" spans="1:34" x14ac:dyDescent="0.35">
      <c r="A2" s="40" t="s">
        <v>1</v>
      </c>
      <c r="B2" s="40"/>
      <c r="C2" s="40"/>
      <c r="M2" s="40" t="s">
        <v>1</v>
      </c>
      <c r="N2" s="40"/>
      <c r="O2" s="40"/>
    </row>
    <row r="3" spans="1:34" x14ac:dyDescent="0.35">
      <c r="A3" s="30" t="s">
        <v>38</v>
      </c>
      <c r="B3" s="30"/>
      <c r="C3" s="30"/>
      <c r="M3" s="30" t="s">
        <v>42</v>
      </c>
      <c r="N3" s="30"/>
      <c r="O3" s="30"/>
      <c r="Y3" t="s">
        <v>45</v>
      </c>
      <c r="AC3" t="s">
        <v>53</v>
      </c>
    </row>
    <row r="4" spans="1:34" x14ac:dyDescent="0.35">
      <c r="A4" s="2" t="s">
        <v>15</v>
      </c>
      <c r="M4" s="2" t="s">
        <v>15</v>
      </c>
      <c r="AC4" s="30" t="s">
        <v>57</v>
      </c>
      <c r="AG4" s="30" t="s">
        <v>58</v>
      </c>
    </row>
    <row r="5" spans="1:34" s="1" customFormat="1" ht="29" x14ac:dyDescent="0.35">
      <c r="A5" s="21" t="s">
        <v>2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6</v>
      </c>
      <c r="G5" s="22" t="s">
        <v>9</v>
      </c>
      <c r="H5" s="22" t="s">
        <v>10</v>
      </c>
      <c r="I5" s="22" t="s">
        <v>3</v>
      </c>
      <c r="K5"/>
      <c r="L5"/>
      <c r="M5" s="21" t="s">
        <v>2</v>
      </c>
      <c r="N5" s="22" t="s">
        <v>5</v>
      </c>
      <c r="O5" s="22" t="s">
        <v>6</v>
      </c>
      <c r="P5" s="22" t="s">
        <v>7</v>
      </c>
      <c r="Q5" s="22" t="s">
        <v>8</v>
      </c>
      <c r="R5" s="22" t="s">
        <v>6</v>
      </c>
      <c r="S5" s="22" t="s">
        <v>9</v>
      </c>
      <c r="T5" s="22" t="s">
        <v>10</v>
      </c>
      <c r="U5" s="22" t="s">
        <v>3</v>
      </c>
      <c r="Y5" s="31" t="s">
        <v>46</v>
      </c>
      <c r="Z5" s="31" t="s">
        <v>21</v>
      </c>
      <c r="AA5" s="33" t="s">
        <v>59</v>
      </c>
      <c r="AC5" s="19" t="s">
        <v>22</v>
      </c>
      <c r="AD5" s="19" t="s">
        <v>21</v>
      </c>
      <c r="AG5" s="19" t="s">
        <v>22</v>
      </c>
      <c r="AH5" s="19" t="s">
        <v>21</v>
      </c>
    </row>
    <row r="6" spans="1:34" x14ac:dyDescent="0.35">
      <c r="A6" s="23" t="s">
        <v>4</v>
      </c>
      <c r="B6" s="23">
        <v>500</v>
      </c>
      <c r="C6" s="23">
        <v>0.78900000000000003</v>
      </c>
      <c r="D6" s="23">
        <f>B6*C6</f>
        <v>394.5</v>
      </c>
      <c r="E6" s="23">
        <v>0</v>
      </c>
      <c r="F6" s="23">
        <v>0.78900000000000003</v>
      </c>
      <c r="G6" s="23">
        <v>0</v>
      </c>
      <c r="H6" s="24">
        <v>0</v>
      </c>
      <c r="I6" s="24">
        <f>(100-H6)%*D6</f>
        <v>394.5</v>
      </c>
      <c r="M6" s="23" t="s">
        <v>4</v>
      </c>
      <c r="N6" s="23">
        <v>500</v>
      </c>
      <c r="O6" s="23">
        <v>0.78900000000000003</v>
      </c>
      <c r="P6" s="23">
        <f>N6*O6</f>
        <v>394.5</v>
      </c>
      <c r="Q6" s="23">
        <v>0</v>
      </c>
      <c r="R6" s="23">
        <v>0.78900000000000003</v>
      </c>
      <c r="S6" s="23">
        <f>Q6*R6</f>
        <v>0</v>
      </c>
      <c r="T6" s="24">
        <f>(S6/P6)*100</f>
        <v>0</v>
      </c>
      <c r="U6" s="24">
        <f>(100-T6)%*P6</f>
        <v>394.5</v>
      </c>
      <c r="Y6" s="8" t="s">
        <v>47</v>
      </c>
      <c r="Z6" s="8">
        <f>D9+D10</f>
        <v>4.2300000000000004</v>
      </c>
      <c r="AA6" s="8">
        <f>Z6/Z12*100</f>
        <v>0.13878271482612789</v>
      </c>
      <c r="AC6" s="10" t="s">
        <v>33</v>
      </c>
      <c r="AD6" s="10">
        <v>2939.93</v>
      </c>
      <c r="AG6" s="10" t="s">
        <v>33</v>
      </c>
      <c r="AH6" s="10">
        <f>I40</f>
        <v>2088.7800000000002</v>
      </c>
    </row>
    <row r="7" spans="1:34" x14ac:dyDescent="0.35">
      <c r="A7" s="24" t="s">
        <v>11</v>
      </c>
      <c r="B7" s="24">
        <v>600</v>
      </c>
      <c r="C7" s="24">
        <v>0.90200000000000002</v>
      </c>
      <c r="D7" s="24">
        <f t="shared" ref="D7:D10" si="0">B7*C7</f>
        <v>541.20000000000005</v>
      </c>
      <c r="E7" s="24">
        <v>0</v>
      </c>
      <c r="F7" s="24">
        <v>0.90200000000000002</v>
      </c>
      <c r="G7" s="24">
        <v>0</v>
      </c>
      <c r="H7" s="24">
        <v>0</v>
      </c>
      <c r="I7" s="24">
        <f t="shared" ref="I7:I10" si="1">(100-H7)%*D7</f>
        <v>541.20000000000005</v>
      </c>
      <c r="M7" s="24" t="s">
        <v>11</v>
      </c>
      <c r="N7" s="24">
        <v>600</v>
      </c>
      <c r="O7" s="24">
        <v>0.90200000000000002</v>
      </c>
      <c r="P7" s="24">
        <f t="shared" ref="P7" si="2">N7*O7</f>
        <v>541.20000000000005</v>
      </c>
      <c r="Q7" s="24">
        <v>0</v>
      </c>
      <c r="R7" s="24">
        <v>0.90200000000000002</v>
      </c>
      <c r="S7" s="24">
        <f t="shared" ref="S7" si="3">Q7*R7</f>
        <v>0</v>
      </c>
      <c r="T7" s="24">
        <f t="shared" ref="T7" si="4">(S7/P7)*100</f>
        <v>0</v>
      </c>
      <c r="U7" s="24">
        <f t="shared" ref="U7" si="5">(100-T7)%*P7</f>
        <v>541.20000000000005</v>
      </c>
      <c r="Y7" s="8" t="s">
        <v>48</v>
      </c>
      <c r="Z7" s="8">
        <f>B17</f>
        <v>3</v>
      </c>
      <c r="AA7" s="8">
        <f>Z7/Z12*100</f>
        <v>9.8427457323494963E-2</v>
      </c>
      <c r="AC7" s="10" t="s">
        <v>25</v>
      </c>
      <c r="AD7" s="10">
        <f>12.6108+0.9</f>
        <v>13.5108</v>
      </c>
      <c r="AG7" s="10" t="s">
        <v>25</v>
      </c>
      <c r="AH7" s="10">
        <f>P18</f>
        <v>13.5108</v>
      </c>
    </row>
    <row r="8" spans="1:34" x14ac:dyDescent="0.35">
      <c r="A8" s="24" t="s">
        <v>12</v>
      </c>
      <c r="B8" s="24">
        <v>2000</v>
      </c>
      <c r="C8" s="24">
        <v>1</v>
      </c>
      <c r="D8" s="24">
        <f t="shared" si="0"/>
        <v>2000</v>
      </c>
      <c r="E8" s="24">
        <v>0</v>
      </c>
      <c r="F8" s="24">
        <v>1</v>
      </c>
      <c r="G8" s="24">
        <f t="shared" ref="G8:G10" si="6">E8*F8</f>
        <v>0</v>
      </c>
      <c r="H8" s="24">
        <f t="shared" ref="H8:H10" si="7">(G8/D8)*100</f>
        <v>0</v>
      </c>
      <c r="I8" s="24">
        <f t="shared" si="1"/>
        <v>2000</v>
      </c>
      <c r="M8" s="24" t="s">
        <v>13</v>
      </c>
      <c r="N8" s="24">
        <v>1.5</v>
      </c>
      <c r="O8" s="24">
        <v>1.02</v>
      </c>
      <c r="P8" s="24">
        <f t="shared" ref="P8:P9" si="8">N8*O8</f>
        <v>1.53</v>
      </c>
      <c r="Q8" s="24">
        <v>0</v>
      </c>
      <c r="R8" s="24">
        <v>1.02</v>
      </c>
      <c r="S8" s="24">
        <f t="shared" ref="S8:S9" si="9">Q8*R8</f>
        <v>0</v>
      </c>
      <c r="T8" s="24">
        <f t="shared" ref="T8:T9" si="10">(S8/P8)*100</f>
        <v>0</v>
      </c>
      <c r="U8" s="24">
        <f t="shared" ref="U8:U9" si="11">(100-T8)%*P8</f>
        <v>1.53</v>
      </c>
      <c r="Y8" s="8" t="s">
        <v>49</v>
      </c>
      <c r="Z8" s="8">
        <f>D7+D6</f>
        <v>935.7</v>
      </c>
      <c r="AA8" s="8">
        <f>Z8/Z12*100</f>
        <v>30.699523939198077</v>
      </c>
      <c r="AC8" s="20" t="s">
        <v>55</v>
      </c>
      <c r="AD8" s="12">
        <v>3</v>
      </c>
      <c r="AG8" s="20" t="s">
        <v>55</v>
      </c>
      <c r="AH8" s="12">
        <f>0</f>
        <v>0</v>
      </c>
    </row>
    <row r="9" spans="1:34" x14ac:dyDescent="0.35">
      <c r="A9" s="24" t="s">
        <v>13</v>
      </c>
      <c r="B9" s="24">
        <v>1.5</v>
      </c>
      <c r="C9" s="24">
        <v>1.02</v>
      </c>
      <c r="D9" s="24">
        <f t="shared" si="0"/>
        <v>1.53</v>
      </c>
      <c r="E9" s="24">
        <v>0</v>
      </c>
      <c r="F9" s="24">
        <v>1.02</v>
      </c>
      <c r="G9" s="24">
        <f t="shared" si="6"/>
        <v>0</v>
      </c>
      <c r="H9" s="24">
        <f t="shared" si="7"/>
        <v>0</v>
      </c>
      <c r="I9" s="24">
        <f t="shared" si="1"/>
        <v>1.53</v>
      </c>
      <c r="M9" s="24" t="s">
        <v>14</v>
      </c>
      <c r="N9" s="24">
        <v>3</v>
      </c>
      <c r="O9" s="24">
        <v>0.9</v>
      </c>
      <c r="P9" s="24">
        <f t="shared" si="8"/>
        <v>2.7</v>
      </c>
      <c r="Q9" s="24">
        <v>0</v>
      </c>
      <c r="R9" s="24">
        <v>0.9</v>
      </c>
      <c r="S9" s="24">
        <f t="shared" si="9"/>
        <v>0</v>
      </c>
      <c r="T9" s="24">
        <f t="shared" si="10"/>
        <v>0</v>
      </c>
      <c r="U9" s="24">
        <f t="shared" si="11"/>
        <v>2.7</v>
      </c>
      <c r="Y9" s="8" t="s">
        <v>50</v>
      </c>
      <c r="Z9" s="8">
        <f>D8</f>
        <v>2000</v>
      </c>
      <c r="AA9" s="8">
        <f>Z9/Z12*100</f>
        <v>65.618304882329966</v>
      </c>
      <c r="AC9" s="12" t="s">
        <v>51</v>
      </c>
      <c r="AD9" s="12">
        <v>70</v>
      </c>
      <c r="AG9" s="12" t="s">
        <v>51</v>
      </c>
      <c r="AH9" s="12">
        <v>0</v>
      </c>
    </row>
    <row r="10" spans="1:34" x14ac:dyDescent="0.35">
      <c r="A10" s="24" t="s">
        <v>14</v>
      </c>
      <c r="B10" s="24">
        <v>3</v>
      </c>
      <c r="C10" s="24">
        <v>0.9</v>
      </c>
      <c r="D10" s="24">
        <f t="shared" si="0"/>
        <v>2.7</v>
      </c>
      <c r="E10" s="24">
        <v>0</v>
      </c>
      <c r="F10" s="24">
        <v>0.9</v>
      </c>
      <c r="G10" s="24">
        <f t="shared" si="6"/>
        <v>0</v>
      </c>
      <c r="H10" s="24">
        <f t="shared" si="7"/>
        <v>0</v>
      </c>
      <c r="I10" s="24">
        <f t="shared" si="1"/>
        <v>2.7</v>
      </c>
      <c r="M10" s="24"/>
      <c r="N10" s="24"/>
      <c r="O10" s="24"/>
      <c r="P10" s="24"/>
      <c r="Q10" s="24"/>
      <c r="R10" s="24"/>
      <c r="S10" s="24"/>
      <c r="T10" s="24"/>
      <c r="U10" s="24"/>
      <c r="Y10" s="8" t="s">
        <v>51</v>
      </c>
      <c r="Z10" s="8">
        <f>B14</f>
        <v>100</v>
      </c>
      <c r="AA10" s="8">
        <f>Z10/Z12*100</f>
        <v>3.2809152441164988</v>
      </c>
      <c r="AC10" s="12" t="s">
        <v>54</v>
      </c>
      <c r="AD10" s="12">
        <v>5</v>
      </c>
      <c r="AG10" s="12" t="s">
        <v>54</v>
      </c>
      <c r="AH10" s="12">
        <v>5</v>
      </c>
    </row>
    <row r="11" spans="1:34" x14ac:dyDescent="0.35">
      <c r="A11" s="25" t="s">
        <v>16</v>
      </c>
      <c r="B11" s="25"/>
      <c r="C11" s="25"/>
      <c r="D11" s="25">
        <f>SUM(D6:D10)</f>
        <v>2939.93</v>
      </c>
      <c r="E11" s="25"/>
      <c r="F11" s="25"/>
      <c r="G11" s="25">
        <f>SUM(G6:G10)</f>
        <v>0</v>
      </c>
      <c r="H11" s="25"/>
      <c r="I11" s="25">
        <f>SUM(I6:I10)</f>
        <v>2939.93</v>
      </c>
      <c r="K11">
        <f>G11+I11</f>
        <v>2939.93</v>
      </c>
      <c r="M11" s="25" t="s">
        <v>16</v>
      </c>
      <c r="N11" s="25"/>
      <c r="O11" s="25"/>
      <c r="P11" s="25">
        <f>SUM(P6:P10)</f>
        <v>939.93000000000006</v>
      </c>
      <c r="Q11" s="25"/>
      <c r="R11" s="25"/>
      <c r="S11" s="25">
        <f>SUM(S6:S10)</f>
        <v>0</v>
      </c>
      <c r="T11" s="25"/>
      <c r="U11" s="25">
        <f>SUM(U6:U10)</f>
        <v>939.93000000000006</v>
      </c>
      <c r="Y11" s="8" t="s">
        <v>52</v>
      </c>
      <c r="Z11" s="8">
        <f>B16</f>
        <v>5</v>
      </c>
      <c r="AA11" s="8">
        <f>Z11/Z12*100</f>
        <v>0.16404576220582492</v>
      </c>
      <c r="AC11" s="12"/>
      <c r="AD11" s="12"/>
      <c r="AG11" s="12"/>
      <c r="AH11" s="12"/>
    </row>
    <row r="12" spans="1:34" x14ac:dyDescent="0.35">
      <c r="U12">
        <f>U11+S11</f>
        <v>939.93000000000006</v>
      </c>
      <c r="Y12" s="32" t="s">
        <v>16</v>
      </c>
      <c r="Z12" s="32">
        <f>SUM(Z6:Z11)</f>
        <v>3047.9300000000003</v>
      </c>
      <c r="AA12" s="32">
        <f>SUM(AA6:AA11)</f>
        <v>100</v>
      </c>
      <c r="AC12" s="25" t="s">
        <v>56</v>
      </c>
      <c r="AD12" s="25">
        <f>SUM(AD6:AD11)</f>
        <v>3031.4407999999999</v>
      </c>
      <c r="AG12" s="25" t="s">
        <v>56</v>
      </c>
      <c r="AH12" s="25">
        <f>SUM(AH6:AH11)</f>
        <v>2107.2908000000002</v>
      </c>
    </row>
    <row r="13" spans="1:34" ht="53" customHeight="1" x14ac:dyDescent="0.35">
      <c r="A13" s="17" t="s">
        <v>17</v>
      </c>
      <c r="B13" s="18" t="s">
        <v>21</v>
      </c>
      <c r="C13" s="19" t="s">
        <v>22</v>
      </c>
      <c r="D13" s="19" t="s">
        <v>21</v>
      </c>
      <c r="M13" s="17" t="s">
        <v>17</v>
      </c>
      <c r="N13" s="18" t="s">
        <v>21</v>
      </c>
      <c r="O13" s="19" t="s">
        <v>22</v>
      </c>
      <c r="P13" s="19" t="s">
        <v>21</v>
      </c>
    </row>
    <row r="14" spans="1:34" ht="116" x14ac:dyDescent="0.35">
      <c r="A14" s="6" t="s">
        <v>18</v>
      </c>
      <c r="B14" s="6">
        <v>100</v>
      </c>
      <c r="C14" s="9" t="s">
        <v>41</v>
      </c>
      <c r="D14" s="9">
        <v>0.70220000000000005</v>
      </c>
      <c r="F14" s="15" t="s">
        <v>32</v>
      </c>
      <c r="G14" s="16">
        <f>D15+D20+D18+D21</f>
        <v>3031.4407999999999</v>
      </c>
      <c r="M14" s="6" t="s">
        <v>18</v>
      </c>
      <c r="N14" s="6">
        <v>100</v>
      </c>
      <c r="O14" s="9" t="s">
        <v>41</v>
      </c>
      <c r="P14" s="9">
        <v>0.70220000000000005</v>
      </c>
      <c r="R14" s="15" t="s">
        <v>32</v>
      </c>
      <c r="S14" s="16">
        <f>P15+P20+P18</f>
        <v>1028.4408000000001</v>
      </c>
    </row>
    <row r="15" spans="1:34" ht="43.5" x14ac:dyDescent="0.35">
      <c r="A15" s="7" t="s">
        <v>19</v>
      </c>
      <c r="B15" s="7">
        <f>D11</f>
        <v>2939.93</v>
      </c>
      <c r="C15" s="10" t="s">
        <v>33</v>
      </c>
      <c r="D15" s="10">
        <f>(I11)</f>
        <v>2939.93</v>
      </c>
      <c r="F15" s="15" t="s">
        <v>29</v>
      </c>
      <c r="G15" s="16">
        <f>27%*D14</f>
        <v>0.18959400000000001</v>
      </c>
      <c r="M15" s="7" t="s">
        <v>19</v>
      </c>
      <c r="N15" s="7">
        <f>P11</f>
        <v>939.93000000000006</v>
      </c>
      <c r="O15" s="10" t="s">
        <v>33</v>
      </c>
      <c r="P15" s="10">
        <f>(U11)</f>
        <v>939.93000000000006</v>
      </c>
      <c r="R15" s="15" t="s">
        <v>29</v>
      </c>
      <c r="S15" s="16">
        <f>27.47%*P14</f>
        <v>0.19289434000000003</v>
      </c>
    </row>
    <row r="16" spans="1:34" ht="58" x14ac:dyDescent="0.35">
      <c r="A16" s="7" t="s">
        <v>20</v>
      </c>
      <c r="B16" s="7">
        <v>5</v>
      </c>
      <c r="C16" s="11" t="s">
        <v>24</v>
      </c>
      <c r="D16" s="10">
        <v>0.4</v>
      </c>
      <c r="F16" s="14" t="s">
        <v>30</v>
      </c>
      <c r="G16" s="4">
        <v>0.70220000000000005</v>
      </c>
      <c r="M16" s="7" t="s">
        <v>20</v>
      </c>
      <c r="N16" s="7">
        <v>5</v>
      </c>
      <c r="O16" s="11" t="s">
        <v>24</v>
      </c>
      <c r="P16" s="10">
        <v>0.4</v>
      </c>
      <c r="R16" s="14" t="s">
        <v>30</v>
      </c>
      <c r="S16" s="4">
        <v>0.70220000000000005</v>
      </c>
    </row>
    <row r="17" spans="1:17" ht="72.5" x14ac:dyDescent="0.35">
      <c r="A17" s="7" t="s">
        <v>35</v>
      </c>
      <c r="B17" s="7">
        <v>3</v>
      </c>
      <c r="C17" s="10" t="s">
        <v>27</v>
      </c>
      <c r="D17" s="10">
        <v>15.387</v>
      </c>
      <c r="M17" s="7" t="s">
        <v>35</v>
      </c>
      <c r="N17" s="7">
        <v>3</v>
      </c>
      <c r="O17" s="10" t="s">
        <v>27</v>
      </c>
      <c r="P17" s="10">
        <v>15.387</v>
      </c>
    </row>
    <row r="18" spans="1:17" x14ac:dyDescent="0.35">
      <c r="A18" s="7"/>
      <c r="B18" s="7"/>
      <c r="C18" s="10" t="s">
        <v>25</v>
      </c>
      <c r="D18" s="10">
        <f>12.6108+0.9</f>
        <v>13.5108</v>
      </c>
      <c r="M18" s="7"/>
      <c r="N18" s="7"/>
      <c r="O18" s="10" t="s">
        <v>25</v>
      </c>
      <c r="P18" s="10">
        <f>12.6108+0.9</f>
        <v>13.5108</v>
      </c>
    </row>
    <row r="19" spans="1:17" ht="65.5" customHeight="1" x14ac:dyDescent="0.35">
      <c r="A19" s="7"/>
      <c r="B19" s="7"/>
      <c r="C19" s="10" t="s">
        <v>26</v>
      </c>
      <c r="D19" s="10">
        <f>G11</f>
        <v>0</v>
      </c>
      <c r="M19" s="7"/>
      <c r="N19" s="7"/>
      <c r="O19" s="10" t="s">
        <v>26</v>
      </c>
      <c r="P19" s="10">
        <f>S11</f>
        <v>0</v>
      </c>
    </row>
    <row r="20" spans="1:17" ht="91" customHeight="1" x14ac:dyDescent="0.35">
      <c r="A20" s="8"/>
      <c r="B20" s="8"/>
      <c r="C20" s="20" t="s">
        <v>34</v>
      </c>
      <c r="D20" s="12">
        <v>75</v>
      </c>
      <c r="M20" s="8"/>
      <c r="N20" s="8"/>
      <c r="O20" s="20" t="s">
        <v>34</v>
      </c>
      <c r="P20" s="12">
        <v>75</v>
      </c>
    </row>
    <row r="21" spans="1:17" ht="64.5" customHeight="1" thickBot="1" x14ac:dyDescent="0.4">
      <c r="A21" s="8"/>
      <c r="B21" s="8"/>
      <c r="C21" s="12" t="s">
        <v>36</v>
      </c>
      <c r="D21" s="12">
        <f>B17</f>
        <v>3</v>
      </c>
      <c r="M21" s="8"/>
      <c r="N21" s="8"/>
      <c r="O21" s="20" t="s">
        <v>36</v>
      </c>
      <c r="P21" s="12">
        <f>N17</f>
        <v>3</v>
      </c>
    </row>
    <row r="22" spans="1:17" ht="15" thickBot="1" x14ac:dyDescent="0.4">
      <c r="A22" s="26" t="s">
        <v>23</v>
      </c>
      <c r="B22" s="27">
        <f>SUM(B14:B21)</f>
        <v>3047.93</v>
      </c>
      <c r="C22" s="28"/>
      <c r="D22" s="29">
        <f>SUM(D14:D21)</f>
        <v>3047.9300000000003</v>
      </c>
      <c r="M22" s="26" t="s">
        <v>23</v>
      </c>
      <c r="N22" s="27">
        <f>SUM(N14:N21)</f>
        <v>1047.93</v>
      </c>
      <c r="O22" s="28"/>
      <c r="P22" s="29">
        <f>SUM(P14:P21)</f>
        <v>1047.93</v>
      </c>
    </row>
    <row r="23" spans="1:17" ht="15" thickBot="1" x14ac:dyDescent="0.4">
      <c r="A23" s="41" t="s">
        <v>28</v>
      </c>
      <c r="B23" s="42"/>
      <c r="C23" s="42"/>
      <c r="D23" s="5">
        <f>G14/G16</f>
        <v>4317.0618057533466</v>
      </c>
      <c r="E23" t="s">
        <v>43</v>
      </c>
      <c r="M23" s="41" t="s">
        <v>28</v>
      </c>
      <c r="N23" s="42"/>
      <c r="O23" s="42"/>
      <c r="P23" s="5">
        <f>S14/S16</f>
        <v>1464.598120193677</v>
      </c>
      <c r="Q23" t="s">
        <v>43</v>
      </c>
    </row>
    <row r="24" spans="1:17" ht="15" thickBot="1" x14ac:dyDescent="0.4">
      <c r="A24" s="38" t="s">
        <v>31</v>
      </c>
      <c r="B24" s="39"/>
      <c r="C24" s="39"/>
      <c r="D24" s="13">
        <f>G14/G15</f>
        <v>15989.117799086467</v>
      </c>
      <c r="E24" t="s">
        <v>43</v>
      </c>
      <c r="M24" s="38" t="s">
        <v>31</v>
      </c>
      <c r="N24" s="39"/>
      <c r="O24" s="39"/>
      <c r="P24" s="13">
        <f>S14/S15</f>
        <v>5331.6276672503709</v>
      </c>
      <c r="Q24" t="s">
        <v>43</v>
      </c>
    </row>
    <row r="25" spans="1:17" x14ac:dyDescent="0.35">
      <c r="A25" t="s">
        <v>37</v>
      </c>
      <c r="D25">
        <f>B22/D14</f>
        <v>4340.5440045571058</v>
      </c>
      <c r="M25" t="s">
        <v>37</v>
      </c>
      <c r="P25">
        <f>N22/P14</f>
        <v>1492.3526060951297</v>
      </c>
    </row>
    <row r="31" spans="1:17" x14ac:dyDescent="0.35">
      <c r="A31" s="40" t="s">
        <v>1</v>
      </c>
      <c r="B31" s="40"/>
      <c r="C31" s="40"/>
      <c r="M31" s="40" t="s">
        <v>1</v>
      </c>
      <c r="N31" s="40"/>
      <c r="O31" s="40"/>
    </row>
    <row r="32" spans="1:17" x14ac:dyDescent="0.35">
      <c r="A32" s="30" t="s">
        <v>39</v>
      </c>
      <c r="B32" s="30"/>
      <c r="C32" s="30"/>
      <c r="M32" s="30" t="s">
        <v>42</v>
      </c>
      <c r="N32" s="30"/>
      <c r="O32" s="30"/>
    </row>
    <row r="33" spans="1:22" x14ac:dyDescent="0.35">
      <c r="A33" s="2" t="s">
        <v>15</v>
      </c>
      <c r="M33" s="2" t="s">
        <v>15</v>
      </c>
    </row>
    <row r="34" spans="1:22" ht="29" x14ac:dyDescent="0.35">
      <c r="A34" s="21" t="s">
        <v>2</v>
      </c>
      <c r="B34" s="22" t="s">
        <v>5</v>
      </c>
      <c r="C34" s="22" t="s">
        <v>6</v>
      </c>
      <c r="D34" s="22" t="s">
        <v>7</v>
      </c>
      <c r="E34" s="22" t="s">
        <v>8</v>
      </c>
      <c r="F34" s="22" t="s">
        <v>6</v>
      </c>
      <c r="G34" s="22" t="s">
        <v>9</v>
      </c>
      <c r="H34" s="22" t="s">
        <v>10</v>
      </c>
      <c r="I34" s="22" t="s">
        <v>3</v>
      </c>
      <c r="J34" s="1"/>
      <c r="M34" s="21" t="s">
        <v>2</v>
      </c>
      <c r="N34" s="22" t="s">
        <v>5</v>
      </c>
      <c r="O34" s="22" t="s">
        <v>6</v>
      </c>
      <c r="P34" s="22" t="s">
        <v>7</v>
      </c>
      <c r="Q34" s="22" t="s">
        <v>8</v>
      </c>
      <c r="R34" s="22" t="s">
        <v>6</v>
      </c>
      <c r="S34" s="22" t="s">
        <v>9</v>
      </c>
      <c r="T34" s="22" t="s">
        <v>10</v>
      </c>
      <c r="U34" s="22" t="s">
        <v>3</v>
      </c>
      <c r="V34" s="1"/>
    </row>
    <row r="35" spans="1:22" x14ac:dyDescent="0.35">
      <c r="A35" s="23" t="s">
        <v>4</v>
      </c>
      <c r="B35" s="23">
        <v>500</v>
      </c>
      <c r="C35" s="23">
        <v>0.78900000000000003</v>
      </c>
      <c r="D35" s="23">
        <f>B35*C35</f>
        <v>394.5</v>
      </c>
      <c r="E35" s="23">
        <v>450</v>
      </c>
      <c r="F35" s="23">
        <v>0.78900000000000003</v>
      </c>
      <c r="G35" s="23">
        <f>E35*F35</f>
        <v>355.05</v>
      </c>
      <c r="H35" s="24">
        <f>(G35/D35)*100</f>
        <v>90</v>
      </c>
      <c r="I35" s="24">
        <f>(100-H35)%*D35</f>
        <v>39.450000000000003</v>
      </c>
      <c r="M35" s="23" t="s">
        <v>4</v>
      </c>
      <c r="N35" s="23">
        <v>500</v>
      </c>
      <c r="O35" s="23">
        <v>0.78900000000000003</v>
      </c>
      <c r="P35" s="23">
        <f>N35*O35</f>
        <v>394.5</v>
      </c>
      <c r="Q35" s="23">
        <v>450</v>
      </c>
      <c r="R35" s="23">
        <v>0.78900000000000003</v>
      </c>
      <c r="S35" s="23">
        <f>Q35*R35</f>
        <v>355.05</v>
      </c>
      <c r="T35" s="24">
        <f>(S35/P35)*100</f>
        <v>90</v>
      </c>
      <c r="U35" s="24">
        <f>(100-T35)%*P35</f>
        <v>39.450000000000003</v>
      </c>
    </row>
    <row r="36" spans="1:22" x14ac:dyDescent="0.35">
      <c r="A36" s="24" t="s">
        <v>11</v>
      </c>
      <c r="B36" s="24">
        <v>600</v>
      </c>
      <c r="C36" s="24">
        <v>0.90200000000000002</v>
      </c>
      <c r="D36" s="24">
        <f t="shared" ref="D36:D39" si="12">B36*C36</f>
        <v>541.20000000000005</v>
      </c>
      <c r="E36" s="24">
        <v>550</v>
      </c>
      <c r="F36" s="24">
        <v>0.90200000000000002</v>
      </c>
      <c r="G36" s="24">
        <f t="shared" ref="G36:G39" si="13">E36*F36</f>
        <v>496.1</v>
      </c>
      <c r="H36" s="24">
        <f t="shared" ref="H36:H39" si="14">(G36/D36)*100</f>
        <v>91.666666666666657</v>
      </c>
      <c r="I36" s="24">
        <f t="shared" ref="I36:I39" si="15">(100-H36)%*D36</f>
        <v>45.100000000000051</v>
      </c>
      <c r="M36" s="24" t="s">
        <v>11</v>
      </c>
      <c r="N36" s="24">
        <v>600</v>
      </c>
      <c r="O36" s="24">
        <v>0.90200000000000002</v>
      </c>
      <c r="P36" s="24">
        <f t="shared" ref="P36:P38" si="16">N36*O36</f>
        <v>541.20000000000005</v>
      </c>
      <c r="Q36" s="24">
        <v>550</v>
      </c>
      <c r="R36" s="24">
        <v>0.90200000000000002</v>
      </c>
      <c r="S36" s="24">
        <f t="shared" ref="S36:S38" si="17">Q36*R36</f>
        <v>496.1</v>
      </c>
      <c r="T36" s="24">
        <f t="shared" ref="T36:T38" si="18">(S36/P36)*100</f>
        <v>91.666666666666657</v>
      </c>
      <c r="U36" s="24">
        <f t="shared" ref="U36:U38" si="19">(100-T36)%*P36</f>
        <v>45.100000000000051</v>
      </c>
    </row>
    <row r="37" spans="1:22" x14ac:dyDescent="0.35">
      <c r="A37" s="24" t="s">
        <v>12</v>
      </c>
      <c r="B37" s="24">
        <v>2000</v>
      </c>
      <c r="C37" s="24">
        <v>1</v>
      </c>
      <c r="D37" s="24">
        <f t="shared" si="12"/>
        <v>2000</v>
      </c>
      <c r="E37" s="24">
        <v>0</v>
      </c>
      <c r="F37" s="24">
        <v>1</v>
      </c>
      <c r="G37" s="24">
        <f t="shared" si="13"/>
        <v>0</v>
      </c>
      <c r="H37" s="24">
        <f t="shared" si="14"/>
        <v>0</v>
      </c>
      <c r="I37" s="24">
        <f t="shared" si="15"/>
        <v>2000</v>
      </c>
      <c r="M37" s="24" t="s">
        <v>13</v>
      </c>
      <c r="N37" s="24">
        <v>1.5</v>
      </c>
      <c r="O37" s="24">
        <v>1.02</v>
      </c>
      <c r="P37" s="24">
        <f t="shared" si="16"/>
        <v>1.53</v>
      </c>
      <c r="Q37" s="24">
        <v>0</v>
      </c>
      <c r="R37" s="24">
        <v>1.02</v>
      </c>
      <c r="S37" s="24">
        <f t="shared" si="17"/>
        <v>0</v>
      </c>
      <c r="T37" s="24">
        <f t="shared" si="18"/>
        <v>0</v>
      </c>
      <c r="U37" s="24">
        <f t="shared" si="19"/>
        <v>1.53</v>
      </c>
    </row>
    <row r="38" spans="1:22" x14ac:dyDescent="0.35">
      <c r="A38" s="24" t="s">
        <v>13</v>
      </c>
      <c r="B38" s="24">
        <v>1.5</v>
      </c>
      <c r="C38" s="24">
        <v>1.02</v>
      </c>
      <c r="D38" s="24">
        <f t="shared" si="12"/>
        <v>1.53</v>
      </c>
      <c r="E38" s="24">
        <v>0</v>
      </c>
      <c r="F38" s="24">
        <v>1.02</v>
      </c>
      <c r="G38" s="24">
        <f t="shared" si="13"/>
        <v>0</v>
      </c>
      <c r="H38" s="24">
        <f t="shared" si="14"/>
        <v>0</v>
      </c>
      <c r="I38" s="24">
        <f t="shared" si="15"/>
        <v>1.53</v>
      </c>
      <c r="M38" s="24" t="s">
        <v>14</v>
      </c>
      <c r="N38" s="24">
        <v>3</v>
      </c>
      <c r="O38" s="24">
        <v>0.9</v>
      </c>
      <c r="P38" s="24">
        <f t="shared" si="16"/>
        <v>2.7</v>
      </c>
      <c r="Q38" s="24">
        <v>0</v>
      </c>
      <c r="R38" s="24">
        <v>0.9</v>
      </c>
      <c r="S38" s="24">
        <f t="shared" si="17"/>
        <v>0</v>
      </c>
      <c r="T38" s="24">
        <f t="shared" si="18"/>
        <v>0</v>
      </c>
      <c r="U38" s="24">
        <f t="shared" si="19"/>
        <v>2.7</v>
      </c>
    </row>
    <row r="39" spans="1:22" x14ac:dyDescent="0.35">
      <c r="A39" s="24" t="s">
        <v>14</v>
      </c>
      <c r="B39" s="24">
        <v>3</v>
      </c>
      <c r="C39" s="24">
        <v>0.9</v>
      </c>
      <c r="D39" s="24">
        <f t="shared" si="12"/>
        <v>2.7</v>
      </c>
      <c r="E39" s="24">
        <v>0</v>
      </c>
      <c r="F39" s="24">
        <v>0.9</v>
      </c>
      <c r="G39" s="24">
        <f t="shared" si="13"/>
        <v>0</v>
      </c>
      <c r="H39" s="24">
        <f t="shared" si="14"/>
        <v>0</v>
      </c>
      <c r="I39" s="24">
        <f t="shared" si="15"/>
        <v>2.7</v>
      </c>
      <c r="M39" s="24"/>
      <c r="N39" s="24"/>
      <c r="O39" s="24"/>
      <c r="P39" s="24"/>
      <c r="Q39" s="24"/>
      <c r="R39" s="24"/>
      <c r="S39" s="24"/>
      <c r="T39" s="24"/>
      <c r="U39" s="24"/>
    </row>
    <row r="40" spans="1:22" x14ac:dyDescent="0.35">
      <c r="A40" s="25" t="s">
        <v>16</v>
      </c>
      <c r="B40" s="25"/>
      <c r="C40" s="25"/>
      <c r="D40" s="25">
        <f>SUM(D35:D39)</f>
        <v>2939.93</v>
      </c>
      <c r="E40" s="25"/>
      <c r="F40" s="25"/>
      <c r="G40" s="25">
        <f>SUM(G35:G39)</f>
        <v>851.15000000000009</v>
      </c>
      <c r="H40" s="25"/>
      <c r="I40" s="25">
        <f>SUM(I35:I39)</f>
        <v>2088.7800000000002</v>
      </c>
      <c r="K40">
        <f>G40+I40</f>
        <v>2939.9300000000003</v>
      </c>
      <c r="M40" s="25" t="s">
        <v>16</v>
      </c>
      <c r="N40" s="25"/>
      <c r="O40" s="25"/>
      <c r="P40" s="25">
        <f>SUM(P35:P39)</f>
        <v>939.93000000000006</v>
      </c>
      <c r="Q40" s="25"/>
      <c r="R40" s="25"/>
      <c r="S40" s="25">
        <f>SUM(S35:S39)</f>
        <v>851.15000000000009</v>
      </c>
      <c r="T40" s="25"/>
      <c r="U40" s="25">
        <f>SUM(U35:U39)</f>
        <v>88.780000000000058</v>
      </c>
    </row>
    <row r="41" spans="1:22" x14ac:dyDescent="0.35">
      <c r="U41">
        <f>U40+S40</f>
        <v>939.93000000000018</v>
      </c>
    </row>
    <row r="42" spans="1:22" ht="43.5" x14ac:dyDescent="0.35">
      <c r="A42" s="17" t="s">
        <v>17</v>
      </c>
      <c r="B42" s="18" t="s">
        <v>21</v>
      </c>
      <c r="C42" s="19" t="s">
        <v>22</v>
      </c>
      <c r="D42" s="19" t="s">
        <v>21</v>
      </c>
      <c r="M42" s="17" t="s">
        <v>17</v>
      </c>
      <c r="N42" s="18" t="s">
        <v>21</v>
      </c>
      <c r="O42" s="19" t="s">
        <v>22</v>
      </c>
      <c r="P42" s="19" t="s">
        <v>21</v>
      </c>
    </row>
    <row r="43" spans="1:22" ht="124.5" customHeight="1" x14ac:dyDescent="0.35">
      <c r="A43" s="6" t="s">
        <v>18</v>
      </c>
      <c r="B43" s="6">
        <v>100</v>
      </c>
      <c r="C43" s="9" t="s">
        <v>40</v>
      </c>
      <c r="D43" s="9">
        <v>0.70220000000000005</v>
      </c>
      <c r="F43" s="15" t="s">
        <v>32</v>
      </c>
      <c r="G43" s="16">
        <f>D44+D49+D47</f>
        <v>2107.2908000000002</v>
      </c>
      <c r="M43" s="6" t="s">
        <v>18</v>
      </c>
      <c r="N43" s="6">
        <v>100</v>
      </c>
      <c r="O43" s="9" t="s">
        <v>41</v>
      </c>
      <c r="P43" s="9">
        <v>0.70220000000000005</v>
      </c>
      <c r="R43" s="15" t="s">
        <v>32</v>
      </c>
      <c r="S43" s="16">
        <f>P44+P49+P47</f>
        <v>107.29080000000006</v>
      </c>
    </row>
    <row r="44" spans="1:22" ht="57.5" customHeight="1" x14ac:dyDescent="0.35">
      <c r="A44" s="7" t="s">
        <v>19</v>
      </c>
      <c r="B44" s="7">
        <f>D40</f>
        <v>2939.93</v>
      </c>
      <c r="C44" s="10" t="s">
        <v>33</v>
      </c>
      <c r="D44" s="10">
        <f>(I40)</f>
        <v>2088.7800000000002</v>
      </c>
      <c r="F44" s="15" t="s">
        <v>29</v>
      </c>
      <c r="G44" s="16">
        <f>27%*D43</f>
        <v>0.18959400000000001</v>
      </c>
      <c r="M44" s="7" t="s">
        <v>19</v>
      </c>
      <c r="N44" s="7">
        <f>P40</f>
        <v>939.93000000000006</v>
      </c>
      <c r="O44" s="10" t="s">
        <v>33</v>
      </c>
      <c r="P44" s="10">
        <f>(U40)</f>
        <v>88.780000000000058</v>
      </c>
      <c r="R44" s="15" t="s">
        <v>29</v>
      </c>
      <c r="S44" s="16">
        <f>27.47%*P43</f>
        <v>0.19289434000000003</v>
      </c>
    </row>
    <row r="45" spans="1:22" ht="83" customHeight="1" x14ac:dyDescent="0.35">
      <c r="A45" s="7" t="s">
        <v>20</v>
      </c>
      <c r="B45" s="7">
        <v>5</v>
      </c>
      <c r="C45" s="11" t="s">
        <v>24</v>
      </c>
      <c r="D45" s="10">
        <v>0.4</v>
      </c>
      <c r="F45" s="14" t="s">
        <v>30</v>
      </c>
      <c r="G45" s="4">
        <v>0.70220000000000005</v>
      </c>
      <c r="M45" s="7" t="s">
        <v>20</v>
      </c>
      <c r="N45" s="7">
        <v>5</v>
      </c>
      <c r="O45" s="11" t="s">
        <v>24</v>
      </c>
      <c r="P45" s="10">
        <v>0.4</v>
      </c>
      <c r="R45" s="14" t="s">
        <v>30</v>
      </c>
      <c r="S45" s="4">
        <v>0.70220000000000005</v>
      </c>
    </row>
    <row r="46" spans="1:22" ht="92" customHeight="1" x14ac:dyDescent="0.35">
      <c r="A46" s="7" t="s">
        <v>35</v>
      </c>
      <c r="B46" s="7">
        <v>3</v>
      </c>
      <c r="C46" s="10" t="s">
        <v>27</v>
      </c>
      <c r="D46" s="10">
        <v>15.387</v>
      </c>
      <c r="M46" s="7" t="s">
        <v>35</v>
      </c>
      <c r="N46" s="7">
        <v>3</v>
      </c>
      <c r="O46" s="10" t="s">
        <v>27</v>
      </c>
      <c r="P46" s="10">
        <v>15.387</v>
      </c>
    </row>
    <row r="47" spans="1:22" ht="33" customHeight="1" x14ac:dyDescent="0.35">
      <c r="A47" s="7"/>
      <c r="B47" s="7"/>
      <c r="C47" s="10" t="s">
        <v>25</v>
      </c>
      <c r="D47" s="10">
        <f>12.6108+0.9</f>
        <v>13.5108</v>
      </c>
      <c r="M47" s="7"/>
      <c r="N47" s="7"/>
      <c r="O47" s="10" t="s">
        <v>25</v>
      </c>
      <c r="P47" s="10">
        <f>12.6108+0.9</f>
        <v>13.5108</v>
      </c>
    </row>
    <row r="48" spans="1:22" ht="42" customHeight="1" x14ac:dyDescent="0.35">
      <c r="A48" s="7"/>
      <c r="B48" s="7"/>
      <c r="C48" s="10" t="s">
        <v>26</v>
      </c>
      <c r="D48" s="10">
        <f>G40</f>
        <v>851.15000000000009</v>
      </c>
      <c r="M48" s="7"/>
      <c r="N48" s="7"/>
      <c r="O48" s="10" t="s">
        <v>26</v>
      </c>
      <c r="P48" s="10">
        <f>S40</f>
        <v>851.15000000000009</v>
      </c>
    </row>
    <row r="49" spans="1:17" ht="58" x14ac:dyDescent="0.35">
      <c r="A49" s="8"/>
      <c r="B49" s="8"/>
      <c r="C49" s="20" t="s">
        <v>34</v>
      </c>
      <c r="D49" s="12">
        <v>5</v>
      </c>
      <c r="M49" s="8"/>
      <c r="N49" s="8"/>
      <c r="O49" s="20" t="s">
        <v>34</v>
      </c>
      <c r="P49" s="12">
        <f>N45</f>
        <v>5</v>
      </c>
    </row>
    <row r="50" spans="1:17" ht="101.5" x14ac:dyDescent="0.35">
      <c r="A50" s="8"/>
      <c r="B50" s="8"/>
      <c r="C50" s="20" t="s">
        <v>44</v>
      </c>
      <c r="D50" s="12">
        <v>70</v>
      </c>
      <c r="M50" s="8"/>
      <c r="N50" s="8"/>
      <c r="O50" s="20" t="s">
        <v>44</v>
      </c>
      <c r="P50" s="12">
        <v>70</v>
      </c>
    </row>
    <row r="51" spans="1:17" ht="29.5" thickBot="1" x14ac:dyDescent="0.4">
      <c r="A51" s="8"/>
      <c r="B51" s="8"/>
      <c r="C51" s="20" t="s">
        <v>36</v>
      </c>
      <c r="D51" s="12">
        <f>B46</f>
        <v>3</v>
      </c>
      <c r="M51" s="8"/>
      <c r="N51" s="8"/>
      <c r="O51" s="20" t="s">
        <v>36</v>
      </c>
      <c r="P51" s="12">
        <f>N46</f>
        <v>3</v>
      </c>
    </row>
    <row r="52" spans="1:17" ht="15" thickBot="1" x14ac:dyDescent="0.4">
      <c r="A52" s="26" t="s">
        <v>23</v>
      </c>
      <c r="B52" s="27">
        <f>SUM(B43:B51)</f>
        <v>3047.93</v>
      </c>
      <c r="C52" s="28"/>
      <c r="D52" s="29">
        <f>SUM(D43:D51)</f>
        <v>3047.9300000000007</v>
      </c>
      <c r="M52" s="26" t="s">
        <v>23</v>
      </c>
      <c r="N52" s="27">
        <f>SUM(N43:N51)</f>
        <v>1047.93</v>
      </c>
      <c r="O52" s="28"/>
      <c r="P52" s="29">
        <f>SUM(P43:P51)</f>
        <v>1047.9300000000003</v>
      </c>
    </row>
    <row r="53" spans="1:17" ht="15" thickBot="1" x14ac:dyDescent="0.4">
      <c r="A53" s="41" t="s">
        <v>28</v>
      </c>
      <c r="B53" s="42"/>
      <c r="C53" s="42"/>
      <c r="D53" s="5">
        <f>G43/G45</f>
        <v>3000.983765309029</v>
      </c>
      <c r="E53" t="s">
        <v>43</v>
      </c>
      <c r="M53" s="41" t="s">
        <v>28</v>
      </c>
      <c r="N53" s="42"/>
      <c r="O53" s="42"/>
      <c r="P53" s="5">
        <f>S43/S45</f>
        <v>152.79236684705219</v>
      </c>
      <c r="Q53" t="s">
        <v>43</v>
      </c>
    </row>
    <row r="54" spans="1:17" ht="15" thickBot="1" x14ac:dyDescent="0.4">
      <c r="A54" s="38" t="s">
        <v>31</v>
      </c>
      <c r="B54" s="39"/>
      <c r="C54" s="39"/>
      <c r="D54" s="13">
        <f>G43/G44</f>
        <v>11114.754686329736</v>
      </c>
      <c r="E54" t="s">
        <v>43</v>
      </c>
      <c r="M54" s="38" t="s">
        <v>31</v>
      </c>
      <c r="N54" s="39"/>
      <c r="O54" s="39"/>
      <c r="P54" s="13">
        <f>S43/S44</f>
        <v>556.21538713888674</v>
      </c>
      <c r="Q54" t="s">
        <v>43</v>
      </c>
    </row>
    <row r="55" spans="1:17" x14ac:dyDescent="0.35">
      <c r="A55" t="s">
        <v>37</v>
      </c>
      <c r="D55">
        <f>B52/D43</f>
        <v>4340.5440045571058</v>
      </c>
      <c r="M55" t="s">
        <v>37</v>
      </c>
      <c r="P55">
        <f>N52/P43</f>
        <v>1492.3526060951297</v>
      </c>
    </row>
  </sheetData>
  <mergeCells count="14">
    <mergeCell ref="A24:C24"/>
    <mergeCell ref="M23:O23"/>
    <mergeCell ref="M24:O24"/>
    <mergeCell ref="M1:U1"/>
    <mergeCell ref="M2:O2"/>
    <mergeCell ref="A1:I1"/>
    <mergeCell ref="A2:C2"/>
    <mergeCell ref="A23:C23"/>
    <mergeCell ref="M31:O31"/>
    <mergeCell ref="M53:O53"/>
    <mergeCell ref="M54:O54"/>
    <mergeCell ref="A31:C31"/>
    <mergeCell ref="A53:C53"/>
    <mergeCell ref="A54:C54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1881-CC55-4859-B076-2D371FBA6A2D}">
  <dimension ref="A1:D13"/>
  <sheetViews>
    <sheetView workbookViewId="0">
      <selection activeCell="E22" sqref="E22"/>
    </sheetView>
  </sheetViews>
  <sheetFormatPr defaultRowHeight="14.5" x14ac:dyDescent="0.35"/>
  <cols>
    <col min="1" max="1" width="17.08984375" customWidth="1"/>
    <col min="2" max="2" width="17.453125" customWidth="1"/>
    <col min="3" max="3" width="8.54296875" customWidth="1"/>
    <col min="4" max="4" width="10.90625" customWidth="1"/>
  </cols>
  <sheetData>
    <row r="1" spans="1:4" x14ac:dyDescent="0.35">
      <c r="A1" s="43" t="s">
        <v>61</v>
      </c>
      <c r="B1" s="43"/>
      <c r="C1" s="43"/>
      <c r="D1" s="43"/>
    </row>
    <row r="4" spans="1:4" x14ac:dyDescent="0.35">
      <c r="A4" s="53" t="s">
        <v>62</v>
      </c>
      <c r="B4" s="44" t="s">
        <v>63</v>
      </c>
      <c r="C4" s="44"/>
      <c r="D4" s="44"/>
    </row>
    <row r="5" spans="1:4" x14ac:dyDescent="0.35">
      <c r="A5" s="54"/>
      <c r="B5" s="3"/>
      <c r="C5" s="34" t="s">
        <v>64</v>
      </c>
      <c r="D5" s="34" t="s">
        <v>65</v>
      </c>
    </row>
    <row r="6" spans="1:4" s="36" customFormat="1" x14ac:dyDescent="0.35">
      <c r="A6" s="45" t="s">
        <v>68</v>
      </c>
      <c r="B6" s="35" t="s">
        <v>66</v>
      </c>
      <c r="C6" s="35">
        <v>3000.983765309029</v>
      </c>
      <c r="D6" s="35">
        <v>4317.0618057533466</v>
      </c>
    </row>
    <row r="7" spans="1:4" s="36" customFormat="1" x14ac:dyDescent="0.35">
      <c r="A7" s="46"/>
      <c r="B7" s="37" t="s">
        <v>67</v>
      </c>
      <c r="C7" s="37">
        <v>11114.754686329736</v>
      </c>
      <c r="D7" s="37">
        <v>15989.117799086467</v>
      </c>
    </row>
    <row r="8" spans="1:4" x14ac:dyDescent="0.35">
      <c r="A8" s="47" t="s">
        <v>69</v>
      </c>
      <c r="B8" s="16" t="s">
        <v>66</v>
      </c>
      <c r="C8" s="16">
        <v>152.79236684705219</v>
      </c>
      <c r="D8" s="16">
        <v>1464.598120193677</v>
      </c>
    </row>
    <row r="9" spans="1:4" x14ac:dyDescent="0.35">
      <c r="A9" s="48"/>
      <c r="B9" s="3" t="s">
        <v>67</v>
      </c>
      <c r="C9" s="3">
        <v>556.21538713888674</v>
      </c>
      <c r="D9" s="3">
        <v>5331.6276672503709</v>
      </c>
    </row>
    <row r="10" spans="1:4" s="36" customFormat="1" ht="13" customHeight="1" x14ac:dyDescent="0.35">
      <c r="A10" s="49" t="s">
        <v>70</v>
      </c>
      <c r="B10" s="35" t="s">
        <v>66</v>
      </c>
      <c r="C10" s="35">
        <v>4461.9522633744855</v>
      </c>
      <c r="D10" s="35">
        <v>6501.7300411522638</v>
      </c>
    </row>
    <row r="11" spans="1:4" s="36" customFormat="1" ht="13.5" customHeight="1" x14ac:dyDescent="0.35">
      <c r="A11" s="50"/>
      <c r="B11" s="37" t="s">
        <v>67</v>
      </c>
      <c r="C11" s="37">
        <v>11432.109309183923</v>
      </c>
      <c r="D11" s="37">
        <v>16658.288601466211</v>
      </c>
    </row>
    <row r="12" spans="1:4" ht="16" customHeight="1" x14ac:dyDescent="0.35">
      <c r="A12" s="51" t="s">
        <v>71</v>
      </c>
      <c r="B12" s="16" t="s">
        <v>66</v>
      </c>
      <c r="C12" s="16">
        <v>346.72592592592588</v>
      </c>
      <c r="D12" s="16">
        <v>2386.5037037037036</v>
      </c>
    </row>
    <row r="13" spans="1:4" x14ac:dyDescent="0.35">
      <c r="A13" s="52"/>
      <c r="B13" s="3" t="s">
        <v>67</v>
      </c>
      <c r="C13" s="3">
        <v>888.35748379688926</v>
      </c>
      <c r="D13" s="3">
        <v>6114.5367760791787</v>
      </c>
    </row>
  </sheetData>
  <mergeCells count="7">
    <mergeCell ref="A1:D1"/>
    <mergeCell ref="A4:A5"/>
    <mergeCell ref="B4:D4"/>
    <mergeCell ref="A6:A7"/>
    <mergeCell ref="A8:A9"/>
    <mergeCell ref="A10:A11"/>
    <mergeCell ref="A12:A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EtOH + EtOAc+DCM</vt:lpstr>
      <vt:lpstr>EtOH+EtOAc</vt:lpstr>
      <vt:lpstr>Resume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2025-11-24T06:06:59Z</dcterms:created>
  <dcterms:modified xsi:type="dcterms:W3CDTF">2025-11-28T13:07:26Z</dcterms:modified>
</cp:coreProperties>
</file>